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J5"/>
  <c r="J22" s="1"/>
  <c r="Q7"/>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20" i="16"/>
  <c r="C22" s="1"/>
  <c r="D39" i="14" s="1"/>
  <c r="C10" i="13"/>
  <c r="C16" i="48" s="1"/>
  <c r="C30" s="1"/>
  <c r="C16" i="22"/>
  <c r="C10" i="17"/>
  <c r="C12" s="1"/>
  <c r="D48" i="14" s="1"/>
  <c r="C17" i="49"/>
  <c r="C17" i="19"/>
  <c r="C19" s="1"/>
  <c r="D35" i="14" s="1"/>
  <c r="C18" i="15"/>
  <c r="C20" s="1"/>
  <c r="D36" i="14" s="1"/>
  <c r="C56" i="22"/>
  <c r="C58" s="1"/>
  <c r="D44" i="14" s="1"/>
  <c r="D46" s="1"/>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6"/>
  <c r="K55" i="14"/>
  <c r="R13"/>
  <c r="R15" s="1"/>
  <c r="F25" i="48"/>
  <c r="F31" s="1"/>
  <c r="C28" l="1"/>
  <c r="C22"/>
  <c r="C31" s="1"/>
  <c r="C25"/>
  <c r="F14"/>
  <c r="C29"/>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<sst xmlns="http://schemas.openxmlformats.org/spreadsheetml/2006/main" count="1988" uniqueCount="852">
  <si>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</si>
  <si>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</si>
  <si>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</si>
  <si>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</si>
  <si>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</si>
  <si>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</si>
  <si>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</si>
  <si>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</si>
  <si>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</si>
  <si>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</si>
  <si>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</si>
  <si>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</si>
  <si>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</si>
  <si>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</si>
  <si>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</si>
  <si>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</si>
  <si>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</si>
  <si>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</si>
  <si>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</si>
  <si>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</si>
  <si>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</si>
  <si>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</si>
  <si>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</si>
  <si>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</si>
  <si>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</si>
  <si>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</si>
  <si>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</si>
  <si>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</si>
  <si>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</si>
  <si>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</si>
  <si>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</si>
  <si>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</si>
  <si>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</si>
  <si>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</si>
  <si>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</si>
  <si>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</si>
  <si>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</si>
  <si>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</si>
  <si>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</si>
  <si>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</si>
  <si>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</si>
  <si>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</si>
  <si>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</si>
  <si>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</si>
  <si>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</si>
  <si>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</si>
  <si>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</si>
  <si>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</si>
  <si>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</si>
  <si>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</si>
  <si>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</si>
  <si>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</si>
  <si>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</si>
  <si>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</si>
  <si>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</si>
  <si>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</si>
  <si>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</si>
  <si>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</si>
  <si>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</si>
  <si>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</si>
  <si>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</si>
  <si>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</si>
  <si>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</si>
  <si>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</si>
  <si>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</si>
  <si>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</si>
  <si>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</si>
  <si>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</si>
  <si>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</si>
  <si>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</si>
  <si>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</si>
  <si>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</si>
  <si>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</si>
  <si>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</si>
  <si>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</si>
  <si>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</si>
  <si>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</si>
  <si>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</si>
  <si>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</si>
  <si>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</si>
  <si>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</si>
  <si>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</si>
  <si>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</si>
  <si>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</si>
  <si>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</si>
  <si>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</si>
  <si>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</si>
  <si>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</si>
  <si>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</si>
  <si>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</si>
  <si>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</si>
  <si>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</si>
  <si>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</si>
  <si>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</si>
  <si>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</si>
  <si>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</si>
  <si>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</si>
  <si>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</si>
  <si>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</si>
  <si>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</si>
  <si>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</si>
  <si>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</si>
  <si>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</si>
  <si>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</si>
  <si>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</si>
  <si>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</si>
  <si>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</si>
  <si>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</si>
  <si>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</si>
  <si>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</si>
  <si>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</si>
  <si>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</si>
  <si>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</si>
  <si>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</si>
  <si>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</si>
  <si>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</si>
  <si>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</si>
  <si>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</si>
  <si>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</si>
  <si>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</si>
  <si>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</si>
  <si>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</si>
  <si>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</si>
  <si>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</si>
  <si>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</si>
  <si>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</si>
  <si>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</si>
  <si>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</si>
  <si>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</si>
  <si>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</si>
  <si>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</si>
  <si>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</si>
  <si>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</si>
  <si>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</si>
  <si>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</si>
  <si>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</si>
  <si>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</si>
  <si>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</si>
  <si>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</si>
  <si>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</si>
  <si>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</si>
  <si>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</si>
  <si>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</si>
  <si>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</si>
  <si>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</si>
  <si>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</si>
  <si>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</si>
  <si>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</si>
  <si>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</si>
  <si>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</si>
  <si>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</si>
  <si>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</si>
  <si>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</si>
  <si>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</si>
  <si>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</si>
  <si>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</si>
  <si>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</si>
  <si>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</si>
  <si>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</si>
  <si>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</si>
  <si>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</si>
  <si>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</si>
  <si>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</si>
  <si>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</si>
  <si>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</si>
  <si>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</si>
  <si>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</si>
  <si>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</si>
  <si>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</si>
  <si>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</si>
  <si>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</si>
  <si>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</si>
  <si>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</si>
  <si>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</si>
  <si>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</si>
  <si>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</si>
  <si>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</si>
  <si>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</si>
  <si>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</si>
  <si>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</si>
  <si>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</si>
  <si>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</si>
  <si>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</si>
  <si>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</si>
  <si>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</si>
  <si>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</si>
  <si>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</si>
  <si>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</si>
  <si>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</si>
  <si>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</si>
  <si>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</si>
  <si>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</si>
  <si>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</si>
  <si>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</si>
  <si>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</si>
  <si>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</si>
  <si>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</si>
  <si>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</si>
  <si>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</si>
  <si>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</si>
  <si>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</si>
  <si>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</si>
  <si>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</si>
  <si>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</si>
  <si>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</si>
  <si>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</si>
  <si>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</si>
  <si>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</si>
  <si>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</si>
  <si>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</si>
  <si>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</si>
  <si>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</si>
  <si>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</si>
  <si>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</si>
  <si>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</si>
  <si>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</si>
  <si>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</si>
  <si>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</si>
  <si>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</si>
  <si>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</si>
  <si>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</si>
  <si>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</si>
  <si>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</si>
  <si>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</si>
  <si>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</si>
  <si>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</si>
  <si>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</si>
  <si>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</si>
  <si>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</si>
  <si>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</si>
  <si>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</si>
  <si>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</si>
  <si>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</si>
  <si>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</si>
  <si>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</si>
  <si>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</si>
  <si>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</si>
  <si>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</si>
  <si>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</si>
  <si>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</si>
  <si>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</si>
  <si>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</si>
  <si>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</si>
  <si>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</si>
  <si>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</si>
  <si>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</si>
  <si>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</si>
  <si>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</si>
  <si>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</si>
  <si>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</si>
  <si>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</si>
  <si>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</si>
  <si>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</si>
  <si>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</si>
  <si>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</si>
  <si>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</si>
  <si>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</si>
  <si>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</si>
  <si>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</si>
  <si>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</si>
  <si>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</si>
  <si>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</si>
  <si>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</si>
  <si>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</si>
  <si>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</si>
  <si>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</si>
  <si>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</si>
  <si>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</si>
  <si>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</si>
  <si>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</si>
  <si>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</si>
  <si>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</si>
  <si>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</si>
  <si>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</si>
  <si>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</si>
  <si>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</si>
  <si>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</si>
  <si>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</si>
  <si>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</si>
  <si>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</si>
  <si>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</si>
  <si>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</si>
  <si>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</si>
  <si>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</si>
  <si>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</si>
  <si>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</si>
  <si>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</si>
  <si>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</si>
  <si>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</si>
  <si>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</si>
  <si>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</si>
  <si>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</si>
  <si>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</si>
  <si>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</si>
  <si>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</si>
  <si>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</si>
  <si>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</si>
  <si>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</si>
  <si>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</si>
  <si>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</si>
  <si>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</si>
  <si>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</si>
  <si>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</si>
  <si>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</si>
  <si>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</si>
  <si>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</si>
  <si>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</si>
  <si>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</si>
  <si>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</si>
  <si>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</si>
  <si>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</si>
  <si>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</si>
  <si>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</si>
  <si>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</si>
  <si>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</si>
  <si>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</si>
  <si>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</si>
  <si>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</si>
  <si>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</si>
  <si>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</si>
  <si>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</si>
  <si>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</si>
  <si>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</si>
  <si>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</si>
  <si>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</si>
  <si>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</si>
  <si>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</si>
  <si>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</si>
  <si>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</si>
  <si>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</si>
  <si>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</si>
  <si>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</si>
  <si>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</si>
  <si>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</si>
  <si>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</si>
  <si>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</si>
  <si>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</si>
  <si>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</si>
  <si>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</si>
  <si>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</si>
  <si>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</si>
  <si>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</si>
  <si>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</si>
  <si>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</si>
  <si>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</si>
  <si>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</si>
  <si>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</si>
  <si>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</si>
  <si>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</si>
  <si>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</si>
  <si>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</si>
  <si>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</si>
  <si>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</si>
  <si>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</si>
  <si>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</si>
  <si>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</si>
  <si>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</si>
  <si>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</si>
  <si>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</si>
  <si>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</si>
  <si>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</si>
  <si>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</si>
  <si>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</si>
  <si>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</si>
  <si>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</si>
  <si>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</si>
  <si>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</si>
  <si>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</si>
  <si>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</si>
  <si>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</si>
  <si>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</si>
  <si>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</si>
  <si>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</si>
  <si>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</si>
  <si>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</si>
  <si>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</si>
  <si>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</si>
  <si>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</si>
  <si>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</si>
  <si>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</si>
  <si>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</si>
  <si>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</si>
  <si>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</si>
  <si>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</si>
  <si>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</si>
  <si>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</si>
  <si>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</si>
  <si>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</si>
  <si>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</si>
  <si>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</si>
  <si>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</si>
  <si>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</si>
  <si>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</si>
  <si>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</si>
  <si>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</si>
  <si>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</si>
  <si>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</si>
  <si>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</si>
  <si>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</si>
  <si>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</si>
  <si>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</si>
  <si>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</si>
  <si>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</si>
  <si>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</si>
  <si>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</si>
  <si>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</si>
  <si>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</si>
  <si>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</si>
  <si>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</si>
  <si>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</si>
  <si>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</si>
  <si>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</si>
  <si>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</si>
  <si>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</si>
  <si>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</si>
  <si>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</si>
  <si>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</si>
  <si>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</si>
  <si>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</si>
  <si>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</si>
  <si>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</si>
  <si>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</si>
  <si>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</si>
  <si>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</si>
  <si>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</si>
  <si>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</si>
  <si>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</si>
  <si>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</si>
  <si>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</si>
  <si>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</si>
  <si>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</si>
  <si>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</si>
  <si>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</si>
  <si>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</si>
  <si>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</si>
  <si>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</si>
  <si>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</si>
  <si>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</si>
  <si>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</si>
  <si>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</si>
  <si>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</si>
  <si>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</si>
  <si>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</si>
  <si>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</si>
  <si>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</si>
  <si>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</si>
  <si>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</si>
  <si>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</si>
  <si>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</si>
  <si>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</si>
  <si>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</si>
  <si>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</si>
  <si>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</si>
  <si>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</si>
  <si>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</si>
  <si>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</si>
  <si>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</si>
  <si>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</si>
  <si>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</si>
  <si>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</si>
  <si>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</si>
  <si>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</si>
  <si>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</si>
  <si>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</si>
  <si>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</si>
  <si>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</si>
  <si>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</si>
  <si>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</si>
  <si>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</si>
  <si>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</si>
  <si>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</si>
  <si>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</si>
  <si>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</si>
  <si>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</si>
  <si>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</si>
  <si>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</si>
  <si>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</si>
  <si>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</si>
  <si>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</si>
  <si>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</si>
  <si>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</si>
  <si>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</si>
  <si>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</si>
  <si>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</si>
  <si>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</si>
  <si>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</si>
  <si>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</si>
  <si>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</si>
  <si>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</si>
  <si>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</si>
  <si>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</si>
  <si>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</si>
  <si>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</si>
  <si>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</si>
  <si>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</si>
  <si>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</si>
  <si>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</si>
  <si>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</si>
  <si>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</si>
  <si>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</si>
  <si>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</si>
  <si>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</si>
  <si>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</si>
  <si>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</si>
  <si>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</si>
  <si>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</si>
  <si>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</si>
  <si>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</si>
  <si>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</si>
  <si>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</si>
  <si>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</si>
  <si>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</si>
  <si>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</si>
  <si>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</si>
  <si>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</si>
  <si>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</si>
  <si>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</si>
  <si>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</si>
  <si>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</si>
  <si>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</si>
  <si>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</si>
  <si>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</si>
  <si>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</si>
  <si>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</si>
  <si>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</si>
  <si>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</si>
  <si>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</si>
  <si>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</si>
  <si>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</si>
  <si>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</si>
  <si>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</si>
  <si>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</si>
  <si>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</si>
  <si>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</si>
  <si>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</si>
  <si>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</si>
  <si>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</si>
  <si>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</si>
  <si>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</si>
  <si>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</si>
  <si>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</si>
  <si>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</si>
  <si>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</si>
  <si>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</si>
  <si>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</si>
  <si>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</si>
  <si>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</si>
  <si>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</si>
  <si>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</si>
  <si>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</si>
  <si>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</si>
  <si>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</si>
  <si>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</si>
  <si>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</si>
  <si>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</si>
  <si>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</si>
  <si>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</si>
  <si>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</si>
  <si>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</si>
  <si>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</si>
  <si>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</si>
  <si>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</si>
  <si>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</si>
  <si>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</si>
  <si>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</si>
  <si>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</si>
  <si>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</si>
  <si>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</si>
  <si>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</si>
  <si>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</si>
  <si>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</si>
  <si>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</si>
  <si>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</si>
  <si>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</si>
  <si>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</si>
  <si>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</si>
  <si>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</si>
  <si>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</si>
  <si>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</si>
  <si>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</si>
  <si>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</si>
  <si>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</si>
  <si>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</si>
  <si>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</si>
  <si>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</si>
  <si>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</si>
  <si>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</si>
  <si>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</si>
  <si>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</si>
  <si>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</si>
  <si>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</si>
  <si>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</si>
  <si>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</si>
  <si>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</si>
  <si>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</si>
  <si>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</si>
  <si>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</si>
  <si>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</si>
  <si>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</si>
  <si>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</si>
  <si>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</si>
  <si>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</si>
  <si>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</si>
  <si>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</si>
  <si>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</si>
  <si>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</si>
  <si>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</si>
  <si>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</si>
  <si>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</si>
  <si>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</si>
  <si>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</si>
  <si>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</si>
  <si>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</si>
  <si>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</si>
  <si>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</si>
  <si>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</si>
  <si>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</si>
  <si>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</si>
  <si>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</si>
  <si>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</si>
  <si>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</si>
  <si>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</si>
  <si>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</si>
  <si>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</si>
  <si>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</si>
  <si>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</si>
  <si>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</si>
  <si>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</si>
  <si>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</si>
  <si>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</si>
  <si>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</si>
  <si>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</si>
  <si>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</si>
  <si>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</si>
  <si>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</si>
  <si>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</si>
  <si>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</si>
  <si>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</si>
  <si>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</si>
  <si>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</si>
  <si>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</si>
  <si>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</si>
  <si>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</si>
  <si>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</si>
  <si>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</si>
  <si>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</si>
  <si>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</si>
  <si>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</si>
  <si>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</si>
  <si>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</si>
  <si>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</si>
  <si>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</si>
  <si>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</si>
  <si>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</si>
  <si>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</si>
  <si>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</si>
  <si>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</si>
  <si>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</si>
  <si>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</si>
  <si>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</si>
  <si>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</si>
  <si>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</si>
  <si>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</si>
  <si>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</si>
  <si>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</si>
  <si>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</si>
  <si>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</si>
  <si>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</si>
  <si>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</si>
  <si>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</si>
  <si>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</si>
  <si>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</si>
  <si>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</si>
  <si>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</si>
  <si>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</si>
  <si>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</si>
  <si>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</si>
  <si>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</si>
  <si>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</si>
  <si>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</si>
  <si>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</si>
  <si>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</si>
  <si>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</si>
  <si>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</si>
  <si>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</si>
  <si>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</si>
  <si>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</si>
  <si>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</si>
  <si>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</si>
  <si>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</si>
  <si>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</si>
  <si>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</si>
  <si>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</si>
  <si>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</si>
  <si>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</si>
  <si>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</si>
  <si>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</si>
  <si>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</si>
  <si>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</si>
  <si>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</si>
  <si>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</si>
  <si>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</si>
  <si>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</si>
  <si>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</si>
  <si>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</si>
  <si>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</si>
  <si>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</si>
  <si>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</si>
  <si>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</si>
  <si>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</si>
  <si>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</si>
  <si>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</si>
  <si>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</si>
  <si>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</si>
  <si>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</si>
  <si>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</si>
  <si>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</si>
  <si>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</si>
  <si>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</si>
  <si>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</si>
  <si>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</si>
  <si>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</si>
  <si>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</si>
  <si>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</si>
  <si>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</si>
  <si>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</si>
  <si>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</si>
  <si>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</si>
  <si>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</si>
  <si>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</si>
  <si>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</si>
  <si>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</si>
  <si>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</si>
  <si>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</si>
  <si>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</si>
  <si>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</si>
  <si>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</si>
  <si>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</si>
  <si>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</si>
  <si>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</si>
  <si>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</si>
  <si>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</si>
  <si>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</si>
  <si>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</si>
  <si>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</si>
  <si>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</si>
  <si>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</si>
  <si>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</si>
  <si>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</si>
  <si>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</si>
  <si>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</si>
  <si>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</si>
  <si>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</si>
  <si>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</si>
  <si>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</si>
  <si>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</si>
  <si>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</si>
  <si>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</si>
  <si>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</si>
  <si>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</si>
  <si>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</si>
  <si>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</si>
  <si>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</si>
  <si>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</si>
  <si>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</si>
  <si>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</si>
  <si>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</si>
  <si>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</si>
  <si>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</si>
  <si>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</si>
  <si>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</si>
  <si>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</si>
  <si>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</si>
  <si>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</si>
  <si>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</si>
  <si>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</si>
  <si>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</si>
  <si>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</si>
  <si>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</si>
  <si>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</si>
  <si>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</si>
  <si>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</si>
  <si>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</si>
  <si>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</si>
  <si>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</si>
  <si>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</si>
  <si>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</si>
  <si>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</si>
  <si>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</si>
  <si>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</si>
  <si>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</si>
  <si>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</si>
  <si>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</si>
  <si>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</si>
  <si>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</si>
  <si>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</si>
  <si>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</si>
  <si>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</si>
  <si>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</si>
  <si>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</si>
  <si>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</si>
  <si>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</si>
  <si>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</si>
  <si>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</si>
  <si>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</si>
  <si>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</si>
  <si>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</si>
  <si>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</si>
  <si>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</si>
  <si>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</si>
  <si>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</si>
  <si>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</si>
  <si>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</si>
  <si>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</si>
  <si>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</si>
  <si>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</si>
  <si>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</si>
  <si>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</si>
  <si>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</si>
  <si>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</si>
  <si>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</si>
  <si>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</si>
  <si>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</si>
  <si>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</si>
  <si>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</si>
  <si>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</si>
  <si>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</si>
  <si>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</si>
  <si>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</si>
  <si>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</si>
  <si>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</si>
  <si>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</si>
  <si>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</si>
  <si>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44080</t>
  </si>
  <si>
    <t>ZOMERGEM</t>
  </si>
  <si>
    <t>Cultuurgrond (ha)</t>
  </si>
  <si>
    <t>Paarden&amp;pony's 200 - 600 kg</t>
  </si>
  <si>
    <t>Paarden&amp;pony's &lt; 200 kg</t>
  </si>
  <si>
    <t>op basis van VEA (maart 2018) en Inventaris Hernieuwbare Energiebronnen (juni 2018)</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</si>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</sst>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82049.624568211846</c:v>
                </c:pt>
                <c:pt idx="1">
                  <c:v>16914.027313730472</c:v>
                </c:pt>
                <c:pt idx="2">
                  <c:v>668.44500000000005</c:v>
                </c:pt>
                <c:pt idx="3">
                  <c:v>36954.093967811496</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82049.624568211846</c:v>
                </c:pt>
                <c:pt idx="1">
                  <c:v>16914.027313730472</c:v>
                </c:pt>
                <c:pt idx="2">
                  <c:v>668.44500000000005</c:v>
                </c:pt>
                <c:pt idx="3">
                  <c:v>36954.093967811496</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14106.964214117637</c:v>
                </c:pt>
                <c:pt idx="1">
                  <c:v>2409.23332309121</c:v>
                </c:pt>
                <c:pt idx="2">
                  <c:v>43.97498387732265</c:v>
                </c:pt>
                <c:pt idx="3">
                  <c:v>2644.0661582563976</c:v>
                </c:pt>
                <c:pt idx="4">
                  <c:v>684.81872689252475</c:v>
                </c:pt>
                <c:pt idx="5">
                  <c:v>8787.1336917818116</c:v>
                </c:pt>
                <c:pt idx="6">
                  <c:v>162.75764604589838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14106.964214117637</c:v>
                </c:pt>
                <c:pt idx="1">
                  <c:v>2409.23332309121</c:v>
                </c:pt>
                <c:pt idx="2">
                  <c:v>43.97498387732265</c:v>
                </c:pt>
                <c:pt idx="3">
                  <c:v>2644.0661582563976</c:v>
                </c:pt>
                <c:pt idx="4">
                  <c:v>684.81872689252475</c:v>
                </c:pt>
                <c:pt idx="5">
                  <c:v>8787.1336917818116</c:v>
                </c:pt>
                <c:pt idx="6">
                  <c:v>162.75764604589838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44080</v>
      </c>
      <c r="B6" s="398"/>
      <c r="C6" s="399"/>
    </row>
    <row r="7" spans="1:7" s="396" customFormat="1" ht="15.75" customHeight="1">
      <c r="A7" s="400" t="str">
        <f>txtMunicipality</f>
        <v>ZOMERGEM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7546.8906104585094</v>
      </c>
      <c r="D10" s="704">
        <f ca="1">tertiair!C16</f>
        <v>0</v>
      </c>
      <c r="E10" s="704">
        <f ca="1">tertiair!D16</f>
        <v>7753.357373142976</v>
      </c>
      <c r="F10" s="704">
        <f>tertiair!E16</f>
        <v>91.05261595495125</v>
      </c>
      <c r="G10" s="704">
        <f ca="1">tertiair!F16</f>
        <v>1385.2957454143429</v>
      </c>
      <c r="H10" s="704">
        <f>tertiair!G16</f>
        <v>0</v>
      </c>
      <c r="I10" s="704">
        <f>tertiair!H16</f>
        <v>0</v>
      </c>
      <c r="J10" s="704">
        <f>tertiair!I16</f>
        <v>0</v>
      </c>
      <c r="K10" s="704">
        <f>tertiair!J16</f>
        <v>0</v>
      </c>
      <c r="L10" s="704">
        <f>tertiair!K16</f>
        <v>0</v>
      </c>
      <c r="M10" s="704">
        <f ca="1">tertiair!L16</f>
        <v>0</v>
      </c>
      <c r="N10" s="704">
        <f>tertiair!M16</f>
        <v>0</v>
      </c>
      <c r="O10" s="704">
        <f ca="1">tertiair!N16</f>
        <v>782.11930209302409</v>
      </c>
      <c r="P10" s="704">
        <f>tertiair!O16</f>
        <v>4.6900000000000004</v>
      </c>
      <c r="Q10" s="705">
        <f>tertiair!P16</f>
        <v>19.066666666666666</v>
      </c>
      <c r="R10" s="707">
        <f ca="1">SUM(C10:Q10)</f>
        <v>17582.472313730472</v>
      </c>
      <c r="S10" s="67"/>
    </row>
    <row r="11" spans="1:19" s="459" customFormat="1">
      <c r="A11" s="858" t="s">
        <v>225</v>
      </c>
      <c r="B11" s="863"/>
      <c r="C11" s="704">
        <f>huishoudens!B8</f>
        <v>16331.581293389758</v>
      </c>
      <c r="D11" s="704">
        <f>huishoudens!C8</f>
        <v>0</v>
      </c>
      <c r="E11" s="704">
        <f>huishoudens!D8</f>
        <v>22376.310845921987</v>
      </c>
      <c r="F11" s="704">
        <f>huishoudens!E8</f>
        <v>2929.3070017799873</v>
      </c>
      <c r="G11" s="704">
        <f>huishoudens!F8</f>
        <v>25853.305408832566</v>
      </c>
      <c r="H11" s="704">
        <f>huishoudens!G8</f>
        <v>0</v>
      </c>
      <c r="I11" s="704">
        <f>huishoudens!H8</f>
        <v>0</v>
      </c>
      <c r="J11" s="704">
        <f>huishoudens!I8</f>
        <v>0</v>
      </c>
      <c r="K11" s="704">
        <f>huishoudens!J8</f>
        <v>2668.8096904135691</v>
      </c>
      <c r="L11" s="704">
        <f>huishoudens!K8</f>
        <v>0</v>
      </c>
      <c r="M11" s="704">
        <f>huishoudens!L8</f>
        <v>0</v>
      </c>
      <c r="N11" s="704">
        <f>huishoudens!M8</f>
        <v>0</v>
      </c>
      <c r="O11" s="704">
        <f>huishoudens!N8</f>
        <v>11459.226994540635</v>
      </c>
      <c r="P11" s="704">
        <f>huishoudens!O8</f>
        <v>164.15</v>
      </c>
      <c r="Q11" s="705">
        <f>huishoudens!P8</f>
        <v>266.93333333333334</v>
      </c>
      <c r="R11" s="707">
        <f>SUM(C11:Q11)</f>
        <v>82049.624568211846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1563.540002129607</v>
      </c>
      <c r="D13" s="704">
        <f>industrie!C18</f>
        <v>0</v>
      </c>
      <c r="E13" s="704">
        <f>industrie!D18</f>
        <v>1354.1883190817236</v>
      </c>
      <c r="F13" s="704">
        <f>industrie!E18</f>
        <v>259.52109513694683</v>
      </c>
      <c r="G13" s="704">
        <f>industrie!F18</f>
        <v>932.87478844623024</v>
      </c>
      <c r="H13" s="704">
        <f>industrie!G18</f>
        <v>0</v>
      </c>
      <c r="I13" s="704">
        <f>industrie!H18</f>
        <v>0</v>
      </c>
      <c r="J13" s="704">
        <f>industrie!I18</f>
        <v>0</v>
      </c>
      <c r="K13" s="704">
        <f>industrie!J18</f>
        <v>1.1955942656228842</v>
      </c>
      <c r="L13" s="704">
        <f>industrie!K18</f>
        <v>0</v>
      </c>
      <c r="M13" s="704">
        <f>industrie!L18</f>
        <v>0</v>
      </c>
      <c r="N13" s="704">
        <f>industrie!M18</f>
        <v>0</v>
      </c>
      <c r="O13" s="704">
        <f>industrie!N18</f>
        <v>406.21386224341416</v>
      </c>
      <c r="P13" s="704">
        <f>industrie!O18</f>
        <v>0</v>
      </c>
      <c r="Q13" s="705">
        <f>industrie!P18</f>
        <v>0</v>
      </c>
      <c r="R13" s="707">
        <f>SUM(C13:Q13)</f>
        <v>4517.5336613035452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25442.011905977874</v>
      </c>
      <c r="D15" s="709">
        <f t="shared" ref="D15:Q15" ca="1" si="0">SUM(D9:D14)</f>
        <v>0</v>
      </c>
      <c r="E15" s="709">
        <f t="shared" ca="1" si="0"/>
        <v>31483.856538146687</v>
      </c>
      <c r="F15" s="709">
        <f t="shared" si="0"/>
        <v>3279.8807128718854</v>
      </c>
      <c r="G15" s="709">
        <f t="shared" ca="1" si="0"/>
        <v>28171.475942693141</v>
      </c>
      <c r="H15" s="709">
        <f t="shared" si="0"/>
        <v>0</v>
      </c>
      <c r="I15" s="709">
        <f t="shared" si="0"/>
        <v>0</v>
      </c>
      <c r="J15" s="709">
        <f t="shared" si="0"/>
        <v>0</v>
      </c>
      <c r="K15" s="709">
        <f t="shared" si="0"/>
        <v>2670.0052846791918</v>
      </c>
      <c r="L15" s="709">
        <f t="shared" si="0"/>
        <v>0</v>
      </c>
      <c r="M15" s="709">
        <f t="shared" ca="1" si="0"/>
        <v>0</v>
      </c>
      <c r="N15" s="709">
        <f t="shared" si="0"/>
        <v>0</v>
      </c>
      <c r="O15" s="709">
        <f t="shared" ca="1" si="0"/>
        <v>12647.560158877073</v>
      </c>
      <c r="P15" s="709">
        <f t="shared" si="0"/>
        <v>168.84</v>
      </c>
      <c r="Q15" s="710">
        <f t="shared" si="0"/>
        <v>286</v>
      </c>
      <c r="R15" s="711">
        <f ca="1">SUM(R9:R14)</f>
        <v>104149.63054324586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609.57919867377666</v>
      </c>
      <c r="I18" s="704">
        <f>transport!H54</f>
        <v>0</v>
      </c>
      <c r="J18" s="704">
        <f>transport!I54</f>
        <v>0</v>
      </c>
      <c r="K18" s="704">
        <f>transport!J54</f>
        <v>0</v>
      </c>
      <c r="L18" s="704">
        <f>transport!K54</f>
        <v>0</v>
      </c>
      <c r="M18" s="704">
        <f>transport!L54</f>
        <v>0</v>
      </c>
      <c r="N18" s="704">
        <f>transport!M54</f>
        <v>27.109477944768805</v>
      </c>
      <c r="O18" s="704">
        <f>transport!N54</f>
        <v>0</v>
      </c>
      <c r="P18" s="704">
        <f>transport!O54</f>
        <v>0</v>
      </c>
      <c r="Q18" s="705">
        <f>transport!P54</f>
        <v>0</v>
      </c>
      <c r="R18" s="707">
        <f>SUM(C18:Q18)</f>
        <v>636.68867661854551</v>
      </c>
      <c r="S18" s="67"/>
    </row>
    <row r="19" spans="1:19" s="459" customFormat="1" ht="15" thickBot="1">
      <c r="A19" s="858" t="s">
        <v>307</v>
      </c>
      <c r="B19" s="863"/>
      <c r="C19" s="713">
        <f>transport!B14</f>
        <v>2.0297690047221844</v>
      </c>
      <c r="D19" s="713">
        <f>transport!C14</f>
        <v>0</v>
      </c>
      <c r="E19" s="713">
        <f>transport!D14</f>
        <v>4.3957848071828769</v>
      </c>
      <c r="F19" s="713">
        <f>transport!E14</f>
        <v>129.46072784474757</v>
      </c>
      <c r="G19" s="713">
        <f>transport!F14</f>
        <v>0</v>
      </c>
      <c r="H19" s="713">
        <f>transport!G14</f>
        <v>26749.530426881272</v>
      </c>
      <c r="I19" s="713">
        <f>transport!H14</f>
        <v>6484.3373560701648</v>
      </c>
      <c r="J19" s="713">
        <f>transport!I14</f>
        <v>0</v>
      </c>
      <c r="K19" s="713">
        <f>transport!J14</f>
        <v>0</v>
      </c>
      <c r="L19" s="713">
        <f>transport!K14</f>
        <v>0</v>
      </c>
      <c r="M19" s="713">
        <f>transport!L14</f>
        <v>0</v>
      </c>
      <c r="N19" s="713">
        <f>transport!M14</f>
        <v>1484.3152602685789</v>
      </c>
      <c r="O19" s="713">
        <f>transport!N14</f>
        <v>0</v>
      </c>
      <c r="P19" s="713">
        <f>transport!O14</f>
        <v>0</v>
      </c>
      <c r="Q19" s="714">
        <f>transport!P14</f>
        <v>0</v>
      </c>
      <c r="R19" s="715">
        <f>SUM(C19:Q19)</f>
        <v>34854.069324876669</v>
      </c>
      <c r="S19" s="67"/>
    </row>
    <row r="20" spans="1:19" s="459" customFormat="1" ht="15.75" thickBot="1">
      <c r="A20" s="716" t="s">
        <v>230</v>
      </c>
      <c r="B20" s="866"/>
      <c r="C20" s="861">
        <f>SUM(C17:C19)</f>
        <v>2.0297690047221844</v>
      </c>
      <c r="D20" s="717">
        <f t="shared" ref="D20:R20" si="1">SUM(D17:D19)</f>
        <v>0</v>
      </c>
      <c r="E20" s="717">
        <f t="shared" si="1"/>
        <v>4.3957848071828769</v>
      </c>
      <c r="F20" s="717">
        <f t="shared" si="1"/>
        <v>129.46072784474757</v>
      </c>
      <c r="G20" s="717">
        <f t="shared" si="1"/>
        <v>0</v>
      </c>
      <c r="H20" s="717">
        <f t="shared" si="1"/>
        <v>27359.109625555047</v>
      </c>
      <c r="I20" s="717">
        <f t="shared" si="1"/>
        <v>6484.3373560701648</v>
      </c>
      <c r="J20" s="717">
        <f t="shared" si="1"/>
        <v>0</v>
      </c>
      <c r="K20" s="717">
        <f t="shared" si="1"/>
        <v>0</v>
      </c>
      <c r="L20" s="717">
        <f t="shared" si="1"/>
        <v>0</v>
      </c>
      <c r="M20" s="717">
        <f t="shared" si="1"/>
        <v>0</v>
      </c>
      <c r="N20" s="717">
        <f t="shared" si="1"/>
        <v>1511.4247382133476</v>
      </c>
      <c r="O20" s="717">
        <f t="shared" si="1"/>
        <v>0</v>
      </c>
      <c r="P20" s="717">
        <f t="shared" si="1"/>
        <v>0</v>
      </c>
      <c r="Q20" s="718">
        <f t="shared" si="1"/>
        <v>0</v>
      </c>
      <c r="R20" s="719">
        <f t="shared" si="1"/>
        <v>35490.758001495218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2281.513377602379</v>
      </c>
      <c r="D22" s="713">
        <f>+landbouw!C8</f>
        <v>25120.928571428569</v>
      </c>
      <c r="E22" s="713">
        <f>+landbouw!D8</f>
        <v>1307.9956283922631</v>
      </c>
      <c r="F22" s="713">
        <f>+landbouw!E8</f>
        <v>28.750007744617488</v>
      </c>
      <c r="G22" s="713">
        <f>+landbouw!F8</f>
        <v>7871.7927059810054</v>
      </c>
      <c r="H22" s="713">
        <f>+landbouw!G8</f>
        <v>0</v>
      </c>
      <c r="I22" s="713">
        <f>+landbouw!H8</f>
        <v>0</v>
      </c>
      <c r="J22" s="713">
        <f>+landbouw!I8</f>
        <v>0</v>
      </c>
      <c r="K22" s="713">
        <f>+landbouw!J8</f>
        <v>343.11367666266415</v>
      </c>
      <c r="L22" s="713">
        <f>+landbouw!K8</f>
        <v>0</v>
      </c>
      <c r="M22" s="713">
        <f>+landbouw!L8</f>
        <v>0</v>
      </c>
      <c r="N22" s="713">
        <f>+landbouw!M8</f>
        <v>0</v>
      </c>
      <c r="O22" s="713">
        <f>+landbouw!N8</f>
        <v>0</v>
      </c>
      <c r="P22" s="713">
        <f>+landbouw!O8</f>
        <v>0</v>
      </c>
      <c r="Q22" s="714">
        <f>+landbouw!P8</f>
        <v>0</v>
      </c>
      <c r="R22" s="715">
        <f>SUM(C22:Q22)</f>
        <v>36954.093967811496</v>
      </c>
      <c r="S22" s="67"/>
    </row>
    <row r="23" spans="1:19" s="459" customFormat="1" ht="17.25" thickTop="1" thickBot="1">
      <c r="A23" s="720" t="s">
        <v>116</v>
      </c>
      <c r="B23" s="852"/>
      <c r="C23" s="721">
        <f ca="1">C20+C15+C22</f>
        <v>27725.555052584976</v>
      </c>
      <c r="D23" s="721">
        <f t="shared" ref="D23:Q23" ca="1" si="2">D20+D15+D22</f>
        <v>25120.928571428569</v>
      </c>
      <c r="E23" s="721">
        <f t="shared" ca="1" si="2"/>
        <v>32796.247951346137</v>
      </c>
      <c r="F23" s="721">
        <f t="shared" si="2"/>
        <v>3438.0914484612504</v>
      </c>
      <c r="G23" s="721">
        <f t="shared" ca="1" si="2"/>
        <v>36043.268648674144</v>
      </c>
      <c r="H23" s="721">
        <f t="shared" si="2"/>
        <v>27359.109625555047</v>
      </c>
      <c r="I23" s="721">
        <f t="shared" si="2"/>
        <v>6484.3373560701648</v>
      </c>
      <c r="J23" s="721">
        <f t="shared" si="2"/>
        <v>0</v>
      </c>
      <c r="K23" s="721">
        <f t="shared" si="2"/>
        <v>3013.118961341856</v>
      </c>
      <c r="L23" s="721">
        <f t="shared" si="2"/>
        <v>0</v>
      </c>
      <c r="M23" s="721">
        <f t="shared" ca="1" si="2"/>
        <v>0</v>
      </c>
      <c r="N23" s="721">
        <f t="shared" si="2"/>
        <v>1511.4247382133476</v>
      </c>
      <c r="O23" s="721">
        <f t="shared" ca="1" si="2"/>
        <v>12647.560158877073</v>
      </c>
      <c r="P23" s="721">
        <f t="shared" si="2"/>
        <v>168.84</v>
      </c>
      <c r="Q23" s="722">
        <f t="shared" si="2"/>
        <v>286</v>
      </c>
      <c r="R23" s="723">
        <f ca="1">R20+R15+R22</f>
        <v>176594.48251255258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496.4872097462478</v>
      </c>
      <c r="D36" s="704">
        <f ca="1">tertiair!C20</f>
        <v>0</v>
      </c>
      <c r="E36" s="704">
        <f ca="1">tertiair!D20</f>
        <v>1566.1781893748812</v>
      </c>
      <c r="F36" s="704">
        <f>tertiair!E20</f>
        <v>20.668943821773933</v>
      </c>
      <c r="G36" s="704">
        <f ca="1">tertiair!F20</f>
        <v>369.87396402562956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2453.2083069685323</v>
      </c>
    </row>
    <row r="37" spans="1:18">
      <c r="A37" s="873" t="s">
        <v>225</v>
      </c>
      <c r="B37" s="880"/>
      <c r="C37" s="704">
        <f ca="1">huishoudens!B12</f>
        <v>1074.4055592726384</v>
      </c>
      <c r="D37" s="704">
        <f ca="1">huishoudens!C12</f>
        <v>0</v>
      </c>
      <c r="E37" s="704">
        <f>huishoudens!D12</f>
        <v>4520.0147908762419</v>
      </c>
      <c r="F37" s="704">
        <f>huishoudens!E12</f>
        <v>664.9526894040572</v>
      </c>
      <c r="G37" s="704">
        <f>huishoudens!F12</f>
        <v>6902.8325441582956</v>
      </c>
      <c r="H37" s="704">
        <f>huishoudens!G12</f>
        <v>0</v>
      </c>
      <c r="I37" s="704">
        <f>huishoudens!H12</f>
        <v>0</v>
      </c>
      <c r="J37" s="704">
        <f>huishoudens!I12</f>
        <v>0</v>
      </c>
      <c r="K37" s="704">
        <f>huishoudens!J12</f>
        <v>944.75863040640343</v>
      </c>
      <c r="L37" s="704">
        <f>huishoudens!K12</f>
        <v>0</v>
      </c>
      <c r="M37" s="704">
        <f>huishoudens!L12</f>
        <v>0</v>
      </c>
      <c r="N37" s="704">
        <f>huishoudens!M12</f>
        <v>0</v>
      </c>
      <c r="O37" s="704">
        <f>huishoudens!N12</f>
        <v>0</v>
      </c>
      <c r="P37" s="704">
        <f>huishoudens!O12</f>
        <v>0</v>
      </c>
      <c r="Q37" s="814">
        <f>huishoudens!P12</f>
        <v>0</v>
      </c>
      <c r="R37" s="905">
        <f ca="1">SUM(C37:Q37)</f>
        <v>14106.964214117637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102.86058895675558</v>
      </c>
      <c r="D39" s="704">
        <f ca="1">industrie!C22</f>
        <v>0</v>
      </c>
      <c r="E39" s="704">
        <f>industrie!D22</f>
        <v>273.54604045450822</v>
      </c>
      <c r="F39" s="704">
        <f>industrie!E22</f>
        <v>58.911288596086933</v>
      </c>
      <c r="G39" s="704">
        <f>industrie!F22</f>
        <v>249.0775685151435</v>
      </c>
      <c r="H39" s="704">
        <f>industrie!G22</f>
        <v>0</v>
      </c>
      <c r="I39" s="704">
        <f>industrie!H22</f>
        <v>0</v>
      </c>
      <c r="J39" s="704">
        <f>industrie!I22</f>
        <v>0</v>
      </c>
      <c r="K39" s="704">
        <f>industrie!J22</f>
        <v>0.42324037003050097</v>
      </c>
      <c r="L39" s="704">
        <f>industrie!K22</f>
        <v>0</v>
      </c>
      <c r="M39" s="704">
        <f>industrie!L22</f>
        <v>0</v>
      </c>
      <c r="N39" s="704">
        <f>industrie!M22</f>
        <v>0</v>
      </c>
      <c r="O39" s="704">
        <f>industrie!N22</f>
        <v>0</v>
      </c>
      <c r="P39" s="704">
        <f>industrie!O22</f>
        <v>0</v>
      </c>
      <c r="Q39" s="814">
        <f>industrie!P22</f>
        <v>0</v>
      </c>
      <c r="R39" s="906">
        <f ca="1">SUM(C39:Q39)</f>
        <v>684.81872689252475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1673.7533579756418</v>
      </c>
      <c r="D41" s="749">
        <f t="shared" ref="D41:R41" ca="1" si="4">SUM(D35:D40)</f>
        <v>0</v>
      </c>
      <c r="E41" s="749">
        <f t="shared" ca="1" si="4"/>
        <v>6359.7390207056314</v>
      </c>
      <c r="F41" s="749">
        <f t="shared" si="4"/>
        <v>744.53292182191808</v>
      </c>
      <c r="G41" s="749">
        <f t="shared" ca="1" si="4"/>
        <v>7521.7840766990694</v>
      </c>
      <c r="H41" s="749">
        <f t="shared" si="4"/>
        <v>0</v>
      </c>
      <c r="I41" s="749">
        <f t="shared" si="4"/>
        <v>0</v>
      </c>
      <c r="J41" s="749">
        <f t="shared" si="4"/>
        <v>0</v>
      </c>
      <c r="K41" s="749">
        <f t="shared" si="4"/>
        <v>945.18187077643393</v>
      </c>
      <c r="L41" s="749">
        <f t="shared" si="4"/>
        <v>0</v>
      </c>
      <c r="M41" s="749">
        <f t="shared" ca="1" si="4"/>
        <v>0</v>
      </c>
      <c r="N41" s="749">
        <f t="shared" si="4"/>
        <v>0</v>
      </c>
      <c r="O41" s="749">
        <f t="shared" ca="1" si="4"/>
        <v>0</v>
      </c>
      <c r="P41" s="749">
        <f t="shared" si="4"/>
        <v>0</v>
      </c>
      <c r="Q41" s="750">
        <f t="shared" si="4"/>
        <v>0</v>
      </c>
      <c r="R41" s="751">
        <f t="shared" ca="1" si="4"/>
        <v>17244.991247978694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162.75764604589838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162.75764604589838</v>
      </c>
    </row>
    <row r="45" spans="1:18" ht="15" thickBot="1">
      <c r="A45" s="876" t="s">
        <v>307</v>
      </c>
      <c r="B45" s="886"/>
      <c r="C45" s="713">
        <f ca="1">transport!B18</f>
        <v>0.13353239123240848</v>
      </c>
      <c r="D45" s="713">
        <f>transport!C18</f>
        <v>0</v>
      </c>
      <c r="E45" s="713">
        <f>transport!D18</f>
        <v>0.88794853105094118</v>
      </c>
      <c r="F45" s="713">
        <f>transport!E18</f>
        <v>29.3875852207577</v>
      </c>
      <c r="G45" s="713">
        <f>transport!F18</f>
        <v>0</v>
      </c>
      <c r="H45" s="713">
        <f>transport!G18</f>
        <v>7142.1246239773</v>
      </c>
      <c r="I45" s="713">
        <f>transport!H18</f>
        <v>1614.600001661471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8787.1336917818116</v>
      </c>
    </row>
    <row r="46" spans="1:18" ht="15.75" thickBot="1">
      <c r="A46" s="874" t="s">
        <v>230</v>
      </c>
      <c r="B46" s="887"/>
      <c r="C46" s="749">
        <f t="shared" ref="C46:R46" ca="1" si="5">SUM(C43:C45)</f>
        <v>0.13353239123240848</v>
      </c>
      <c r="D46" s="749">
        <f t="shared" ca="1" si="5"/>
        <v>0</v>
      </c>
      <c r="E46" s="749">
        <f t="shared" si="5"/>
        <v>0.88794853105094118</v>
      </c>
      <c r="F46" s="749">
        <f t="shared" si="5"/>
        <v>29.3875852207577</v>
      </c>
      <c r="G46" s="749">
        <f t="shared" si="5"/>
        <v>0</v>
      </c>
      <c r="H46" s="749">
        <f t="shared" si="5"/>
        <v>7304.8822700231985</v>
      </c>
      <c r="I46" s="749">
        <f t="shared" si="5"/>
        <v>1614.600001661471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8949.8913378277102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150.0938955276209</v>
      </c>
      <c r="D48" s="704">
        <f ca="1">+landbouw!C12</f>
        <v>0</v>
      </c>
      <c r="E48" s="704">
        <f>+landbouw!D12</f>
        <v>264.21511693523718</v>
      </c>
      <c r="F48" s="704">
        <f>+landbouw!E12</f>
        <v>6.5262517580281703</v>
      </c>
      <c r="G48" s="704">
        <f>+landbouw!F12</f>
        <v>2101.7686524969286</v>
      </c>
      <c r="H48" s="704">
        <f>+landbouw!G12</f>
        <v>0</v>
      </c>
      <c r="I48" s="704">
        <f>+landbouw!H12</f>
        <v>0</v>
      </c>
      <c r="J48" s="704">
        <f>+landbouw!I12</f>
        <v>0</v>
      </c>
      <c r="K48" s="704">
        <f>+landbouw!J12</f>
        <v>121.4622415385831</v>
      </c>
      <c r="L48" s="704">
        <f>+landbouw!K12</f>
        <v>0</v>
      </c>
      <c r="M48" s="704">
        <f>+landbouw!L12</f>
        <v>0</v>
      </c>
      <c r="N48" s="704">
        <f>+landbouw!M12</f>
        <v>0</v>
      </c>
      <c r="O48" s="704">
        <f>+landbouw!N12</f>
        <v>0</v>
      </c>
      <c r="P48" s="704">
        <f>+landbouw!O12</f>
        <v>0</v>
      </c>
      <c r="Q48" s="705">
        <f>+landbouw!P12</f>
        <v>0</v>
      </c>
      <c r="R48" s="747">
        <f ca="1">SUM(C48:Q48)</f>
        <v>2644.0661582563976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1823.9807858944951</v>
      </c>
      <c r="D53" s="759">
        <f t="shared" ref="D53:Q53" ca="1" si="6">D41+D46+D48</f>
        <v>0</v>
      </c>
      <c r="E53" s="759">
        <f t="shared" ca="1" si="6"/>
        <v>6624.8420861719196</v>
      </c>
      <c r="F53" s="759">
        <f t="shared" si="6"/>
        <v>780.44675880070395</v>
      </c>
      <c r="G53" s="759">
        <f t="shared" ca="1" si="6"/>
        <v>9623.5527291959988</v>
      </c>
      <c r="H53" s="759">
        <f t="shared" si="6"/>
        <v>7304.8822700231985</v>
      </c>
      <c r="I53" s="759">
        <f t="shared" si="6"/>
        <v>1614.600001661471</v>
      </c>
      <c r="J53" s="759">
        <f t="shared" si="6"/>
        <v>0</v>
      </c>
      <c r="K53" s="759">
        <f t="shared" si="6"/>
        <v>1066.6441123150171</v>
      </c>
      <c r="L53" s="759">
        <f t="shared" si="6"/>
        <v>0</v>
      </c>
      <c r="M53" s="759">
        <f t="shared" ca="1" si="6"/>
        <v>0</v>
      </c>
      <c r="N53" s="759">
        <f t="shared" si="6"/>
        <v>0</v>
      </c>
      <c r="O53" s="759">
        <f t="shared" ca="1" si="6"/>
        <v>0</v>
      </c>
      <c r="P53" s="759">
        <f>P41+P46+P48</f>
        <v>0</v>
      </c>
      <c r="Q53" s="760">
        <f t="shared" si="6"/>
        <v>0</v>
      </c>
      <c r="R53" s="761">
        <f ca="1">R41+R46+R48</f>
        <v>28838.948744062804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6.5786989022765738E-2</v>
      </c>
      <c r="D55" s="824">
        <f t="shared" ca="1" si="7"/>
        <v>0</v>
      </c>
      <c r="E55" s="824">
        <f t="shared" ca="1" si="7"/>
        <v>0.20200000000000001</v>
      </c>
      <c r="F55" s="824">
        <f t="shared" si="7"/>
        <v>0.22700000000000004</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1887.5983290804729</v>
      </c>
      <c r="C66" s="781">
        <f>'lokale energieproductie'!B6</f>
        <v>1887.5983290804729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17584.650000000001</v>
      </c>
      <c r="C67" s="780">
        <f>B67*IFERROR(SUM(J67:L67)/SUM(D67:M67),0)</f>
        <v>17584.650000000001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20687.823529411766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19472.248329080474</v>
      </c>
      <c r="C69" s="789">
        <f>SUM(C64:C68)</f>
        <v>19472.248329080474</v>
      </c>
      <c r="D69" s="790">
        <f t="shared" ref="D69:M69" si="8">SUM(D67:D68)</f>
        <v>0</v>
      </c>
      <c r="E69" s="790">
        <f t="shared" si="8"/>
        <v>0</v>
      </c>
      <c r="F69" s="790">
        <f t="shared" si="8"/>
        <v>0</v>
      </c>
      <c r="G69" s="790">
        <f t="shared" si="8"/>
        <v>0</v>
      </c>
      <c r="H69" s="790">
        <f t="shared" si="8"/>
        <v>0</v>
      </c>
      <c r="I69" s="790">
        <f t="shared" si="8"/>
        <v>0</v>
      </c>
      <c r="J69" s="790">
        <f t="shared" si="8"/>
        <v>0</v>
      </c>
      <c r="K69" s="790">
        <f t="shared" si="8"/>
        <v>20687.823529411766</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25120.928571428569</v>
      </c>
      <c r="C78" s="803">
        <f>B78*IFERROR(SUM(I78:L78)/SUM(D78:M78),0)</f>
        <v>25120.928571428569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29554.033613445372</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25120.928571428569</v>
      </c>
      <c r="C81" s="789">
        <f>SUM(C78:C80)</f>
        <v>25120.928571428569</v>
      </c>
      <c r="D81" s="789">
        <f t="shared" ref="D81:P81" si="9">SUM(D78:D80)</f>
        <v>0</v>
      </c>
      <c r="E81" s="789">
        <f t="shared" si="9"/>
        <v>0</v>
      </c>
      <c r="F81" s="789">
        <f t="shared" si="9"/>
        <v>0</v>
      </c>
      <c r="G81" s="789">
        <f t="shared" si="9"/>
        <v>0</v>
      </c>
      <c r="H81" s="789">
        <f t="shared" si="9"/>
        <v>0</v>
      </c>
      <c r="I81" s="789">
        <f t="shared" si="9"/>
        <v>0</v>
      </c>
      <c r="J81" s="789">
        <f t="shared" si="9"/>
        <v>0</v>
      </c>
      <c r="K81" s="789">
        <f t="shared" si="9"/>
        <v>29554.033613445372</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16331.581293389758</v>
      </c>
      <c r="C4" s="463">
        <f>huishoudens!C8</f>
        <v>0</v>
      </c>
      <c r="D4" s="463">
        <f>huishoudens!D8</f>
        <v>22376.310845921987</v>
      </c>
      <c r="E4" s="463">
        <f>huishoudens!E8</f>
        <v>2929.3070017799873</v>
      </c>
      <c r="F4" s="463">
        <f>huishoudens!F8</f>
        <v>25853.305408832566</v>
      </c>
      <c r="G4" s="463">
        <f>huishoudens!G8</f>
        <v>0</v>
      </c>
      <c r="H4" s="463">
        <f>huishoudens!H8</f>
        <v>0</v>
      </c>
      <c r="I4" s="463">
        <f>huishoudens!I8</f>
        <v>0</v>
      </c>
      <c r="J4" s="463">
        <f>huishoudens!J8</f>
        <v>2668.8096904135691</v>
      </c>
      <c r="K4" s="463">
        <f>huishoudens!K8</f>
        <v>0</v>
      </c>
      <c r="L4" s="463">
        <f>huishoudens!L8</f>
        <v>0</v>
      </c>
      <c r="M4" s="463">
        <f>huishoudens!M8</f>
        <v>0</v>
      </c>
      <c r="N4" s="463">
        <f>huishoudens!N8</f>
        <v>11459.226994540635</v>
      </c>
      <c r="O4" s="463">
        <f>huishoudens!O8</f>
        <v>164.15</v>
      </c>
      <c r="P4" s="464">
        <f>huishoudens!P8</f>
        <v>266.93333333333334</v>
      </c>
      <c r="Q4" s="465">
        <f>SUM(B4:P4)</f>
        <v>82049.624568211846</v>
      </c>
    </row>
    <row r="5" spans="1:17">
      <c r="A5" s="462" t="s">
        <v>156</v>
      </c>
      <c r="B5" s="463">
        <f ca="1">tertiair!B16</f>
        <v>6878.4456104585097</v>
      </c>
      <c r="C5" s="463">
        <f ca="1">tertiair!C16</f>
        <v>0</v>
      </c>
      <c r="D5" s="463">
        <f ca="1">tertiair!D16</f>
        <v>7753.357373142976</v>
      </c>
      <c r="E5" s="463">
        <f>tertiair!E16</f>
        <v>91.05261595495125</v>
      </c>
      <c r="F5" s="463">
        <f ca="1">tertiair!F16</f>
        <v>1385.2957454143429</v>
      </c>
      <c r="G5" s="463">
        <f>tertiair!G16</f>
        <v>0</v>
      </c>
      <c r="H5" s="463">
        <f>tertiair!H16</f>
        <v>0</v>
      </c>
      <c r="I5" s="463">
        <f>tertiair!I16</f>
        <v>0</v>
      </c>
      <c r="J5" s="463">
        <f>tertiair!J16</f>
        <v>0</v>
      </c>
      <c r="K5" s="463">
        <f>tertiair!K16</f>
        <v>0</v>
      </c>
      <c r="L5" s="463">
        <f ca="1">tertiair!L16</f>
        <v>0</v>
      </c>
      <c r="M5" s="463">
        <f>tertiair!M16</f>
        <v>0</v>
      </c>
      <c r="N5" s="463">
        <f ca="1">tertiair!N16</f>
        <v>782.11930209302409</v>
      </c>
      <c r="O5" s="463">
        <f>tertiair!O16</f>
        <v>4.6900000000000004</v>
      </c>
      <c r="P5" s="464">
        <f>tertiair!P16</f>
        <v>19.066666666666666</v>
      </c>
      <c r="Q5" s="462">
        <f t="shared" ref="Q5:Q13" ca="1" si="0">SUM(B5:P5)</f>
        <v>16914.027313730472</v>
      </c>
    </row>
    <row r="6" spans="1:17">
      <c r="A6" s="462" t="s">
        <v>194</v>
      </c>
      <c r="B6" s="463">
        <f>'openbare verlichting'!B8</f>
        <v>668.44500000000005</v>
      </c>
      <c r="C6" s="463"/>
      <c r="D6" s="463"/>
      <c r="E6" s="463"/>
      <c r="F6" s="463"/>
      <c r="G6" s="463"/>
      <c r="H6" s="463"/>
      <c r="I6" s="463"/>
      <c r="J6" s="463"/>
      <c r="K6" s="463"/>
      <c r="L6" s="463"/>
      <c r="M6" s="463"/>
      <c r="N6" s="463"/>
      <c r="O6" s="463"/>
      <c r="P6" s="464"/>
      <c r="Q6" s="462">
        <f t="shared" si="0"/>
        <v>668.44500000000005</v>
      </c>
    </row>
    <row r="7" spans="1:17">
      <c r="A7" s="462" t="s">
        <v>112</v>
      </c>
      <c r="B7" s="463">
        <f>landbouw!B8</f>
        <v>2281.513377602379</v>
      </c>
      <c r="C7" s="463">
        <f>landbouw!C8</f>
        <v>25120.928571428569</v>
      </c>
      <c r="D7" s="463">
        <f>landbouw!D8</f>
        <v>1307.9956283922631</v>
      </c>
      <c r="E7" s="463">
        <f>landbouw!E8</f>
        <v>28.750007744617488</v>
      </c>
      <c r="F7" s="463">
        <f>landbouw!F8</f>
        <v>7871.7927059810054</v>
      </c>
      <c r="G7" s="463">
        <f>landbouw!G8</f>
        <v>0</v>
      </c>
      <c r="H7" s="463">
        <f>landbouw!H8</f>
        <v>0</v>
      </c>
      <c r="I7" s="463">
        <f>landbouw!I8</f>
        <v>0</v>
      </c>
      <c r="J7" s="463">
        <f>landbouw!J8</f>
        <v>343.11367666266415</v>
      </c>
      <c r="K7" s="463">
        <f>landbouw!K8</f>
        <v>0</v>
      </c>
      <c r="L7" s="463">
        <f>landbouw!L8</f>
        <v>0</v>
      </c>
      <c r="M7" s="463">
        <f>landbouw!M8</f>
        <v>0</v>
      </c>
      <c r="N7" s="463">
        <f>landbouw!N8</f>
        <v>0</v>
      </c>
      <c r="O7" s="463">
        <f>landbouw!O8</f>
        <v>0</v>
      </c>
      <c r="P7" s="464">
        <f>landbouw!P8</f>
        <v>0</v>
      </c>
      <c r="Q7" s="462">
        <f t="shared" si="0"/>
        <v>36954.093967811496</v>
      </c>
    </row>
    <row r="8" spans="1:17">
      <c r="A8" s="462" t="s">
        <v>657</v>
      </c>
      <c r="B8" s="463">
        <f>industrie!B18</f>
        <v>1563.540002129607</v>
      </c>
      <c r="C8" s="463">
        <f>industrie!C18</f>
        <v>0</v>
      </c>
      <c r="D8" s="463">
        <f>industrie!D18</f>
        <v>1354.1883190817236</v>
      </c>
      <c r="E8" s="463">
        <f>industrie!E18</f>
        <v>259.52109513694683</v>
      </c>
      <c r="F8" s="463">
        <f>industrie!F18</f>
        <v>932.87478844623024</v>
      </c>
      <c r="G8" s="463">
        <f>industrie!G18</f>
        <v>0</v>
      </c>
      <c r="H8" s="463">
        <f>industrie!H18</f>
        <v>0</v>
      </c>
      <c r="I8" s="463">
        <f>industrie!I18</f>
        <v>0</v>
      </c>
      <c r="J8" s="463">
        <f>industrie!J18</f>
        <v>1.1955942656228842</v>
      </c>
      <c r="K8" s="463">
        <f>industrie!K18</f>
        <v>0</v>
      </c>
      <c r="L8" s="463">
        <f>industrie!L18</f>
        <v>0</v>
      </c>
      <c r="M8" s="463">
        <f>industrie!M18</f>
        <v>0</v>
      </c>
      <c r="N8" s="463">
        <f>industrie!N18</f>
        <v>406.21386224341416</v>
      </c>
      <c r="O8" s="463">
        <f>industrie!O18</f>
        <v>0</v>
      </c>
      <c r="P8" s="464">
        <f>industrie!P18</f>
        <v>0</v>
      </c>
      <c r="Q8" s="462">
        <f t="shared" si="0"/>
        <v>4517.5336613035452</v>
      </c>
    </row>
    <row r="9" spans="1:17" s="468" customFormat="1">
      <c r="A9" s="466" t="s">
        <v>574</v>
      </c>
      <c r="B9" s="467">
        <f>transport!B14</f>
        <v>2.0297690047221844</v>
      </c>
      <c r="C9" s="467">
        <f>transport!C14</f>
        <v>0</v>
      </c>
      <c r="D9" s="467">
        <f>transport!D14</f>
        <v>4.3957848071828769</v>
      </c>
      <c r="E9" s="467">
        <f>transport!E14</f>
        <v>129.46072784474757</v>
      </c>
      <c r="F9" s="467">
        <f>transport!F14</f>
        <v>0</v>
      </c>
      <c r="G9" s="467">
        <f>transport!G14</f>
        <v>26749.530426881272</v>
      </c>
      <c r="H9" s="467">
        <f>transport!H14</f>
        <v>6484.3373560701648</v>
      </c>
      <c r="I9" s="467">
        <f>transport!I14</f>
        <v>0</v>
      </c>
      <c r="J9" s="467">
        <f>transport!J14</f>
        <v>0</v>
      </c>
      <c r="K9" s="467">
        <f>transport!K14</f>
        <v>0</v>
      </c>
      <c r="L9" s="467">
        <f>transport!L14</f>
        <v>0</v>
      </c>
      <c r="M9" s="467">
        <f>transport!M14</f>
        <v>1484.3152602685789</v>
      </c>
      <c r="N9" s="467">
        <f>transport!N14</f>
        <v>0</v>
      </c>
      <c r="O9" s="467">
        <f>transport!O14</f>
        <v>0</v>
      </c>
      <c r="P9" s="467">
        <f>transport!P14</f>
        <v>0</v>
      </c>
      <c r="Q9" s="466">
        <f>SUM(B9:P9)</f>
        <v>34854.069324876669</v>
      </c>
    </row>
    <row r="10" spans="1:17">
      <c r="A10" s="462" t="s">
        <v>564</v>
      </c>
      <c r="B10" s="463">
        <f>transport!B54</f>
        <v>0</v>
      </c>
      <c r="C10" s="463">
        <f>transport!C54</f>
        <v>0</v>
      </c>
      <c r="D10" s="463">
        <f>transport!D54</f>
        <v>0</v>
      </c>
      <c r="E10" s="463">
        <f>transport!E54</f>
        <v>0</v>
      </c>
      <c r="F10" s="463">
        <f>transport!F54</f>
        <v>0</v>
      </c>
      <c r="G10" s="463">
        <f>transport!G54</f>
        <v>609.57919867377666</v>
      </c>
      <c r="H10" s="463">
        <f>transport!H54</f>
        <v>0</v>
      </c>
      <c r="I10" s="463">
        <f>transport!I54</f>
        <v>0</v>
      </c>
      <c r="J10" s="463">
        <f>transport!J54</f>
        <v>0</v>
      </c>
      <c r="K10" s="463">
        <f>transport!K54</f>
        <v>0</v>
      </c>
      <c r="L10" s="463">
        <f>transport!L54</f>
        <v>0</v>
      </c>
      <c r="M10" s="463">
        <f>transport!M54</f>
        <v>27.109477944768805</v>
      </c>
      <c r="N10" s="463">
        <f>transport!N54</f>
        <v>0</v>
      </c>
      <c r="O10" s="463">
        <f>transport!O54</f>
        <v>0</v>
      </c>
      <c r="P10" s="464">
        <f>transport!P54</f>
        <v>0</v>
      </c>
      <c r="Q10" s="462">
        <f t="shared" si="0"/>
        <v>636.68867661854551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27725.555052584976</v>
      </c>
      <c r="C14" s="473">
        <f t="shared" ref="C14:Q14" ca="1" si="1">SUM(C4:C13)</f>
        <v>25120.928571428569</v>
      </c>
      <c r="D14" s="473">
        <f t="shared" ca="1" si="1"/>
        <v>32796.247951346129</v>
      </c>
      <c r="E14" s="473">
        <f t="shared" si="1"/>
        <v>3438.0914484612504</v>
      </c>
      <c r="F14" s="473">
        <f t="shared" ca="1" si="1"/>
        <v>36043.268648674144</v>
      </c>
      <c r="G14" s="473">
        <f t="shared" si="1"/>
        <v>27359.109625555047</v>
      </c>
      <c r="H14" s="473">
        <f t="shared" si="1"/>
        <v>6484.3373560701648</v>
      </c>
      <c r="I14" s="473">
        <f t="shared" si="1"/>
        <v>0</v>
      </c>
      <c r="J14" s="473">
        <f t="shared" si="1"/>
        <v>3013.118961341856</v>
      </c>
      <c r="K14" s="473">
        <f t="shared" si="1"/>
        <v>0</v>
      </c>
      <c r="L14" s="473">
        <f t="shared" ca="1" si="1"/>
        <v>0</v>
      </c>
      <c r="M14" s="473">
        <f t="shared" si="1"/>
        <v>1511.4247382133476</v>
      </c>
      <c r="N14" s="473">
        <f t="shared" ca="1" si="1"/>
        <v>12647.560158877073</v>
      </c>
      <c r="O14" s="473">
        <f t="shared" si="1"/>
        <v>168.84</v>
      </c>
      <c r="P14" s="474">
        <f t="shared" si="1"/>
        <v>286</v>
      </c>
      <c r="Q14" s="474">
        <f t="shared" ca="1" si="1"/>
        <v>176594.48251255258</v>
      </c>
    </row>
    <row r="16" spans="1:17">
      <c r="A16" s="476" t="s">
        <v>569</v>
      </c>
      <c r="B16" s="829">
        <f ca="1">huishoudens!B10</f>
        <v>6.5786989022765738E-2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1074.4055592726384</v>
      </c>
      <c r="C21" s="463">
        <f t="shared" ref="C21:C30" ca="1" si="3">C4*$C$16</f>
        <v>0</v>
      </c>
      <c r="D21" s="463">
        <f t="shared" ref="D21:D30" si="4">D4*$D$16</f>
        <v>4520.0147908762419</v>
      </c>
      <c r="E21" s="463">
        <f t="shared" ref="E21:E30" si="5">E4*$E$16</f>
        <v>664.9526894040572</v>
      </c>
      <c r="F21" s="463">
        <f t="shared" ref="F21:F30" si="6">F4*$F$16</f>
        <v>6902.8325441582956</v>
      </c>
      <c r="G21" s="463">
        <f t="shared" ref="G21:G30" si="7">G4*$G$16</f>
        <v>0</v>
      </c>
      <c r="H21" s="463">
        <f t="shared" ref="H21:H30" si="8">H4*$H$16</f>
        <v>0</v>
      </c>
      <c r="I21" s="463">
        <f t="shared" ref="I21:I30" si="9">I4*$I$16</f>
        <v>0</v>
      </c>
      <c r="J21" s="463">
        <f t="shared" ref="J21:J30" si="10">J4*$J$16</f>
        <v>944.75863040640343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14106.964214117637</v>
      </c>
    </row>
    <row r="22" spans="1:17">
      <c r="A22" s="462" t="s">
        <v>156</v>
      </c>
      <c r="B22" s="463">
        <f t="shared" ca="1" si="2"/>
        <v>452.51222586892516</v>
      </c>
      <c r="C22" s="463">
        <f t="shared" ca="1" si="3"/>
        <v>0</v>
      </c>
      <c r="D22" s="463">
        <f t="shared" ca="1" si="4"/>
        <v>1566.1781893748812</v>
      </c>
      <c r="E22" s="463">
        <f t="shared" si="5"/>
        <v>20.668943821773933</v>
      </c>
      <c r="F22" s="463">
        <f t="shared" ca="1" si="6"/>
        <v>369.87396402562956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2409.23332309121</v>
      </c>
    </row>
    <row r="23" spans="1:17">
      <c r="A23" s="462" t="s">
        <v>194</v>
      </c>
      <c r="B23" s="463">
        <f t="shared" ca="1" si="2"/>
        <v>43.97498387732265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43.97498387732265</v>
      </c>
    </row>
    <row r="24" spans="1:17">
      <c r="A24" s="462" t="s">
        <v>112</v>
      </c>
      <c r="B24" s="463">
        <f t="shared" ca="1" si="2"/>
        <v>150.0938955276209</v>
      </c>
      <c r="C24" s="463">
        <f t="shared" ca="1" si="3"/>
        <v>0</v>
      </c>
      <c r="D24" s="463">
        <f t="shared" si="4"/>
        <v>264.21511693523718</v>
      </c>
      <c r="E24" s="463">
        <f t="shared" si="5"/>
        <v>6.5262517580281703</v>
      </c>
      <c r="F24" s="463">
        <f t="shared" si="6"/>
        <v>2101.7686524969286</v>
      </c>
      <c r="G24" s="463">
        <f t="shared" si="7"/>
        <v>0</v>
      </c>
      <c r="H24" s="463">
        <f t="shared" si="8"/>
        <v>0</v>
      </c>
      <c r="I24" s="463">
        <f t="shared" si="9"/>
        <v>0</v>
      </c>
      <c r="J24" s="463">
        <f t="shared" si="10"/>
        <v>121.4622415385831</v>
      </c>
      <c r="K24" s="463">
        <f t="shared" si="11"/>
        <v>0</v>
      </c>
      <c r="L24" s="463">
        <f t="shared" si="12"/>
        <v>0</v>
      </c>
      <c r="M24" s="463">
        <f t="shared" si="13"/>
        <v>0</v>
      </c>
      <c r="N24" s="463">
        <f t="shared" si="14"/>
        <v>0</v>
      </c>
      <c r="O24" s="463">
        <f t="shared" si="15"/>
        <v>0</v>
      </c>
      <c r="P24" s="464">
        <f t="shared" si="16"/>
        <v>0</v>
      </c>
      <c r="Q24" s="462">
        <f t="shared" ca="1" si="17"/>
        <v>2644.0661582563976</v>
      </c>
    </row>
    <row r="25" spans="1:17">
      <c r="A25" s="462" t="s">
        <v>657</v>
      </c>
      <c r="B25" s="463">
        <f t="shared" ca="1" si="2"/>
        <v>102.86058895675558</v>
      </c>
      <c r="C25" s="463">
        <f t="shared" ca="1" si="3"/>
        <v>0</v>
      </c>
      <c r="D25" s="463">
        <f t="shared" si="4"/>
        <v>273.54604045450822</v>
      </c>
      <c r="E25" s="463">
        <f t="shared" si="5"/>
        <v>58.911288596086933</v>
      </c>
      <c r="F25" s="463">
        <f t="shared" si="6"/>
        <v>249.0775685151435</v>
      </c>
      <c r="G25" s="463">
        <f t="shared" si="7"/>
        <v>0</v>
      </c>
      <c r="H25" s="463">
        <f t="shared" si="8"/>
        <v>0</v>
      </c>
      <c r="I25" s="463">
        <f t="shared" si="9"/>
        <v>0</v>
      </c>
      <c r="J25" s="463">
        <f t="shared" si="10"/>
        <v>0.42324037003050097</v>
      </c>
      <c r="K25" s="463">
        <f t="shared" si="11"/>
        <v>0</v>
      </c>
      <c r="L25" s="463">
        <f t="shared" si="12"/>
        <v>0</v>
      </c>
      <c r="M25" s="463">
        <f t="shared" si="13"/>
        <v>0</v>
      </c>
      <c r="N25" s="463">
        <f t="shared" si="14"/>
        <v>0</v>
      </c>
      <c r="O25" s="463">
        <f t="shared" si="15"/>
        <v>0</v>
      </c>
      <c r="P25" s="464">
        <f t="shared" si="16"/>
        <v>0</v>
      </c>
      <c r="Q25" s="462">
        <f t="shared" ca="1" si="17"/>
        <v>684.81872689252475</v>
      </c>
    </row>
    <row r="26" spans="1:17" s="468" customFormat="1">
      <c r="A26" s="466" t="s">
        <v>574</v>
      </c>
      <c r="B26" s="823">
        <f t="shared" ca="1" si="2"/>
        <v>0.13353239123240848</v>
      </c>
      <c r="C26" s="467">
        <f t="shared" ca="1" si="3"/>
        <v>0</v>
      </c>
      <c r="D26" s="467">
        <f t="shared" si="4"/>
        <v>0.88794853105094118</v>
      </c>
      <c r="E26" s="467">
        <f t="shared" si="5"/>
        <v>29.3875852207577</v>
      </c>
      <c r="F26" s="467">
        <f t="shared" si="6"/>
        <v>0</v>
      </c>
      <c r="G26" s="467">
        <f t="shared" si="7"/>
        <v>7142.1246239773</v>
      </c>
      <c r="H26" s="467">
        <f t="shared" si="8"/>
        <v>1614.600001661471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8787.1336917818116</v>
      </c>
    </row>
    <row r="27" spans="1:17">
      <c r="A27" s="462" t="s">
        <v>564</v>
      </c>
      <c r="B27" s="463">
        <f t="shared" ca="1" si="2"/>
        <v>0</v>
      </c>
      <c r="C27" s="463">
        <f t="shared" ca="1" si="3"/>
        <v>0</v>
      </c>
      <c r="D27" s="463">
        <f t="shared" si="4"/>
        <v>0</v>
      </c>
      <c r="E27" s="463">
        <f t="shared" si="5"/>
        <v>0</v>
      </c>
      <c r="F27" s="463">
        <f t="shared" si="6"/>
        <v>0</v>
      </c>
      <c r="G27" s="463">
        <f t="shared" si="7"/>
        <v>162.75764604589838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162.75764604589838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1823.9807858944948</v>
      </c>
      <c r="C31" s="473">
        <f t="shared" ca="1" si="18"/>
        <v>0</v>
      </c>
      <c r="D31" s="473">
        <f t="shared" ca="1" si="18"/>
        <v>6624.8420861719196</v>
      </c>
      <c r="E31" s="473">
        <f t="shared" si="18"/>
        <v>780.44675880070395</v>
      </c>
      <c r="F31" s="473">
        <f t="shared" ca="1" si="18"/>
        <v>9623.552729195997</v>
      </c>
      <c r="G31" s="473">
        <f t="shared" si="18"/>
        <v>7304.8822700231985</v>
      </c>
      <c r="H31" s="473">
        <f t="shared" si="18"/>
        <v>1614.600001661471</v>
      </c>
      <c r="I31" s="473">
        <f t="shared" si="18"/>
        <v>0</v>
      </c>
      <c r="J31" s="473">
        <f t="shared" si="18"/>
        <v>1066.6441123150171</v>
      </c>
      <c r="K31" s="473">
        <f t="shared" si="18"/>
        <v>0</v>
      </c>
      <c r="L31" s="473">
        <f t="shared" ca="1" si="18"/>
        <v>0</v>
      </c>
      <c r="M31" s="473">
        <f t="shared" si="18"/>
        <v>0</v>
      </c>
      <c r="N31" s="473">
        <f t="shared" ca="1" si="18"/>
        <v>0</v>
      </c>
      <c r="O31" s="473">
        <f t="shared" si="18"/>
        <v>0</v>
      </c>
      <c r="P31" s="474">
        <f t="shared" si="18"/>
        <v>0</v>
      </c>
      <c r="Q31" s="474">
        <f t="shared" ca="1" si="18"/>
        <v>28838.948744062807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6.5786989022765738E-2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6.5786989022765738E-2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6.5786989022765738E-2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3376</v>
      </c>
      <c r="C9" s="338">
        <v>3320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2793</v>
      </c>
    </row>
    <row r="15" spans="1:6">
      <c r="A15" s="1212" t="s">
        <v>184</v>
      </c>
      <c r="B15" s="335">
        <v>47</v>
      </c>
    </row>
    <row r="16" spans="1:6">
      <c r="A16" s="1212" t="s">
        <v>6</v>
      </c>
      <c r="B16" s="335">
        <v>2413</v>
      </c>
    </row>
    <row r="17" spans="1:6">
      <c r="A17" s="1212" t="s">
        <v>7</v>
      </c>
      <c r="B17" s="335">
        <v>680</v>
      </c>
    </row>
    <row r="18" spans="1:6">
      <c r="A18" s="1212" t="s">
        <v>8</v>
      </c>
      <c r="B18" s="335">
        <v>1879</v>
      </c>
    </row>
    <row r="19" spans="1:6">
      <c r="A19" s="1212" t="s">
        <v>9</v>
      </c>
      <c r="B19" s="335">
        <v>1800</v>
      </c>
    </row>
    <row r="20" spans="1:6">
      <c r="A20" s="1212" t="s">
        <v>10</v>
      </c>
      <c r="B20" s="335">
        <v>1217</v>
      </c>
    </row>
    <row r="21" spans="1:6">
      <c r="A21" s="1212" t="s">
        <v>11</v>
      </c>
      <c r="B21" s="335">
        <v>3870</v>
      </c>
    </row>
    <row r="22" spans="1:6">
      <c r="A22" s="1212" t="s">
        <v>12</v>
      </c>
      <c r="B22" s="335">
        <v>14288</v>
      </c>
    </row>
    <row r="23" spans="1:6">
      <c r="A23" s="1212" t="s">
        <v>13</v>
      </c>
      <c r="B23" s="335">
        <v>119</v>
      </c>
    </row>
    <row r="24" spans="1:6">
      <c r="A24" s="1212" t="s">
        <v>14</v>
      </c>
      <c r="B24" s="335">
        <v>11</v>
      </c>
    </row>
    <row r="25" spans="1:6">
      <c r="A25" s="1212" t="s">
        <v>15</v>
      </c>
      <c r="B25" s="335">
        <v>957</v>
      </c>
    </row>
    <row r="26" spans="1:6">
      <c r="A26" s="1212" t="s">
        <v>16</v>
      </c>
      <c r="B26" s="335">
        <v>90</v>
      </c>
    </row>
    <row r="27" spans="1:6">
      <c r="A27" s="1212" t="s">
        <v>17</v>
      </c>
      <c r="B27" s="335">
        <v>0</v>
      </c>
    </row>
    <row r="28" spans="1:6" s="341" customFormat="1">
      <c r="A28" s="1213" t="s">
        <v>18</v>
      </c>
      <c r="B28" s="1213">
        <v>102146</v>
      </c>
    </row>
    <row r="29" spans="1:6">
      <c r="A29" s="1213" t="s">
        <v>836</v>
      </c>
      <c r="B29" s="1213">
        <v>67</v>
      </c>
      <c r="C29" s="341"/>
      <c r="D29" s="341"/>
      <c r="E29" s="341"/>
      <c r="F29" s="341"/>
    </row>
    <row r="30" spans="1:6">
      <c r="A30" s="1208" t="s">
        <v>837</v>
      </c>
      <c r="B30" s="1208">
        <v>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4</v>
      </c>
      <c r="F38" s="335">
        <v>44080.827134166801</v>
      </c>
    </row>
    <row r="39" spans="1:6">
      <c r="A39" s="1212" t="s">
        <v>30</v>
      </c>
      <c r="B39" s="1212" t="s">
        <v>31</v>
      </c>
      <c r="C39" s="335">
        <v>1374</v>
      </c>
      <c r="D39" s="335">
        <v>24807439.962219499</v>
      </c>
      <c r="E39" s="335">
        <v>3114</v>
      </c>
      <c r="F39" s="335">
        <v>14861306.0267359</v>
      </c>
    </row>
    <row r="40" spans="1:6">
      <c r="A40" s="1212" t="s">
        <v>30</v>
      </c>
      <c r="B40" s="1212" t="s">
        <v>29</v>
      </c>
      <c r="C40" s="335">
        <v>0</v>
      </c>
      <c r="D40" s="335">
        <v>0</v>
      </c>
      <c r="E40" s="335">
        <v>0</v>
      </c>
      <c r="F40" s="335">
        <v>0</v>
      </c>
    </row>
    <row r="41" spans="1:6">
      <c r="A41" s="1212" t="s">
        <v>32</v>
      </c>
      <c r="B41" s="1212" t="s">
        <v>33</v>
      </c>
      <c r="C41" s="335">
        <v>24</v>
      </c>
      <c r="D41" s="335">
        <v>713317.61220457905</v>
      </c>
      <c r="E41" s="335">
        <v>90</v>
      </c>
      <c r="F41" s="335">
        <v>796812.96350966301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103170.01036944101</v>
      </c>
      <c r="E44" s="335">
        <v>7</v>
      </c>
      <c r="F44" s="335">
        <v>126667.58535527901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23</v>
      </c>
      <c r="D48" s="335">
        <v>684829.80434585095</v>
      </c>
      <c r="E48" s="335">
        <v>32</v>
      </c>
      <c r="F48" s="335">
        <v>465570.31139931898</v>
      </c>
    </row>
    <row r="49" spans="1:6">
      <c r="A49" s="1212" t="s">
        <v>32</v>
      </c>
      <c r="B49" s="1212" t="s">
        <v>40</v>
      </c>
      <c r="C49" s="335">
        <v>0</v>
      </c>
      <c r="D49" s="335">
        <v>0</v>
      </c>
      <c r="E49" s="335">
        <v>0</v>
      </c>
      <c r="F49" s="335">
        <v>0</v>
      </c>
    </row>
    <row r="50" spans="1:6">
      <c r="A50" s="1212" t="s">
        <v>32</v>
      </c>
      <c r="B50" s="1212" t="s">
        <v>41</v>
      </c>
      <c r="C50" s="335">
        <v>0</v>
      </c>
      <c r="D50" s="335">
        <v>0</v>
      </c>
      <c r="E50" s="335">
        <v>3</v>
      </c>
      <c r="F50" s="335">
        <v>174489.141865346</v>
      </c>
    </row>
    <row r="51" spans="1:6">
      <c r="A51" s="1212" t="s">
        <v>42</v>
      </c>
      <c r="B51" s="1212" t="s">
        <v>43</v>
      </c>
      <c r="C51" s="335">
        <v>0</v>
      </c>
      <c r="D51" s="335">
        <v>0</v>
      </c>
      <c r="E51" s="335">
        <v>101</v>
      </c>
      <c r="F51" s="335">
        <v>1966822.56837215</v>
      </c>
    </row>
    <row r="52" spans="1:6">
      <c r="A52" s="1212" t="s">
        <v>42</v>
      </c>
      <c r="B52" s="1212" t="s">
        <v>29</v>
      </c>
      <c r="C52" s="335">
        <v>5</v>
      </c>
      <c r="D52" s="335">
        <v>120913.285894391</v>
      </c>
      <c r="E52" s="335">
        <v>16</v>
      </c>
      <c r="F52" s="335">
        <v>314690.809230229</v>
      </c>
    </row>
    <row r="53" spans="1:6">
      <c r="A53" s="1212" t="s">
        <v>44</v>
      </c>
      <c r="B53" s="1212" t="s">
        <v>45</v>
      </c>
      <c r="C53" s="335">
        <v>42</v>
      </c>
      <c r="D53" s="335">
        <v>1329192.7322788499</v>
      </c>
      <c r="E53" s="335">
        <v>115</v>
      </c>
      <c r="F53" s="335">
        <v>713135.11437818699</v>
      </c>
    </row>
    <row r="54" spans="1:6">
      <c r="A54" s="1212" t="s">
        <v>46</v>
      </c>
      <c r="B54" s="1212" t="s">
        <v>47</v>
      </c>
      <c r="C54" s="335">
        <v>0</v>
      </c>
      <c r="D54" s="335">
        <v>0</v>
      </c>
      <c r="E54" s="335">
        <v>3</v>
      </c>
      <c r="F54" s="335">
        <v>668445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10</v>
      </c>
      <c r="D57" s="335">
        <v>1625341.6248693201</v>
      </c>
      <c r="E57" s="335">
        <v>25</v>
      </c>
      <c r="F57" s="335">
        <v>846918.89584497898</v>
      </c>
    </row>
    <row r="58" spans="1:6">
      <c r="A58" s="1212" t="s">
        <v>49</v>
      </c>
      <c r="B58" s="1212" t="s">
        <v>51</v>
      </c>
      <c r="C58" s="335">
        <v>0</v>
      </c>
      <c r="D58" s="335">
        <v>0</v>
      </c>
      <c r="E58" s="335">
        <v>13</v>
      </c>
      <c r="F58" s="335">
        <v>93126.490123837299</v>
      </c>
    </row>
    <row r="59" spans="1:6">
      <c r="A59" s="1212" t="s">
        <v>49</v>
      </c>
      <c r="B59" s="1212" t="s">
        <v>52</v>
      </c>
      <c r="C59" s="335">
        <v>10</v>
      </c>
      <c r="D59" s="335">
        <v>514596.07577814499</v>
      </c>
      <c r="E59" s="335">
        <v>63</v>
      </c>
      <c r="F59" s="335">
        <v>1766450.6988794301</v>
      </c>
    </row>
    <row r="60" spans="1:6">
      <c r="A60" s="1212" t="s">
        <v>49</v>
      </c>
      <c r="B60" s="1212" t="s">
        <v>53</v>
      </c>
      <c r="C60" s="335">
        <v>11</v>
      </c>
      <c r="D60" s="335">
        <v>640642.32850639697</v>
      </c>
      <c r="E60" s="335">
        <v>22</v>
      </c>
      <c r="F60" s="335">
        <v>498139.88942163403</v>
      </c>
    </row>
    <row r="61" spans="1:6">
      <c r="A61" s="1212" t="s">
        <v>49</v>
      </c>
      <c r="B61" s="1212" t="s">
        <v>54</v>
      </c>
      <c r="C61" s="335">
        <v>66</v>
      </c>
      <c r="D61" s="335">
        <v>1696793.8618135301</v>
      </c>
      <c r="E61" s="335">
        <v>153</v>
      </c>
      <c r="F61" s="335">
        <v>1337180.28916125</v>
      </c>
    </row>
    <row r="62" spans="1:6">
      <c r="A62" s="1212" t="s">
        <v>49</v>
      </c>
      <c r="B62" s="1212" t="s">
        <v>55</v>
      </c>
      <c r="C62" s="335">
        <v>0</v>
      </c>
      <c r="D62" s="335">
        <v>0</v>
      </c>
      <c r="E62" s="335">
        <v>0</v>
      </c>
      <c r="F62" s="335">
        <v>0</v>
      </c>
    </row>
    <row r="63" spans="1:6">
      <c r="A63" s="1212" t="s">
        <v>49</v>
      </c>
      <c r="B63" s="1212" t="s">
        <v>29</v>
      </c>
      <c r="C63" s="335">
        <v>74</v>
      </c>
      <c r="D63" s="335">
        <v>4118365.9905658402</v>
      </c>
      <c r="E63" s="335">
        <v>139</v>
      </c>
      <c r="F63" s="335">
        <v>2336629.34702738</v>
      </c>
    </row>
    <row r="64" spans="1:6">
      <c r="A64" s="1212" t="s">
        <v>56</v>
      </c>
      <c r="B64" s="1212" t="s">
        <v>57</v>
      </c>
      <c r="C64" s="335">
        <v>0</v>
      </c>
      <c r="D64" s="335">
        <v>0</v>
      </c>
      <c r="E64" s="335">
        <v>0</v>
      </c>
      <c r="F64" s="335">
        <v>0</v>
      </c>
    </row>
    <row r="65" spans="1:6">
      <c r="A65" s="1212" t="s">
        <v>56</v>
      </c>
      <c r="B65" s="1212" t="s">
        <v>29</v>
      </c>
      <c r="C65" s="335">
        <v>3</v>
      </c>
      <c r="D65" s="335">
        <v>70460.727796321604</v>
      </c>
      <c r="E65" s="335">
        <v>2</v>
      </c>
      <c r="F65" s="335">
        <v>11243.461284347301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11</v>
      </c>
      <c r="F68" s="335">
        <v>90827.668106559795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12000985</v>
      </c>
      <c r="E73" s="335">
        <v>13048210.962295987</v>
      </c>
    </row>
    <row r="74" spans="1:6">
      <c r="A74" s="1212" t="s">
        <v>64</v>
      </c>
      <c r="B74" s="1212" t="s">
        <v>727</v>
      </c>
      <c r="C74" s="1212" t="s">
        <v>728</v>
      </c>
      <c r="D74" s="335">
        <v>864970.22203697625</v>
      </c>
      <c r="E74" s="335">
        <v>920432.09836481698</v>
      </c>
    </row>
    <row r="75" spans="1:6">
      <c r="A75" s="1212" t="s">
        <v>65</v>
      </c>
      <c r="B75" s="1212" t="s">
        <v>725</v>
      </c>
      <c r="C75" s="1212" t="s">
        <v>729</v>
      </c>
      <c r="D75" s="335">
        <v>25171585</v>
      </c>
      <c r="E75" s="335">
        <v>27463800.887292933</v>
      </c>
    </row>
    <row r="76" spans="1:6">
      <c r="A76" s="1212" t="s">
        <v>65</v>
      </c>
      <c r="B76" s="1212" t="s">
        <v>727</v>
      </c>
      <c r="C76" s="1212" t="s">
        <v>730</v>
      </c>
      <c r="D76" s="335">
        <v>669312.22203697625</v>
      </c>
      <c r="E76" s="335">
        <v>733995.24718981539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168205.5559260475</v>
      </c>
      <c r="C83" s="335">
        <v>167864.64160896273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1470.275266653859</v>
      </c>
    </row>
    <row r="92" spans="1:6">
      <c r="A92" s="1208" t="s">
        <v>69</v>
      </c>
      <c r="B92" s="338">
        <v>417.32306242661377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570</v>
      </c>
    </row>
    <row r="98" spans="1:6">
      <c r="A98" s="1212" t="s">
        <v>72</v>
      </c>
      <c r="B98" s="335">
        <v>0</v>
      </c>
    </row>
    <row r="99" spans="1:6">
      <c r="A99" s="1212" t="s">
        <v>73</v>
      </c>
      <c r="B99" s="335">
        <v>92</v>
      </c>
    </row>
    <row r="100" spans="1:6">
      <c r="A100" s="1212" t="s">
        <v>74</v>
      </c>
      <c r="B100" s="335">
        <v>401</v>
      </c>
    </row>
    <row r="101" spans="1:6">
      <c r="A101" s="1212" t="s">
        <v>75</v>
      </c>
      <c r="B101" s="335">
        <v>96</v>
      </c>
    </row>
    <row r="102" spans="1:6">
      <c r="A102" s="1212" t="s">
        <v>76</v>
      </c>
      <c r="B102" s="335">
        <v>61</v>
      </c>
    </row>
    <row r="103" spans="1:6">
      <c r="A103" s="1212" t="s">
        <v>77</v>
      </c>
      <c r="B103" s="335">
        <v>146</v>
      </c>
    </row>
    <row r="104" spans="1:6">
      <c r="A104" s="1212" t="s">
        <v>78</v>
      </c>
      <c r="B104" s="335">
        <v>1746</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94</v>
      </c>
    </row>
    <row r="130" spans="1:6">
      <c r="A130" s="1212" t="s">
        <v>295</v>
      </c>
      <c r="B130" s="335">
        <v>3</v>
      </c>
    </row>
    <row r="131" spans="1:6">
      <c r="A131" s="1212" t="s">
        <v>296</v>
      </c>
      <c r="B131" s="335">
        <v>1</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27725.555052584976</v>
      </c>
      <c r="C3" s="43" t="s">
        <v>170</v>
      </c>
      <c r="D3" s="43"/>
      <c r="E3" s="156"/>
      <c r="F3" s="43"/>
      <c r="G3" s="43"/>
      <c r="H3" s="43"/>
      <c r="I3" s="43"/>
      <c r="J3" s="43"/>
      <c r="K3" s="96"/>
    </row>
    <row r="4" spans="1:11">
      <c r="A4" s="366" t="s">
        <v>171</v>
      </c>
      <c r="B4" s="49">
        <f>IF(ISERROR('SEAP template'!B69),0,'SEAP template'!B69)</f>
        <v>19472.248329080474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6.5786989022765738E-2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25120.928571428569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668.44500000000005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668.44500000000005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6.5786989022765738E-2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43.97498387732265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14861.3060267359</v>
      </c>
      <c r="C5" s="17">
        <f>IF(ISERROR('Eigen informatie GS &amp; warmtenet'!B57),0,'Eigen informatie GS &amp; warmtenet'!B57)</f>
        <v>0</v>
      </c>
      <c r="D5" s="30">
        <f>(SUM(HH_hh_gas_kWh,HH_rest_gas_kWh)/1000)*0.902</f>
        <v>22376.310845921987</v>
      </c>
      <c r="E5" s="17">
        <f>B46*B57</f>
        <v>2929.3070017799873</v>
      </c>
      <c r="F5" s="17">
        <f>B51*B62</f>
        <v>25853.305408832566</v>
      </c>
      <c r="G5" s="18"/>
      <c r="H5" s="17"/>
      <c r="I5" s="17"/>
      <c r="J5" s="17">
        <f>B50*B61+C50*C61</f>
        <v>2668.8096904135691</v>
      </c>
      <c r="K5" s="17"/>
      <c r="L5" s="17"/>
      <c r="M5" s="17"/>
      <c r="N5" s="17">
        <f>B48*B59+C48*C59</f>
        <v>11459.226994540635</v>
      </c>
      <c r="O5" s="17">
        <f>B69*B70*B71</f>
        <v>164.15</v>
      </c>
      <c r="P5" s="17">
        <f>B77*B78*B79/1000-B77*B78*B79/1000/B80</f>
        <v>266.93333333333334</v>
      </c>
    </row>
    <row r="6" spans="1:16">
      <c r="A6" s="16" t="s">
        <v>634</v>
      </c>
      <c r="B6" s="831">
        <f>kWh_PV_kleiner_dan_10kW</f>
        <v>1470.275266653859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16331.581293389758</v>
      </c>
      <c r="C8" s="21">
        <f>C5</f>
        <v>0</v>
      </c>
      <c r="D8" s="21">
        <f>D5</f>
        <v>22376.310845921987</v>
      </c>
      <c r="E8" s="21">
        <f>E5</f>
        <v>2929.3070017799873</v>
      </c>
      <c r="F8" s="21">
        <f>F5</f>
        <v>25853.305408832566</v>
      </c>
      <c r="G8" s="21"/>
      <c r="H8" s="21"/>
      <c r="I8" s="21"/>
      <c r="J8" s="21">
        <f>J5</f>
        <v>2668.8096904135691</v>
      </c>
      <c r="K8" s="21"/>
      <c r="L8" s="21">
        <f>L5</f>
        <v>0</v>
      </c>
      <c r="M8" s="21">
        <f>M5</f>
        <v>0</v>
      </c>
      <c r="N8" s="21">
        <f>N5</f>
        <v>11459.226994540635</v>
      </c>
      <c r="O8" s="21">
        <f>O5</f>
        <v>164.15</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6.5786989022765738E-2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1074.4055592726384</v>
      </c>
      <c r="C12" s="23">
        <f ca="1">C10*C8</f>
        <v>0</v>
      </c>
      <c r="D12" s="23">
        <f>D8*D10</f>
        <v>4520.0147908762419</v>
      </c>
      <c r="E12" s="23">
        <f>E10*E8</f>
        <v>664.9526894040572</v>
      </c>
      <c r="F12" s="23">
        <f>F10*F8</f>
        <v>6902.8325441582956</v>
      </c>
      <c r="G12" s="23"/>
      <c r="H12" s="23"/>
      <c r="I12" s="23"/>
      <c r="J12" s="23">
        <f>J10*J8</f>
        <v>944.75863040640343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570</v>
      </c>
      <c r="C18" s="168" t="s">
        <v>111</v>
      </c>
      <c r="D18" s="230"/>
      <c r="E18" s="15"/>
    </row>
    <row r="19" spans="1:7">
      <c r="A19" s="173" t="s">
        <v>72</v>
      </c>
      <c r="B19" s="37">
        <f>aantalw2001_ander</f>
        <v>0</v>
      </c>
      <c r="C19" s="168" t="s">
        <v>111</v>
      </c>
      <c r="D19" s="231"/>
      <c r="E19" s="15"/>
    </row>
    <row r="20" spans="1:7">
      <c r="A20" s="173" t="s">
        <v>73</v>
      </c>
      <c r="B20" s="37">
        <f>aantalw2001_propaan</f>
        <v>92</v>
      </c>
      <c r="C20" s="169">
        <f>IF(ISERROR(B20/SUM($B$20,$B$21,$B$22)*100),0,B20/SUM($B$20,$B$21,$B$22)*100)</f>
        <v>15.619694397283531</v>
      </c>
      <c r="D20" s="231"/>
      <c r="E20" s="15"/>
    </row>
    <row r="21" spans="1:7">
      <c r="A21" s="173" t="s">
        <v>74</v>
      </c>
      <c r="B21" s="37">
        <f>aantalw2001_elektriciteit</f>
        <v>401</v>
      </c>
      <c r="C21" s="169">
        <f>IF(ISERROR(B21/SUM($B$20,$B$21,$B$22)*100),0,B21/SUM($B$20,$B$21,$B$22)*100)</f>
        <v>68.081494057724953</v>
      </c>
      <c r="D21" s="231"/>
      <c r="E21" s="15"/>
    </row>
    <row r="22" spans="1:7">
      <c r="A22" s="173" t="s">
        <v>75</v>
      </c>
      <c r="B22" s="37">
        <f>aantalw2001_hout</f>
        <v>96</v>
      </c>
      <c r="C22" s="169">
        <f>IF(ISERROR(B22/SUM($B$20,$B$21,$B$22)*100),0,B22/SUM($B$20,$B$21,$B$22)*100)</f>
        <v>16.298811544991512</v>
      </c>
      <c r="D22" s="231"/>
      <c r="E22" s="15"/>
    </row>
    <row r="23" spans="1:7">
      <c r="A23" s="173" t="s">
        <v>76</v>
      </c>
      <c r="B23" s="37">
        <f>aantalw2001_niet_gespec</f>
        <v>61</v>
      </c>
      <c r="C23" s="168" t="s">
        <v>111</v>
      </c>
      <c r="D23" s="230"/>
      <c r="E23" s="15"/>
    </row>
    <row r="24" spans="1:7">
      <c r="A24" s="173" t="s">
        <v>77</v>
      </c>
      <c r="B24" s="37">
        <f>aantalw2001_steenkool</f>
        <v>146</v>
      </c>
      <c r="C24" s="168" t="s">
        <v>111</v>
      </c>
      <c r="D24" s="231"/>
      <c r="E24" s="15"/>
    </row>
    <row r="25" spans="1:7">
      <c r="A25" s="173" t="s">
        <v>78</v>
      </c>
      <c r="B25" s="37">
        <f>aantalw2001_stookolie</f>
        <v>1746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3376</v>
      </c>
      <c r="C28" s="36"/>
      <c r="D28" s="230"/>
    </row>
    <row r="29" spans="1:7" s="15" customFormat="1">
      <c r="A29" s="232" t="s">
        <v>746</v>
      </c>
      <c r="B29" s="37">
        <f>SUM(HH_hh_gas_aantal,HH_rest_gas_aantal)</f>
        <v>1374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1374</v>
      </c>
      <c r="C32" s="169">
        <f>IF(ISERROR(B32/SUM($B$32,$B$34,$B$35,$B$36,$B$38,$B$39)*100),0,B32/SUM($B$32,$B$34,$B$35,$B$36,$B$38,$B$39)*100)</f>
        <v>40.868530636525882</v>
      </c>
      <c r="D32" s="235"/>
      <c r="G32" s="15"/>
    </row>
    <row r="33" spans="1:7">
      <c r="A33" s="173" t="s">
        <v>72</v>
      </c>
      <c r="B33" s="34" t="s">
        <v>111</v>
      </c>
      <c r="C33" s="169"/>
      <c r="D33" s="235"/>
      <c r="G33" s="15"/>
    </row>
    <row r="34" spans="1:7">
      <c r="A34" s="173" t="s">
        <v>73</v>
      </c>
      <c r="B34" s="33">
        <f>IF((($B$28-$B$32-$B$39-$B$77-$B$38)*C20/100)&lt;0,0,($B$28-$B$32-$B$39-$B$77-$B$38)*C20/100)</f>
        <v>140.57724957555178</v>
      </c>
      <c r="C34" s="169">
        <f>IF(ISERROR(B34/SUM($B$32,$B$34,$B$35,$B$36,$B$38,$B$39)*100),0,B34/SUM($B$32,$B$34,$B$35,$B$36,$B$38,$B$39)*100)</f>
        <v>4.181357810099696</v>
      </c>
      <c r="D34" s="235"/>
      <c r="G34" s="15"/>
    </row>
    <row r="35" spans="1:7">
      <c r="A35" s="173" t="s">
        <v>74</v>
      </c>
      <c r="B35" s="33">
        <f>IF((($B$28-$B$32-$B$39-$B$77-$B$38)*C21/100)&lt;0,0,($B$28-$B$32-$B$39-$B$77-$B$38)*C21/100)</f>
        <v>612.73344651952459</v>
      </c>
      <c r="C35" s="169">
        <f>IF(ISERROR(B35/SUM($B$32,$B$34,$B$35,$B$36,$B$38,$B$39)*100),0,B35/SUM($B$32,$B$34,$B$35,$B$36,$B$38,$B$39)*100)</f>
        <v>18.225266107064979</v>
      </c>
      <c r="D35" s="235"/>
      <c r="G35" s="15"/>
    </row>
    <row r="36" spans="1:7">
      <c r="A36" s="173" t="s">
        <v>75</v>
      </c>
      <c r="B36" s="33">
        <f>IF((($B$28-$B$32-$B$39-$B$77-$B$38)*C22/100)&lt;0,0,($B$28-$B$32-$B$39-$B$77-$B$38)*C22/100)</f>
        <v>146.68930390492361</v>
      </c>
      <c r="C36" s="169">
        <f>IF(ISERROR(B36/SUM($B$32,$B$34,$B$35,$B$36,$B$38,$B$39)*100),0,B36/SUM($B$32,$B$34,$B$35,$B$36,$B$38,$B$39)*100)</f>
        <v>4.3631559757562046</v>
      </c>
      <c r="D36" s="235"/>
      <c r="G36" s="15"/>
    </row>
    <row r="37" spans="1:7">
      <c r="A37" s="173" t="s">
        <v>76</v>
      </c>
      <c r="B37" s="34" t="s">
        <v>111</v>
      </c>
      <c r="C37" s="169"/>
      <c r="D37" s="175"/>
      <c r="G37" s="15"/>
    </row>
    <row r="38" spans="1:7">
      <c r="A38" s="173" t="s">
        <v>77</v>
      </c>
      <c r="B38" s="33">
        <f>IF((B24-(B29-B18)*0.1)&lt;0,0,B24-(B29-B18)*0.1)</f>
        <v>65.599999999999994</v>
      </c>
      <c r="C38" s="169">
        <f>IF(ISERROR(B38/SUM($B$32,$B$34,$B$35,$B$36,$B$38,$B$39)*100),0,B38/SUM($B$32,$B$34,$B$35,$B$36,$B$38,$B$39)*100)</f>
        <v>1.9512195121951219</v>
      </c>
      <c r="D38" s="236"/>
      <c r="G38" s="15"/>
    </row>
    <row r="39" spans="1:7">
      <c r="A39" s="173" t="s">
        <v>78</v>
      </c>
      <c r="B39" s="33">
        <f>IF((B25-(B29-B18))&lt;0,0,B25-(B29-B18)*0.9)</f>
        <v>1022.4</v>
      </c>
      <c r="C39" s="169">
        <f>IF(ISERROR(B39/SUM($B$32,$B$34,$B$35,$B$36,$B$38,$B$39)*100),0,B39/SUM($B$32,$B$34,$B$35,$B$36,$B$38,$B$39)*100)</f>
        <v>30.410469958358121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1374</v>
      </c>
      <c r="C44" s="34" t="s">
        <v>111</v>
      </c>
      <c r="D44" s="176"/>
    </row>
    <row r="45" spans="1:7">
      <c r="A45" s="173" t="s">
        <v>72</v>
      </c>
      <c r="B45" s="33" t="str">
        <f t="shared" si="0"/>
        <v>-</v>
      </c>
      <c r="C45" s="34" t="s">
        <v>111</v>
      </c>
      <c r="D45" s="176"/>
    </row>
    <row r="46" spans="1:7">
      <c r="A46" s="173" t="s">
        <v>73</v>
      </c>
      <c r="B46" s="33">
        <f t="shared" si="0"/>
        <v>140.57724957555178</v>
      </c>
      <c r="C46" s="34" t="s">
        <v>111</v>
      </c>
      <c r="D46" s="176"/>
    </row>
    <row r="47" spans="1:7">
      <c r="A47" s="173" t="s">
        <v>74</v>
      </c>
      <c r="B47" s="33">
        <f t="shared" si="0"/>
        <v>612.73344651952459</v>
      </c>
      <c r="C47" s="34" t="s">
        <v>111</v>
      </c>
      <c r="D47" s="176"/>
    </row>
    <row r="48" spans="1:7">
      <c r="A48" s="173" t="s">
        <v>75</v>
      </c>
      <c r="B48" s="33">
        <f t="shared" si="0"/>
        <v>146.68930390492361</v>
      </c>
      <c r="C48" s="33">
        <f>B48*10</f>
        <v>1466.893039049236</v>
      </c>
      <c r="D48" s="236"/>
    </row>
    <row r="49" spans="1:6">
      <c r="A49" s="173" t="s">
        <v>76</v>
      </c>
      <c r="B49" s="33" t="str">
        <f t="shared" si="0"/>
        <v>-</v>
      </c>
      <c r="C49" s="34" t="s">
        <v>111</v>
      </c>
      <c r="D49" s="236"/>
    </row>
    <row r="50" spans="1:6">
      <c r="A50" s="173" t="s">
        <v>77</v>
      </c>
      <c r="B50" s="33">
        <f t="shared" si="0"/>
        <v>65.599999999999994</v>
      </c>
      <c r="C50" s="33">
        <f>B50*2</f>
        <v>131.19999999999999</v>
      </c>
      <c r="D50" s="236"/>
    </row>
    <row r="51" spans="1:6">
      <c r="A51" s="173" t="s">
        <v>78</v>
      </c>
      <c r="B51" s="33">
        <f t="shared" si="0"/>
        <v>1022.4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6878.4456104585097</v>
      </c>
      <c r="C5" s="17">
        <f>IF(ISERROR('Eigen informatie GS &amp; warmtenet'!B58),0,'Eigen informatie GS &amp; warmtenet'!B58)</f>
        <v>0</v>
      </c>
      <c r="D5" s="30">
        <f>SUM(D6:D12)</f>
        <v>7753.357373142976</v>
      </c>
      <c r="E5" s="17">
        <f>SUM(E6:E12)</f>
        <v>91.05261595495125</v>
      </c>
      <c r="F5" s="17">
        <f>SUM(F6:F12)</f>
        <v>1385.2957454143429</v>
      </c>
      <c r="G5" s="18"/>
      <c r="H5" s="17"/>
      <c r="I5" s="17"/>
      <c r="J5" s="17">
        <f>SUM(J6:J12)</f>
        <v>0</v>
      </c>
      <c r="K5" s="17"/>
      <c r="L5" s="17"/>
      <c r="M5" s="17"/>
      <c r="N5" s="17">
        <f>SUM(N6:N12)</f>
        <v>782.11930209302409</v>
      </c>
      <c r="O5" s="17">
        <f>B38*B39*B40</f>
        <v>4.6900000000000004</v>
      </c>
      <c r="P5" s="17">
        <f>B46*B47*B48/1000-B46*B47*B48/1000/B49</f>
        <v>19.066666666666666</v>
      </c>
      <c r="R5" s="32"/>
    </row>
    <row r="6" spans="1:18">
      <c r="A6" s="32" t="s">
        <v>54</v>
      </c>
      <c r="B6" s="37">
        <f>B26</f>
        <v>1337.1802891612499</v>
      </c>
      <c r="C6" s="33"/>
      <c r="D6" s="37">
        <f>IF(ISERROR(TER_kantoor_gas_kWh/1000),0,TER_kantoor_gas_kWh/1000)*0.902</f>
        <v>1530.5080633558043</v>
      </c>
      <c r="E6" s="33">
        <f>$C$26*'E Balans VL '!I12/100/3.6*1000000</f>
        <v>5.1952285209533056</v>
      </c>
      <c r="F6" s="33">
        <f>$C$26*('E Balans VL '!L12+'E Balans VL '!N12)/100/3.6*1000000</f>
        <v>203.37295461086168</v>
      </c>
      <c r="G6" s="34"/>
      <c r="H6" s="33"/>
      <c r="I6" s="33"/>
      <c r="J6" s="33">
        <f>$C$26*('E Balans VL '!D12+'E Balans VL '!E12)/100/3.6*1000000</f>
        <v>0</v>
      </c>
      <c r="K6" s="33"/>
      <c r="L6" s="33"/>
      <c r="M6" s="33"/>
      <c r="N6" s="33">
        <f>$C$26*'E Balans VL '!Y12/100/3.6*1000000</f>
        <v>0.73694652958149398</v>
      </c>
      <c r="O6" s="33"/>
      <c r="P6" s="33"/>
      <c r="R6" s="32"/>
    </row>
    <row r="7" spans="1:18">
      <c r="A7" s="32" t="s">
        <v>53</v>
      </c>
      <c r="B7" s="37">
        <f t="shared" ref="B7:B12" si="0">B27</f>
        <v>498.13988942163405</v>
      </c>
      <c r="C7" s="33"/>
      <c r="D7" s="37">
        <f>IF(ISERROR(TER_horeca_gas_kWh/1000),0,TER_horeca_gas_kWh/1000)*0.902</f>
        <v>577.8593803127701</v>
      </c>
      <c r="E7" s="33">
        <f>$C$27*'E Balans VL '!I9/100/3.6*1000000</f>
        <v>28.060353151661392</v>
      </c>
      <c r="F7" s="33">
        <f>$C$27*('E Balans VL '!L9+'E Balans VL '!N9)/100/3.6*1000000</f>
        <v>143.63372108282675</v>
      </c>
      <c r="G7" s="34"/>
      <c r="H7" s="33"/>
      <c r="I7" s="33"/>
      <c r="J7" s="33">
        <f>$C$27*('E Balans VL '!D9+'E Balans VL '!E9)/100/3.6*1000000</f>
        <v>0</v>
      </c>
      <c r="K7" s="33"/>
      <c r="L7" s="33"/>
      <c r="M7" s="33"/>
      <c r="N7" s="33">
        <f>$C$27*'E Balans VL '!Y9/100/3.6*1000000</f>
        <v>0.13753383489089632</v>
      </c>
      <c r="O7" s="33"/>
      <c r="P7" s="33"/>
      <c r="R7" s="32"/>
    </row>
    <row r="8" spans="1:18">
      <c r="A8" s="6" t="s">
        <v>52</v>
      </c>
      <c r="B8" s="37">
        <f t="shared" si="0"/>
        <v>1766.4506988794301</v>
      </c>
      <c r="C8" s="33"/>
      <c r="D8" s="37">
        <f>IF(ISERROR(TER_handel_gas_kWh/1000),0,TER_handel_gas_kWh/1000)*0.902</f>
        <v>464.16566035188674</v>
      </c>
      <c r="E8" s="33">
        <f>$C$28*'E Balans VL '!I13/100/3.6*1000000</f>
        <v>25.460547541919034</v>
      </c>
      <c r="F8" s="33">
        <f>$C$28*('E Balans VL '!L13+'E Balans VL '!N13)/100/3.6*1000000</f>
        <v>306.87362425619824</v>
      </c>
      <c r="G8" s="34"/>
      <c r="H8" s="33"/>
      <c r="I8" s="33"/>
      <c r="J8" s="33">
        <f>$C$28*('E Balans VL '!D13+'E Balans VL '!E13)/100/3.6*1000000</f>
        <v>0</v>
      </c>
      <c r="K8" s="33"/>
      <c r="L8" s="33"/>
      <c r="M8" s="33"/>
      <c r="N8" s="33">
        <f>$C$28*'E Balans VL '!Y13/100/3.6*1000000</f>
        <v>5.2924829391854962</v>
      </c>
      <c r="O8" s="33"/>
      <c r="P8" s="33"/>
      <c r="R8" s="32"/>
    </row>
    <row r="9" spans="1:18">
      <c r="A9" s="32" t="s">
        <v>51</v>
      </c>
      <c r="B9" s="37">
        <f t="shared" si="0"/>
        <v>93.1264901238373</v>
      </c>
      <c r="C9" s="33"/>
      <c r="D9" s="37">
        <f>IF(ISERROR(TER_gezond_gas_kWh/1000),0,TER_gezond_gas_kWh/1000)*0.902</f>
        <v>0</v>
      </c>
      <c r="E9" s="33">
        <f>$C$29*'E Balans VL '!I10/100/3.6*1000000</f>
        <v>9.948322895207673E-2</v>
      </c>
      <c r="F9" s="33">
        <f>$C$29*('E Balans VL '!L10+'E Balans VL '!N10)/100/3.6*1000000</f>
        <v>15.191760759437418</v>
      </c>
      <c r="G9" s="34"/>
      <c r="H9" s="33"/>
      <c r="I9" s="33"/>
      <c r="J9" s="33">
        <f>$C$29*('E Balans VL '!D10+'E Balans VL '!E10)/100/3.6*1000000</f>
        <v>0</v>
      </c>
      <c r="K9" s="33"/>
      <c r="L9" s="33"/>
      <c r="M9" s="33"/>
      <c r="N9" s="33">
        <f>$C$29*'E Balans VL '!Y10/100/3.6*1000000</f>
        <v>0.95868407890973806</v>
      </c>
      <c r="O9" s="33"/>
      <c r="P9" s="33"/>
      <c r="R9" s="32"/>
    </row>
    <row r="10" spans="1:18">
      <c r="A10" s="32" t="s">
        <v>50</v>
      </c>
      <c r="B10" s="37">
        <f t="shared" si="0"/>
        <v>846.91889584497903</v>
      </c>
      <c r="C10" s="33"/>
      <c r="D10" s="37">
        <f>IF(ISERROR(TER_ander_gas_kWh/1000),0,TER_ander_gas_kWh/1000)*0.902</f>
        <v>1466.0581456321268</v>
      </c>
      <c r="E10" s="33">
        <f>$C$30*'E Balans VL '!I14/100/3.6*1000000</f>
        <v>3.8948511760637836</v>
      </c>
      <c r="F10" s="33">
        <f>$C$30*('E Balans VL '!L14+'E Balans VL '!N14)/100/3.6*1000000</f>
        <v>253.84830730774408</v>
      </c>
      <c r="G10" s="34"/>
      <c r="H10" s="33"/>
      <c r="I10" s="33"/>
      <c r="J10" s="33">
        <f>$C$30*('E Balans VL '!D14+'E Balans VL '!E14)/100/3.6*1000000</f>
        <v>0</v>
      </c>
      <c r="K10" s="33"/>
      <c r="L10" s="33"/>
      <c r="M10" s="33"/>
      <c r="N10" s="33">
        <f>$C$30*'E Balans VL '!Y14/100/3.6*1000000</f>
        <v>589.5114572754344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2336.6293470273799</v>
      </c>
      <c r="C12" s="33"/>
      <c r="D12" s="37">
        <f>IF(ISERROR(TER_rest_gas_kWh/1000),0,TER_rest_gas_kWh/1000)*0.902</f>
        <v>3714.7661234903881</v>
      </c>
      <c r="E12" s="33">
        <f>$C$32*'E Balans VL '!I8/100/3.6*1000000</f>
        <v>28.342152335401664</v>
      </c>
      <c r="F12" s="33">
        <f>$C$32*('E Balans VL '!L8+'E Balans VL '!N8)/100/3.6*1000000</f>
        <v>462.37537739727475</v>
      </c>
      <c r="G12" s="34"/>
      <c r="H12" s="33"/>
      <c r="I12" s="33"/>
      <c r="J12" s="33">
        <f>$C$32*('E Balans VL '!D8+'E Balans VL '!E8)/100/3.6*1000000</f>
        <v>0</v>
      </c>
      <c r="K12" s="33"/>
      <c r="L12" s="33"/>
      <c r="M12" s="33"/>
      <c r="N12" s="33">
        <f>$C$32*'E Balans VL '!Y8/100/3.6*1000000</f>
        <v>185.48219743502204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6878.4456104585097</v>
      </c>
      <c r="C16" s="21">
        <f t="shared" ca="1" si="1"/>
        <v>0</v>
      </c>
      <c r="D16" s="21">
        <f t="shared" ca="1" si="1"/>
        <v>7753.357373142976</v>
      </c>
      <c r="E16" s="21">
        <f t="shared" si="1"/>
        <v>91.05261595495125</v>
      </c>
      <c r="F16" s="21">
        <f t="shared" ca="1" si="1"/>
        <v>1385.2957454143429</v>
      </c>
      <c r="G16" s="21">
        <f t="shared" si="1"/>
        <v>0</v>
      </c>
      <c r="H16" s="21">
        <f t="shared" si="1"/>
        <v>0</v>
      </c>
      <c r="I16" s="21">
        <f t="shared" si="1"/>
        <v>0</v>
      </c>
      <c r="J16" s="21">
        <f t="shared" si="1"/>
        <v>0</v>
      </c>
      <c r="K16" s="21">
        <f t="shared" si="1"/>
        <v>0</v>
      </c>
      <c r="L16" s="21">
        <f t="shared" ca="1" si="1"/>
        <v>0</v>
      </c>
      <c r="M16" s="21">
        <f t="shared" si="1"/>
        <v>0</v>
      </c>
      <c r="N16" s="21">
        <f t="shared" ca="1" si="1"/>
        <v>782.11930209302409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6.5786989022765738E-2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452.51222586892516</v>
      </c>
      <c r="C20" s="23">
        <f t="shared" ref="C20:P20" ca="1" si="2">C16*C18</f>
        <v>0</v>
      </c>
      <c r="D20" s="23">
        <f t="shared" ca="1" si="2"/>
        <v>1566.1781893748812</v>
      </c>
      <c r="E20" s="23">
        <f t="shared" si="2"/>
        <v>20.668943821773933</v>
      </c>
      <c r="F20" s="23">
        <f t="shared" ca="1" si="2"/>
        <v>369.87396402562956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1337.1802891612499</v>
      </c>
      <c r="C26" s="39">
        <f>IF(ISERROR(B26*3.6/1000000/'E Balans VL '!Z12*100),0,B26*3.6/1000000/'E Balans VL '!Z12*100)</f>
        <v>2.8402371694795484E-2</v>
      </c>
      <c r="D26" s="239" t="s">
        <v>692</v>
      </c>
      <c r="F26" s="6"/>
    </row>
    <row r="27" spans="1:18">
      <c r="A27" s="233" t="s">
        <v>53</v>
      </c>
      <c r="B27" s="33">
        <f>IF(ISERROR(TER_horeca_ele_kWh/1000),0,TER_horeca_ele_kWh/1000)</f>
        <v>498.13988942163405</v>
      </c>
      <c r="C27" s="39">
        <f>IF(ISERROR(B27*3.6/1000000/'E Balans VL '!Z9*100),0,B27*3.6/1000000/'E Balans VL '!Z9*100)</f>
        <v>3.8733410113460875E-2</v>
      </c>
      <c r="D27" s="239" t="s">
        <v>692</v>
      </c>
      <c r="F27" s="6"/>
    </row>
    <row r="28" spans="1:18">
      <c r="A28" s="173" t="s">
        <v>52</v>
      </c>
      <c r="B28" s="33">
        <f>IF(ISERROR(TER_handel_ele_kWh/1000),0,TER_handel_ele_kWh/1000)</f>
        <v>1766.4506988794301</v>
      </c>
      <c r="C28" s="39">
        <f>IF(ISERROR(B28*3.6/1000000/'E Balans VL '!Z13*100),0,B28*3.6/1000000/'E Balans VL '!Z13*100)</f>
        <v>5.0540233399449692E-2</v>
      </c>
      <c r="D28" s="239" t="s">
        <v>692</v>
      </c>
      <c r="F28" s="6"/>
    </row>
    <row r="29" spans="1:18">
      <c r="A29" s="233" t="s">
        <v>51</v>
      </c>
      <c r="B29" s="33">
        <f>IF(ISERROR(TER_gezond_ele_kWh/1000),0,TER_gezond_ele_kWh/1000)</f>
        <v>93.1264901238373</v>
      </c>
      <c r="C29" s="39">
        <f>IF(ISERROR(B29*3.6/1000000/'E Balans VL '!Z10*100),0,B29*3.6/1000000/'E Balans VL '!Z10*100)</f>
        <v>1.0152951423596259E-2</v>
      </c>
      <c r="D29" s="239" t="s">
        <v>692</v>
      </c>
      <c r="F29" s="6"/>
    </row>
    <row r="30" spans="1:18">
      <c r="A30" s="233" t="s">
        <v>50</v>
      </c>
      <c r="B30" s="33">
        <f>IF(ISERROR(TER_ander_ele_kWh/1000),0,TER_ander_ele_kWh/1000)</f>
        <v>846.91889584497903</v>
      </c>
      <c r="C30" s="39">
        <f>IF(ISERROR(B30*3.6/1000000/'E Balans VL '!Z14*100),0,B30*3.6/1000000/'E Balans VL '!Z14*100)</f>
        <v>6.197560360796301E-2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2336.6293470273799</v>
      </c>
      <c r="C32" s="39">
        <f>IF(ISERROR(B32*3.6/1000000/'E Balans VL '!Z8*100),0,B32*3.6/1000000/'E Balans VL '!Z8*100)</f>
        <v>1.904211114997131E-2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1563.540002129607</v>
      </c>
      <c r="C5" s="17">
        <f>IF(ISERROR('Eigen informatie GS &amp; warmtenet'!B59),0,'Eigen informatie GS &amp; warmtenet'!B59)</f>
        <v>0</v>
      </c>
      <c r="D5" s="30">
        <f>SUM(D6:D15)</f>
        <v>1354.1883190817236</v>
      </c>
      <c r="E5" s="17">
        <f>SUM(E6:E15)</f>
        <v>259.52109513694683</v>
      </c>
      <c r="F5" s="17">
        <f>SUM(F6:F15)</f>
        <v>932.87478844623024</v>
      </c>
      <c r="G5" s="18"/>
      <c r="H5" s="17"/>
      <c r="I5" s="17"/>
      <c r="J5" s="17">
        <f>SUM(J6:J15)</f>
        <v>1.1955942656228842</v>
      </c>
      <c r="K5" s="17"/>
      <c r="L5" s="17"/>
      <c r="M5" s="17"/>
      <c r="N5" s="17">
        <f>SUM(N6:N15)</f>
        <v>406.21386224341416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126.667585355279</v>
      </c>
      <c r="C8" s="33"/>
      <c r="D8" s="37">
        <f>IF( ISERROR(IND_metaal_Gas_kWH/1000),0,IND_metaal_Gas_kWH/1000)*0.902</f>
        <v>93.059349353235788</v>
      </c>
      <c r="E8" s="33">
        <f>C30*'E Balans VL '!I18/100/3.6*1000000</f>
        <v>3.6383685031912969</v>
      </c>
      <c r="F8" s="33">
        <f>C30*'E Balans VL '!L18/100/3.6*1000000+C30*'E Balans VL '!N18/100/3.6*1000000</f>
        <v>32.487799475857884</v>
      </c>
      <c r="G8" s="34"/>
      <c r="H8" s="33"/>
      <c r="I8" s="33"/>
      <c r="J8" s="40">
        <f>C30*'E Balans VL '!D18/100/3.6*1000000+C30*'E Balans VL '!E18/100/3.6*1000000</f>
        <v>0</v>
      </c>
      <c r="K8" s="33"/>
      <c r="L8" s="33"/>
      <c r="M8" s="33"/>
      <c r="N8" s="33">
        <f>C30*'E Balans VL '!Y18/100/3.6*1000000</f>
        <v>3.4392835075704595</v>
      </c>
      <c r="O8" s="33"/>
      <c r="P8" s="33"/>
      <c r="R8" s="32"/>
    </row>
    <row r="9" spans="1:18">
      <c r="A9" s="6" t="s">
        <v>33</v>
      </c>
      <c r="B9" s="37">
        <f t="shared" si="0"/>
        <v>796.81296350966306</v>
      </c>
      <c r="C9" s="33"/>
      <c r="D9" s="37">
        <f>IF( ISERROR(IND_andere_gas_kWh/1000),0,IND_andere_gas_kWh/1000)*0.902</f>
        <v>643.41248620853037</v>
      </c>
      <c r="E9" s="33">
        <f>C31*'E Balans VL '!I19/100/3.6*1000000</f>
        <v>215.67767794950433</v>
      </c>
      <c r="F9" s="33">
        <f>C31*'E Balans VL '!L19/100/3.6*1000000+C31*'E Balans VL '!N19/100/3.6*1000000</f>
        <v>530.76175412268981</v>
      </c>
      <c r="G9" s="34"/>
      <c r="H9" s="33"/>
      <c r="I9" s="33"/>
      <c r="J9" s="40">
        <f>C31*'E Balans VL '!D19/100/3.6*1000000+C31*'E Balans VL '!E19/100/3.6*1000000</f>
        <v>0</v>
      </c>
      <c r="K9" s="33"/>
      <c r="L9" s="33"/>
      <c r="M9" s="33"/>
      <c r="N9" s="33">
        <f>C31*'E Balans VL '!Y19/100/3.6*1000000</f>
        <v>260.14619638941707</v>
      </c>
      <c r="O9" s="33"/>
      <c r="P9" s="33"/>
      <c r="R9" s="32"/>
    </row>
    <row r="10" spans="1:18">
      <c r="A10" s="6" t="s">
        <v>41</v>
      </c>
      <c r="B10" s="37">
        <f t="shared" si="0"/>
        <v>174.489141865346</v>
      </c>
      <c r="C10" s="33"/>
      <c r="D10" s="37">
        <f>IF( ISERROR(IND_voed_gas_kWh/1000),0,IND_voed_gas_kWh/1000)*0.902</f>
        <v>0</v>
      </c>
      <c r="E10" s="33">
        <f>C32*'E Balans VL '!I20/100/3.6*1000000</f>
        <v>14.231735288909656</v>
      </c>
      <c r="F10" s="33">
        <f>C32*'E Balans VL '!L20/100/3.6*1000000+C32*'E Balans VL '!N20/100/3.6*1000000</f>
        <v>260.17914156331722</v>
      </c>
      <c r="G10" s="34"/>
      <c r="H10" s="33"/>
      <c r="I10" s="33"/>
      <c r="J10" s="40">
        <f>C32*'E Balans VL '!D20/100/3.6*1000000+C32*'E Balans VL '!E20/100/3.6*1000000</f>
        <v>2.3082795454735907E-3</v>
      </c>
      <c r="K10" s="33"/>
      <c r="L10" s="33"/>
      <c r="M10" s="33"/>
      <c r="N10" s="33">
        <f>C32*'E Balans VL '!Y20/100/3.6*1000000</f>
        <v>51.258752822124599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465.570311399319</v>
      </c>
      <c r="C15" s="33"/>
      <c r="D15" s="37">
        <f>IF( ISERROR(IND_rest_gas_kWh/1000),0,IND_rest_gas_kWh/1000)*0.902</f>
        <v>617.71648351995748</v>
      </c>
      <c r="E15" s="33">
        <f>C37*'E Balans VL '!I15/100/3.6*1000000</f>
        <v>25.973313395341577</v>
      </c>
      <c r="F15" s="33">
        <f>C37*'E Balans VL '!L15/100/3.6*1000000+C37*'E Balans VL '!N15/100/3.6*1000000</f>
        <v>109.4460932843653</v>
      </c>
      <c r="G15" s="34"/>
      <c r="H15" s="33"/>
      <c r="I15" s="33"/>
      <c r="J15" s="40">
        <f>C37*'E Balans VL '!D15/100/3.6*1000000+C37*'E Balans VL '!E15/100/3.6*1000000</f>
        <v>1.1932859860774105</v>
      </c>
      <c r="K15" s="33"/>
      <c r="L15" s="33"/>
      <c r="M15" s="33"/>
      <c r="N15" s="33">
        <f>C37*'E Balans VL '!Y15/100/3.6*1000000</f>
        <v>91.369629524302013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1563.540002129607</v>
      </c>
      <c r="C18" s="21">
        <f>C5+C16</f>
        <v>0</v>
      </c>
      <c r="D18" s="21">
        <f>MAX((D5+D16),0)</f>
        <v>1354.1883190817236</v>
      </c>
      <c r="E18" s="21">
        <f>MAX((E5+E16),0)</f>
        <v>259.52109513694683</v>
      </c>
      <c r="F18" s="21">
        <f>MAX((F5+F16),0)</f>
        <v>932.87478844623024</v>
      </c>
      <c r="G18" s="21"/>
      <c r="H18" s="21"/>
      <c r="I18" s="21"/>
      <c r="J18" s="21">
        <f>MAX((J5+J16),0)</f>
        <v>1.1955942656228842</v>
      </c>
      <c r="K18" s="21"/>
      <c r="L18" s="21">
        <f>MAX((L5+L16),0)</f>
        <v>0</v>
      </c>
      <c r="M18" s="21"/>
      <c r="N18" s="21">
        <f>MAX((N5+N16),0)</f>
        <v>406.21386224341416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6.5786989022765738E-2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102.86058895675558</v>
      </c>
      <c r="C22" s="23">
        <f ca="1">C18*C20</f>
        <v>0</v>
      </c>
      <c r="D22" s="23">
        <f>D18*D20</f>
        <v>273.54604045450822</v>
      </c>
      <c r="E22" s="23">
        <f>E18*E20</f>
        <v>58.911288596086933</v>
      </c>
      <c r="F22" s="23">
        <f>F18*F20</f>
        <v>249.0775685151435</v>
      </c>
      <c r="G22" s="23"/>
      <c r="H22" s="23"/>
      <c r="I22" s="23"/>
      <c r="J22" s="23">
        <f>J18*J20</f>
        <v>0.42324037003050097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126.667585355279</v>
      </c>
      <c r="C30" s="39">
        <f>IF(ISERROR(B30*3.6/1000000/'E Balans VL '!Z18*100),0,B30*3.6/1000000/'E Balans VL '!Z18*100)</f>
        <v>1.2463767051058694E-2</v>
      </c>
      <c r="D30" s="239" t="s">
        <v>692</v>
      </c>
    </row>
    <row r="31" spans="1:18">
      <c r="A31" s="6" t="s">
        <v>33</v>
      </c>
      <c r="B31" s="37">
        <f>IF( ISERROR(IND_ander_ele_kWh/1000),0,IND_ander_ele_kWh/1000)</f>
        <v>796.81296350966306</v>
      </c>
      <c r="C31" s="39">
        <f>IF(ISERROR(B31*3.6/1000000/'E Balans VL '!Z19*100),0,B31*3.6/1000000/'E Balans VL '!Z19*100)</f>
        <v>3.4700568949406027E-2</v>
      </c>
      <c r="D31" s="239" t="s">
        <v>692</v>
      </c>
    </row>
    <row r="32" spans="1:18">
      <c r="A32" s="173" t="s">
        <v>41</v>
      </c>
      <c r="B32" s="37">
        <f>IF( ISERROR(IND_voed_ele_kWh/1000),0,IND_voed_ele_kWh/1000)</f>
        <v>174.489141865346</v>
      </c>
      <c r="C32" s="39">
        <f>IF(ISERROR(B32*3.6/1000000/'E Balans VL '!Z20*100),0,B32*3.6/1000000/'E Balans VL '!Z20*100)</f>
        <v>3.3106798261771313E-2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465.570311399319</v>
      </c>
      <c r="C37" s="39">
        <f>IF(ISERROR(B37*3.6/1000000/'E Balans VL '!Z15*100),0,B37*3.6/1000000/'E Balans VL '!Z15*100)</f>
        <v>3.5877910875463308E-3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2281.513377602379</v>
      </c>
      <c r="C5" s="17">
        <f>'Eigen informatie GS &amp; warmtenet'!B60</f>
        <v>0</v>
      </c>
      <c r="D5" s="30">
        <f>IF(ISERROR(SUM(LB_lb_gas_kWh,LB_rest_gas_kWh,onbekend_gas_kWh)/1000),0,SUM(LB_lb_gas_kWh,LB_rest_gas_kWh,onbekend_gas_kWh)/1000)*0.902</f>
        <v>1307.9956283922631</v>
      </c>
      <c r="E5" s="17">
        <f>B17*'E Balans VL '!I25/3.6*1000000/100</f>
        <v>28.750007744617488</v>
      </c>
      <c r="F5" s="17">
        <f>B17*('E Balans VL '!L25/3.6*1000000+'E Balans VL '!N25/3.6*1000000)/100</f>
        <v>7871.7927059810054</v>
      </c>
      <c r="G5" s="18"/>
      <c r="H5" s="17"/>
      <c r="I5" s="17"/>
      <c r="J5" s="17">
        <f>('E Balans VL '!D25+'E Balans VL '!E25)/3.6*1000000*landbouw!B17/100</f>
        <v>343.11367666266415</v>
      </c>
      <c r="K5" s="17"/>
      <c r="L5" s="17">
        <f>L6*(-1)</f>
        <v>0</v>
      </c>
      <c r="M5" s="17"/>
      <c r="N5" s="17">
        <f>N6*(-1)</f>
        <v>50241.857142857138</v>
      </c>
      <c r="O5" s="17"/>
      <c r="P5" s="17"/>
      <c r="R5" s="32"/>
    </row>
    <row r="6" spans="1:18">
      <c r="A6" s="16" t="s">
        <v>497</v>
      </c>
      <c r="B6" s="17" t="s">
        <v>211</v>
      </c>
      <c r="C6" s="17">
        <f>'lokale energieproductie'!O91+'lokale energieproductie'!O60</f>
        <v>25120.928571428569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-50241.857142857138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2281.513377602379</v>
      </c>
      <c r="C8" s="21">
        <f>C5+C6</f>
        <v>25120.928571428569</v>
      </c>
      <c r="D8" s="21">
        <f>MAX((D5+D6),0)</f>
        <v>1307.9956283922631</v>
      </c>
      <c r="E8" s="21">
        <f>MAX((E5+E6),0)</f>
        <v>28.750007744617488</v>
      </c>
      <c r="F8" s="21">
        <f>MAX((F5+F6),0)</f>
        <v>7871.7927059810054</v>
      </c>
      <c r="G8" s="21"/>
      <c r="H8" s="21"/>
      <c r="I8" s="21"/>
      <c r="J8" s="21">
        <f>MAX((J5+J6),0)</f>
        <v>343.11367666266415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6.5786989022765738E-2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150.0938955276209</v>
      </c>
      <c r="C12" s="23">
        <f ca="1">C8*C10</f>
        <v>0</v>
      </c>
      <c r="D12" s="23">
        <f>D8*D10</f>
        <v>264.21511693523718</v>
      </c>
      <c r="E12" s="23">
        <f>E8*E10</f>
        <v>6.5262517580281703</v>
      </c>
      <c r="F12" s="23">
        <f>F8*F10</f>
        <v>2101.7686524969286</v>
      </c>
      <c r="G12" s="23"/>
      <c r="H12" s="23"/>
      <c r="I12" s="23"/>
      <c r="J12" s="23">
        <f>J8*J10</f>
        <v>121.4622415385831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0.31819920704792864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644.99600922394154</v>
      </c>
      <c r="C26" s="249">
        <f>B26*'GWP N2O_CH4'!B5</f>
        <v>13544.916193702773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204.71666377441866</v>
      </c>
      <c r="C27" s="249">
        <f>B27*'GWP N2O_CH4'!B5</f>
        <v>4299.0499392627917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8.1046726215568388</v>
      </c>
      <c r="C28" s="249">
        <f>B28*'GWP N2O_CH4'!B4</f>
        <v>2512.4485126826198</v>
      </c>
      <c r="D28" s="50"/>
    </row>
    <row r="29" spans="1:4">
      <c r="A29" s="41" t="s">
        <v>277</v>
      </c>
      <c r="B29" s="249">
        <f>B34*'ha_N2O bodem landbouw'!B4</f>
        <v>16.636851266810016</v>
      </c>
      <c r="C29" s="249">
        <f>B29*'GWP N2O_CH4'!B4</f>
        <v>5157.4238927111046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4.1540555212648076E-3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7.3071684169998647E-6</v>
      </c>
      <c r="C5" s="448" t="s">
        <v>211</v>
      </c>
      <c r="D5" s="433">
        <f>SUM(D6:D11)</f>
        <v>1.5824825305858356E-5</v>
      </c>
      <c r="E5" s="433">
        <f>SUM(E6:E11)</f>
        <v>4.6605862024109122E-4</v>
      </c>
      <c r="F5" s="446" t="s">
        <v>211</v>
      </c>
      <c r="G5" s="433">
        <f>SUM(G6:G11)</f>
        <v>9.6298309536772583E-2</v>
      </c>
      <c r="H5" s="433">
        <f>SUM(H6:H11)</f>
        <v>2.3343614481852595E-2</v>
      </c>
      <c r="I5" s="448" t="s">
        <v>211</v>
      </c>
      <c r="J5" s="448" t="s">
        <v>211</v>
      </c>
      <c r="K5" s="448" t="s">
        <v>211</v>
      </c>
      <c r="L5" s="448" t="s">
        <v>211</v>
      </c>
      <c r="M5" s="433">
        <f>SUM(M6:M11)</f>
        <v>5.3435349369668839E-3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2.359084092514699E-6</v>
      </c>
      <c r="C6" s="949"/>
      <c r="D6" s="949">
        <f>vkm_2011_GW_PW*SUMIFS(TableVerdeelsleutelVkm[CNG],TableVerdeelsleutelVkm[Voertuigtype],"Lichte voertuigen")*SUMIFS(TableECFTransport[EnergieConsumptieFactor (PJ per km)],TableECFTransport[Index],CONCATENATE($A6,"_CNG_CNG"))</f>
        <v>3.3409244661171575E-6</v>
      </c>
      <c r="E6" s="949">
        <f>vkm_2011_GW_PW*SUMIFS(TableVerdeelsleutelVkm[LPG],TableVerdeelsleutelVkm[Voertuigtype],"Lichte voertuigen")*SUMIFS(TableECFTransport[EnergieConsumptieFactor (PJ per km)],TableECFTransport[Index],CONCATENATE($A6,"_LPG_LPG"))</f>
        <v>1.0492743886703181E-4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1.8858333891653631E-2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5.0674058799273468E-3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1.0676725433549654E-3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8.1651012406274079E-3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2.9091068756990985E-6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3.6845704717586411E-4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4.9480843244851656E-6</v>
      </c>
      <c r="C8" s="949"/>
      <c r="D8" s="436">
        <f>vkm_2011_NGW_PW*SUMIFS(TableVerdeelsleutelVkm[CNG],TableVerdeelsleutelVkm[Voertuigtype],"Lichte voertuigen")*SUMIFS(TableECFTransport[EnergieConsumptieFactor (PJ per km)],TableECFTransport[Index],CONCATENATE($A8,"_CNG_CNG"))</f>
        <v>1.2483900839741197E-5</v>
      </c>
      <c r="E8" s="436">
        <f>vkm_2011_NGW_PW*SUMIFS(TableVerdeelsleutelVkm[LPG],TableVerdeelsleutelVkm[Voertuigtype],"Lichte voertuigen")*SUMIFS(TableECFTransport[EnergieConsumptieFactor (PJ per km)],TableECFTransport[Index],CONCATENATE($A8,"_LPG_LPG"))</f>
        <v>3.6113118137405943E-4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6.1215237130739876E-2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1.8270582190592112E-2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3.5437140525588044E-3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8.0596372737516738E-3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2.7173044574372594E-6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3.636912938772502E-4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2.0297690047221844</v>
      </c>
      <c r="C14" s="21"/>
      <c r="D14" s="21">
        <f t="shared" ref="D14:M14" si="0">((D5)*10^9/3600)+D12</f>
        <v>4.3957848071828769</v>
      </c>
      <c r="E14" s="21">
        <f t="shared" si="0"/>
        <v>129.46072784474757</v>
      </c>
      <c r="F14" s="21"/>
      <c r="G14" s="21">
        <f t="shared" si="0"/>
        <v>26749.530426881272</v>
      </c>
      <c r="H14" s="21">
        <f t="shared" si="0"/>
        <v>6484.3373560701648</v>
      </c>
      <c r="I14" s="21"/>
      <c r="J14" s="21"/>
      <c r="K14" s="21"/>
      <c r="L14" s="21"/>
      <c r="M14" s="21">
        <f t="shared" si="0"/>
        <v>1484.3152602685789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6.5786989022765738E-2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0.13353239123240848</v>
      </c>
      <c r="C18" s="23"/>
      <c r="D18" s="23">
        <f t="shared" ref="D18:M18" si="1">D14*D16</f>
        <v>0.88794853105094118</v>
      </c>
      <c r="E18" s="23">
        <f t="shared" si="1"/>
        <v>29.3875852207577</v>
      </c>
      <c r="F18" s="23"/>
      <c r="G18" s="23">
        <f t="shared" si="1"/>
        <v>7142.1246239773</v>
      </c>
      <c r="H18" s="23">
        <f t="shared" si="1"/>
        <v>1614.600001661471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2.1944851152255959E-3</v>
      </c>
      <c r="H50" s="323">
        <f t="shared" si="2"/>
        <v>0</v>
      </c>
      <c r="I50" s="323">
        <f t="shared" si="2"/>
        <v>0</v>
      </c>
      <c r="J50" s="323">
        <f t="shared" si="2"/>
        <v>0</v>
      </c>
      <c r="K50" s="323">
        <f t="shared" si="2"/>
        <v>0</v>
      </c>
      <c r="L50" s="323">
        <f t="shared" si="2"/>
        <v>0</v>
      </c>
      <c r="M50" s="323">
        <f t="shared" si="2"/>
        <v>9.7594120601167698E-5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2.1944851152255959E-3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9.7594120601167698E-5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609.57919867377666</v>
      </c>
      <c r="H54" s="21">
        <f t="shared" si="3"/>
        <v>0</v>
      </c>
      <c r="I54" s="21">
        <f t="shared" si="3"/>
        <v>0</v>
      </c>
      <c r="J54" s="21">
        <f t="shared" si="3"/>
        <v>0</v>
      </c>
      <c r="K54" s="21">
        <f t="shared" si="3"/>
        <v>0</v>
      </c>
      <c r="L54" s="21">
        <f t="shared" si="3"/>
        <v>0</v>
      </c>
      <c r="M54" s="21">
        <f t="shared" si="3"/>
        <v>27.109477944768805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6.5786989022765738E-2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162.75764604589838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1887.5983290804729</v>
      </c>
      <c r="C6" s="1142"/>
      <c r="D6" s="1145"/>
      <c r="E6" s="1145"/>
      <c r="F6" s="1148"/>
      <c r="G6" s="1151"/>
      <c r="H6" s="1139"/>
      <c r="I6" s="1145"/>
      <c r="J6" s="1145"/>
      <c r="K6" s="1145"/>
      <c r="L6" s="1175"/>
      <c r="M6" s="561"/>
      <c r="N6" s="1187"/>
      <c r="O6" s="1188"/>
      <c r="Q6" s="559"/>
      <c r="R6" s="1172"/>
      <c r="S6" s="1172"/>
    </row>
    <row r="7" spans="1:19" s="549" customFormat="1">
      <c r="A7" s="562" t="s">
        <v>252</v>
      </c>
      <c r="B7" s="563">
        <f>N57</f>
        <v>17584.650000000001</v>
      </c>
      <c r="C7" s="564">
        <f>B100</f>
        <v>0</v>
      </c>
      <c r="D7" s="565"/>
      <c r="E7" s="565">
        <f>E100</f>
        <v>0</v>
      </c>
      <c r="F7" s="566"/>
      <c r="G7" s="567"/>
      <c r="H7" s="565">
        <f>I100</f>
        <v>0</v>
      </c>
      <c r="I7" s="565">
        <f>G100+F100</f>
        <v>0</v>
      </c>
      <c r="J7" s="565">
        <f>H100+D100+C100</f>
        <v>20687.823529411766</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19472.248329080474</v>
      </c>
      <c r="C9" s="580">
        <f t="shared" ref="C9:L9" si="0">SUM(C7:C8)</f>
        <v>0</v>
      </c>
      <c r="D9" s="580">
        <f t="shared" si="0"/>
        <v>0</v>
      </c>
      <c r="E9" s="580">
        <f t="shared" si="0"/>
        <v>0</v>
      </c>
      <c r="F9" s="580">
        <f t="shared" si="0"/>
        <v>0</v>
      </c>
      <c r="G9" s="580">
        <f t="shared" si="0"/>
        <v>0</v>
      </c>
      <c r="H9" s="580">
        <f t="shared" si="0"/>
        <v>0</v>
      </c>
      <c r="I9" s="580">
        <f t="shared" si="0"/>
        <v>0</v>
      </c>
      <c r="J9" s="580">
        <f t="shared" si="0"/>
        <v>20687.823529411766</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25120.928571428569</v>
      </c>
      <c r="C16" s="596">
        <f>B101</f>
        <v>0</v>
      </c>
      <c r="D16" s="597"/>
      <c r="E16" s="597">
        <f>E101</f>
        <v>0</v>
      </c>
      <c r="F16" s="598"/>
      <c r="G16" s="599"/>
      <c r="H16" s="596">
        <f>I101</f>
        <v>0</v>
      </c>
      <c r="I16" s="597">
        <f>G101+F101</f>
        <v>0</v>
      </c>
      <c r="J16" s="597">
        <f>H101+D101+C101</f>
        <v>29554.033613445372</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25120.928571428569</v>
      </c>
      <c r="C19" s="579">
        <f>SUM(C16:C18)</f>
        <v>0</v>
      </c>
      <c r="D19" s="579">
        <f t="shared" ref="D19:M19" si="1">SUM(D16:D18)</f>
        <v>0</v>
      </c>
      <c r="E19" s="579">
        <f t="shared" si="1"/>
        <v>0</v>
      </c>
      <c r="F19" s="579">
        <f t="shared" si="1"/>
        <v>0</v>
      </c>
      <c r="G19" s="579">
        <f t="shared" si="1"/>
        <v>0</v>
      </c>
      <c r="H19" s="579">
        <f t="shared" si="1"/>
        <v>0</v>
      </c>
      <c r="I19" s="579">
        <f t="shared" si="1"/>
        <v>0</v>
      </c>
      <c r="J19" s="579">
        <f t="shared" si="1"/>
        <v>29554.033613445372</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44080</v>
      </c>
      <c r="C27" s="839">
        <v>9930</v>
      </c>
      <c r="D27" s="658" t="s">
        <v>840</v>
      </c>
      <c r="E27" s="657" t="s">
        <v>841</v>
      </c>
      <c r="F27" s="657" t="s">
        <v>842</v>
      </c>
      <c r="G27" s="657" t="s">
        <v>843</v>
      </c>
      <c r="H27" s="657" t="s">
        <v>844</v>
      </c>
      <c r="I27" s="657" t="s">
        <v>841</v>
      </c>
      <c r="J27" s="838">
        <v>39702</v>
      </c>
      <c r="K27" s="838">
        <v>39417</v>
      </c>
      <c r="L27" s="657" t="s">
        <v>845</v>
      </c>
      <c r="M27" s="657">
        <v>1038</v>
      </c>
      <c r="N27" s="657">
        <v>4671</v>
      </c>
      <c r="O27" s="657">
        <v>6672.8571428571431</v>
      </c>
      <c r="P27" s="657">
        <v>0</v>
      </c>
      <c r="Q27" s="657">
        <v>13345.714285714286</v>
      </c>
      <c r="R27" s="657">
        <v>0</v>
      </c>
      <c r="S27" s="657">
        <v>0</v>
      </c>
      <c r="T27" s="657">
        <v>0</v>
      </c>
      <c r="U27" s="657">
        <v>0</v>
      </c>
      <c r="V27" s="657">
        <v>0</v>
      </c>
      <c r="W27" s="657">
        <v>0</v>
      </c>
      <c r="X27" s="657">
        <v>10</v>
      </c>
      <c r="Y27" s="657" t="s">
        <v>112</v>
      </c>
      <c r="Z27" s="659" t="s">
        <v>112</v>
      </c>
    </row>
    <row r="28" spans="1:26" s="611" customFormat="1" ht="25.5">
      <c r="A28" s="610"/>
      <c r="B28" s="839">
        <v>44080</v>
      </c>
      <c r="C28" s="839">
        <v>9930</v>
      </c>
      <c r="D28" s="658" t="s">
        <v>846</v>
      </c>
      <c r="E28" s="657" t="s">
        <v>847</v>
      </c>
      <c r="F28" s="657" t="s">
        <v>848</v>
      </c>
      <c r="G28" s="657" t="s">
        <v>843</v>
      </c>
      <c r="H28" s="657" t="s">
        <v>844</v>
      </c>
      <c r="I28" s="657" t="s">
        <v>847</v>
      </c>
      <c r="J28" s="838">
        <v>40744</v>
      </c>
      <c r="K28" s="838">
        <v>40192</v>
      </c>
      <c r="L28" s="657" t="s">
        <v>845</v>
      </c>
      <c r="M28" s="657">
        <v>2860</v>
      </c>
      <c r="N28" s="657">
        <v>12870</v>
      </c>
      <c r="O28" s="657">
        <v>18385.714285714286</v>
      </c>
      <c r="P28" s="657">
        <v>0</v>
      </c>
      <c r="Q28" s="657">
        <v>36771.428571428572</v>
      </c>
      <c r="R28" s="657">
        <v>0</v>
      </c>
      <c r="S28" s="657">
        <v>0</v>
      </c>
      <c r="T28" s="657">
        <v>0</v>
      </c>
      <c r="U28" s="657">
        <v>0</v>
      </c>
      <c r="V28" s="657">
        <v>0</v>
      </c>
      <c r="W28" s="657">
        <v>0</v>
      </c>
      <c r="X28" s="657">
        <v>10</v>
      </c>
      <c r="Y28" s="657" t="s">
        <v>112</v>
      </c>
      <c r="Z28" s="659" t="s">
        <v>112</v>
      </c>
    </row>
    <row r="29" spans="1:26" s="611" customFormat="1" ht="25.5">
      <c r="A29" s="610"/>
      <c r="B29" s="839">
        <v>44080</v>
      </c>
      <c r="C29" s="839">
        <v>9931</v>
      </c>
      <c r="D29" s="658" t="s">
        <v>849</v>
      </c>
      <c r="E29" s="657" t="s">
        <v>850</v>
      </c>
      <c r="F29" s="657" t="s">
        <v>851</v>
      </c>
      <c r="G29" s="657" t="s">
        <v>843</v>
      </c>
      <c r="H29" s="657" t="s">
        <v>844</v>
      </c>
      <c r="I29" s="657" t="s">
        <v>850</v>
      </c>
      <c r="J29" s="838">
        <v>41124</v>
      </c>
      <c r="K29" s="838">
        <v>41244</v>
      </c>
      <c r="L29" s="657" t="s">
        <v>845</v>
      </c>
      <c r="M29" s="657">
        <v>9.6999999999999993</v>
      </c>
      <c r="N29" s="657">
        <v>43.649999999999991</v>
      </c>
      <c r="O29" s="657">
        <v>62.357142857142847</v>
      </c>
      <c r="P29" s="657">
        <v>0</v>
      </c>
      <c r="Q29" s="657">
        <v>124.71428571428569</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3907.7</v>
      </c>
      <c r="N57" s="615">
        <f>SUM(N27:N56)</f>
        <v>17584.650000000001</v>
      </c>
      <c r="O57" s="615">
        <f t="shared" ref="O57:W57" si="2">SUM(O27:O56)</f>
        <v>25120.928571428569</v>
      </c>
      <c r="P57" s="615">
        <f t="shared" si="2"/>
        <v>0</v>
      </c>
      <c r="Q57" s="615">
        <f t="shared" si="2"/>
        <v>50241.857142857138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3907.7</v>
      </c>
      <c r="N60" s="620">
        <f t="shared" ref="N60:W60" si="4">SUMIF($Z$27:$Z$56,"landbouw",N27:N56)</f>
        <v>17584.650000000001</v>
      </c>
      <c r="O60" s="620">
        <f t="shared" si="4"/>
        <v>25120.928571428569</v>
      </c>
      <c r="P60" s="620">
        <f t="shared" si="4"/>
        <v>0</v>
      </c>
      <c r="Q60" s="620">
        <f t="shared" si="4"/>
        <v>50241.857142857138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20687.823529411766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29554.033613445372</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2018-06-27T09:32:15Z</dcterms:modified>
</cp:coreProperties>
</file>