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8" i="17" l="1"/>
  <c r="J15" i="16"/>
  <c r="C13" i="15"/>
  <c r="L6" i="17"/>
  <c r="L5" s="1"/>
  <c r="B8" i="9"/>
  <c r="B6" i="48" s="1"/>
  <c r="Q6" s="1"/>
  <c r="C16" i="15"/>
  <c r="D10" i="14" s="1"/>
  <c r="I14" i="15"/>
  <c r="I16" s="1"/>
  <c r="J10" i="14" s="1"/>
  <c r="B13" i="16"/>
  <c r="C35"/>
  <c r="E9" i="14"/>
  <c r="D14" i="15"/>
  <c r="P22" i="16"/>
  <c r="Q39" i="14" s="1"/>
  <c r="P18" i="16"/>
  <c r="Q13" i="14" s="1"/>
  <c r="L16" i="16"/>
  <c r="L18" s="1"/>
  <c r="L8" i="48" s="1"/>
  <c r="N6" i="17"/>
  <c r="N5" s="1"/>
  <c r="K22" i="14"/>
  <c r="J8" i="17"/>
  <c r="N16" i="16"/>
  <c r="F8" i="17"/>
  <c r="N13" i="15"/>
  <c r="L13"/>
  <c r="L16" s="1"/>
  <c r="D13"/>
  <c r="G6" i="22"/>
  <c r="G9"/>
  <c r="M6"/>
  <c r="M11"/>
  <c r="G11"/>
  <c r="G7"/>
  <c r="G8"/>
  <c r="M8"/>
  <c r="G10"/>
  <c r="M7"/>
  <c r="M10"/>
  <c r="M9"/>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J15" i="14" l="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E7" i="48"/>
  <c r="E24" s="1"/>
  <c r="E12" i="17"/>
  <c r="F48" i="14" s="1"/>
  <c r="C5" i="48"/>
  <c r="N7" l="1"/>
  <c r="N24" s="1"/>
  <c r="E13" i="14"/>
  <c r="G14" i="22"/>
  <c r="G9" i="48" s="1"/>
  <c r="L7"/>
  <c r="L24" s="1"/>
  <c r="M22" i="14"/>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J9" i="18"/>
  <c r="C14" i="48"/>
  <c r="D5"/>
  <c r="D22" s="1"/>
  <c r="D31" s="1"/>
  <c r="J67" i="14"/>
  <c r="I9" i="18"/>
  <c r="G58" i="22"/>
  <c r="H44" i="14" s="1"/>
  <c r="G10" i="48"/>
  <c r="R18" i="14"/>
  <c r="R17"/>
  <c r="Q13" i="48"/>
  <c r="I19" i="14"/>
  <c r="I20" s="1"/>
  <c r="I23" s="1"/>
  <c r="M18" i="22"/>
  <c r="N45" i="14" s="1"/>
  <c r="N46" s="1"/>
  <c r="N53" s="1"/>
  <c r="M9" i="48"/>
  <c r="N19" i="14"/>
  <c r="P14" i="48"/>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5"/>
  <c r="J22" s="1"/>
  <c r="J20" i="15"/>
  <c r="K36" i="14" s="1"/>
  <c r="E5" i="48"/>
  <c r="E22" s="1"/>
  <c r="E15" i="14"/>
  <c r="E23"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Q4" i="48"/>
  <c r="N22"/>
  <c r="R11" i="14"/>
  <c r="J21" i="48"/>
  <c r="R10" i="14"/>
  <c r="Q5" i="48" l="1"/>
  <c r="N22" i="16"/>
  <c r="O39" i="14" s="1"/>
  <c r="O41" s="1"/>
  <c r="O53" s="1"/>
  <c r="F8" i="48"/>
  <c r="Q8" s="1"/>
  <c r="Q14" s="1"/>
  <c r="N25"/>
  <c r="N31" s="1"/>
  <c r="N14"/>
  <c r="E25"/>
  <c r="E31" s="1"/>
  <c r="E14"/>
  <c r="H55" i="14"/>
  <c r="E55"/>
  <c r="C78"/>
  <c r="C81" s="1"/>
  <c r="J14" i="48"/>
  <c r="J31"/>
  <c r="R19" i="14"/>
  <c r="R20" s="1"/>
  <c r="H14" i="48"/>
  <c r="G31"/>
  <c r="H26"/>
  <c r="H31" s="1"/>
  <c r="F55" i="14"/>
  <c r="G53"/>
  <c r="G55" s="1"/>
  <c r="O69" s="1"/>
  <c r="B9" i="6" s="1"/>
  <c r="B12" s="1"/>
  <c r="M53" i="14"/>
  <c r="M55" s="1"/>
  <c r="C12" i="13"/>
  <c r="D37" i="14" s="1"/>
  <c r="D41" s="1"/>
  <c r="C23" i="48"/>
  <c r="C24"/>
  <c r="C27"/>
  <c r="C28"/>
  <c r="C22"/>
  <c r="C25"/>
  <c r="C29"/>
  <c r="C21"/>
  <c r="C26"/>
  <c r="K55" i="14"/>
  <c r="R13"/>
  <c r="R15" s="1"/>
  <c r="F25" i="48"/>
  <c r="F31" s="1"/>
  <c r="F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<sst xmlns="http://schemas.openxmlformats.org/spreadsheetml/2006/main" count="1970" uniqueCount="847">
  <si>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</si>
  <si>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</si>
  <si>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</si>
  <si>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</si>
  <si>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</si>
  <si>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</si>
  <si>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</si>
  <si>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</si>
  <si>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</si>
  <si>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</si>
  <si>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</si>
  <si>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</si>
  <si>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</si>
  <si>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</si>
  <si>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</si>
  <si>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</si>
  <si>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</si>
  <si>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</si>
  <si>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</si>
  <si>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</si>
  <si>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</si>
  <si>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</si>
  <si>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</si>
  <si>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</si>
  <si>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</si>
  <si>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</si>
  <si>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</si>
  <si>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</si>
  <si>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</si>
  <si>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</si>
  <si>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</si>
  <si>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</si>
  <si>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</si>
  <si>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</si>
  <si>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</si>
  <si>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</si>
  <si>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</si>
  <si>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</si>
  <si>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</si>
  <si>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</si>
  <si>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</si>
  <si>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</si>
  <si>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</si>
  <si>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</si>
  <si>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</si>
  <si>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</si>
  <si>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</si>
  <si>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</si>
  <si>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</si>
  <si>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</si>
  <si>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</si>
  <si>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</si>
  <si>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</si>
  <si>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</si>
  <si>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</si>
  <si>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</si>
  <si>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</si>
  <si>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</si>
  <si>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</si>
  <si>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</si>
  <si>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</si>
  <si>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</si>
  <si>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</si>
  <si>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</si>
  <si>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</si>
  <si>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</si>
  <si>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</si>
  <si>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</si>
  <si>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</si>
  <si>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</si>
  <si>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</si>
  <si>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</si>
  <si>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</si>
  <si>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</si>
  <si>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</si>
  <si>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</si>
  <si>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</si>
  <si>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</si>
  <si>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</si>
  <si>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</si>
  <si>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</si>
  <si>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</si>
  <si>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</si>
  <si>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</si>
  <si>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</si>
  <si>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</si>
  <si>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</si>
  <si>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</si>
  <si>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</si>
  <si>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</si>
  <si>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</si>
  <si>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</si>
  <si>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</si>
  <si>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</si>
  <si>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</si>
  <si>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</si>
  <si>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</si>
  <si>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</si>
  <si>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</si>
  <si>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</si>
  <si>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</si>
  <si>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</si>
  <si>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</si>
  <si>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</si>
  <si>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</si>
  <si>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</si>
  <si>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</si>
  <si>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</si>
  <si>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</si>
  <si>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</si>
  <si>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</si>
  <si>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</si>
  <si>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</si>
  <si>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</si>
  <si>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</si>
  <si>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</si>
  <si>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</si>
  <si>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</si>
  <si>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</si>
  <si>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</si>
  <si>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</si>
  <si>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</si>
  <si>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</si>
  <si>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</si>
  <si>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</si>
  <si>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</si>
  <si>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</si>
  <si>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</si>
  <si>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</si>
  <si>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</si>
  <si>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</si>
  <si>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</si>
  <si>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</si>
  <si>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</si>
  <si>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</si>
  <si>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</si>
  <si>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</si>
  <si>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</si>
  <si>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</si>
  <si>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</si>
  <si>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</si>
  <si>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</si>
  <si>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</si>
  <si>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</si>
  <si>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</si>
  <si>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</si>
  <si>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</si>
  <si>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</si>
  <si>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</si>
  <si>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</si>
  <si>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</si>
  <si>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</si>
  <si>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</si>
  <si>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</si>
  <si>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</si>
  <si>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</si>
  <si>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</si>
  <si>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</si>
  <si>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</si>
  <si>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</si>
  <si>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</si>
  <si>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</si>
  <si>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</si>
  <si>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</si>
  <si>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</si>
  <si>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</si>
  <si>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</si>
  <si>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</si>
  <si>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</si>
  <si>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</si>
  <si>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</si>
  <si>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</si>
  <si>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</si>
  <si>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</si>
  <si>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</si>
  <si>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</si>
  <si>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</si>
  <si>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</si>
  <si>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</si>
  <si>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</si>
  <si>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</si>
  <si>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</si>
  <si>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</si>
  <si>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</si>
  <si>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</si>
  <si>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</si>
  <si>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</si>
  <si>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</si>
  <si>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</si>
  <si>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</si>
  <si>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</si>
  <si>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</si>
  <si>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</si>
  <si>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</si>
  <si>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</si>
  <si>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</si>
  <si>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</si>
  <si>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</si>
  <si>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</si>
  <si>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</si>
  <si>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</si>
  <si>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</si>
  <si>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</si>
  <si>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</si>
  <si>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</si>
  <si>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</si>
  <si>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</si>
  <si>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</si>
  <si>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</si>
  <si>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</si>
  <si>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</si>
  <si>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</si>
  <si>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</si>
  <si>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</si>
  <si>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</si>
  <si>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</si>
  <si>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</si>
  <si>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</si>
  <si>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</si>
  <si>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</si>
  <si>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</si>
  <si>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</si>
  <si>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</si>
  <si>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</si>
  <si>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</si>
  <si>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</si>
  <si>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</si>
  <si>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</si>
  <si>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</si>
  <si>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</si>
  <si>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</si>
  <si>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</si>
  <si>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</si>
  <si>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</si>
  <si>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</si>
  <si>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</si>
  <si>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</si>
  <si>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</si>
  <si>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</si>
  <si>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</si>
  <si>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</si>
  <si>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</si>
  <si>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</si>
  <si>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</si>
  <si>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</si>
  <si>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</si>
  <si>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</si>
  <si>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</si>
  <si>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</si>
  <si>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</si>
  <si>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</si>
  <si>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</si>
  <si>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</si>
  <si>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</si>
  <si>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</si>
  <si>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</si>
  <si>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</si>
  <si>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</si>
  <si>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</si>
  <si>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</si>
  <si>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</si>
  <si>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</si>
  <si>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</si>
  <si>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</si>
  <si>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</si>
  <si>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</si>
  <si>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</si>
  <si>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</si>
  <si>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</si>
  <si>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</si>
  <si>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</si>
  <si>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</si>
  <si>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</si>
  <si>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</si>
  <si>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</si>
  <si>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</si>
  <si>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</si>
  <si>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</si>
  <si>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</si>
  <si>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</si>
  <si>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</si>
  <si>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</si>
  <si>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</si>
  <si>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</si>
  <si>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</si>
  <si>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</si>
  <si>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</si>
  <si>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</si>
  <si>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</si>
  <si>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</si>
  <si>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</si>
  <si>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</si>
  <si>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</si>
  <si>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</si>
  <si>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</si>
  <si>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</si>
  <si>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</si>
  <si>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</si>
  <si>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</si>
  <si>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</si>
  <si>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</si>
  <si>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</si>
  <si>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</si>
  <si>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</si>
  <si>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</si>
  <si>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</si>
  <si>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</si>
  <si>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</si>
  <si>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</si>
  <si>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</si>
  <si>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</si>
  <si>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</si>
  <si>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</si>
  <si>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</si>
  <si>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</si>
  <si>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</si>
  <si>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</si>
  <si>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</si>
  <si>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</si>
  <si>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</si>
  <si>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</si>
  <si>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</si>
  <si>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</si>
  <si>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</si>
  <si>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</si>
  <si>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</si>
  <si>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</si>
  <si>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</si>
  <si>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</si>
  <si>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</si>
  <si>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</si>
  <si>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</si>
  <si>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</si>
  <si>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</si>
  <si>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</si>
  <si>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</si>
  <si>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</si>
  <si>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</si>
  <si>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</si>
  <si>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</si>
  <si>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</si>
  <si>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</si>
  <si>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</si>
  <si>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</si>
  <si>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</si>
  <si>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</si>
  <si>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</si>
  <si>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</si>
  <si>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</si>
  <si>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</si>
  <si>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</si>
  <si>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</si>
  <si>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</si>
  <si>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</si>
  <si>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</si>
  <si>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</si>
  <si>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</si>
  <si>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</si>
  <si>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</si>
  <si>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</si>
  <si>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</si>
  <si>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</si>
  <si>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</si>
  <si>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</si>
  <si>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</si>
  <si>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</si>
  <si>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</si>
  <si>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</si>
  <si>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</si>
  <si>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</si>
  <si>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</si>
  <si>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</si>
  <si>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</si>
  <si>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</si>
  <si>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</si>
  <si>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</si>
  <si>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</si>
  <si>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</si>
  <si>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</si>
  <si>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</si>
  <si>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</si>
  <si>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</si>
  <si>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</si>
  <si>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</si>
  <si>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</si>
  <si>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</si>
  <si>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</si>
  <si>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</si>
  <si>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</si>
  <si>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</si>
  <si>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</si>
  <si>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</si>
  <si>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</si>
  <si>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</si>
  <si>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</si>
  <si>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</si>
  <si>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</si>
  <si>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</si>
  <si>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</si>
  <si>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</si>
  <si>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</si>
  <si>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</si>
  <si>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</si>
  <si>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</si>
  <si>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</si>
  <si>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</si>
  <si>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</si>
  <si>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</si>
  <si>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</si>
  <si>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</si>
  <si>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</si>
  <si>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</si>
  <si>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</si>
  <si>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</si>
  <si>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</si>
  <si>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</si>
  <si>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</si>
  <si>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</si>
  <si>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</si>
  <si>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</si>
  <si>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</si>
  <si>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</si>
  <si>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</si>
  <si>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</si>
  <si>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</si>
  <si>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</si>
  <si>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</si>
  <si>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</si>
  <si>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</si>
  <si>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</si>
  <si>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</si>
  <si>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</si>
  <si>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</si>
  <si>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</si>
  <si>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</si>
  <si>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</si>
  <si>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</si>
  <si>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</si>
  <si>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</si>
  <si>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</si>
  <si>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</si>
  <si>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</si>
  <si>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</si>
  <si>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</si>
  <si>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</si>
  <si>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</si>
  <si>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</si>
  <si>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</si>
  <si>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</si>
  <si>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</si>
  <si>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</si>
  <si>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</si>
  <si>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</si>
  <si>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</si>
  <si>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</si>
  <si>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</si>
  <si>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</si>
  <si>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</si>
  <si>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</si>
  <si>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</si>
  <si>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</si>
  <si>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</si>
  <si>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</si>
  <si>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</si>
  <si>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</si>
  <si>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</si>
  <si>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</si>
  <si>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</si>
  <si>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</si>
  <si>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</si>
  <si>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</si>
  <si>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</si>
  <si>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</si>
  <si>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</si>
  <si>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</si>
  <si>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</si>
  <si>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</si>
  <si>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</si>
  <si>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</si>
  <si>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</si>
  <si>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</si>
  <si>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</si>
  <si>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</si>
  <si>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</si>
  <si>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</si>
  <si>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</si>
  <si>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</si>
  <si>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</si>
  <si>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</si>
  <si>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</si>
  <si>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</si>
  <si>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</si>
  <si>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</si>
  <si>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</si>
  <si>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</si>
  <si>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</si>
  <si>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</si>
  <si>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</si>
  <si>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</si>
  <si>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</si>
  <si>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</si>
  <si>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</si>
  <si>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</si>
  <si>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</si>
  <si>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</si>
  <si>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</si>
  <si>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</si>
  <si>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</si>
  <si>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</si>
  <si>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</si>
  <si>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</si>
  <si>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</si>
  <si>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</si>
  <si>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</si>
  <si>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</si>
  <si>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</si>
  <si>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</si>
  <si>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</si>
  <si>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</si>
  <si>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</si>
  <si>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</si>
  <si>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</si>
  <si>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</si>
  <si>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</si>
  <si>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</si>
  <si>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</si>
  <si>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</si>
  <si>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</si>
  <si>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</si>
  <si>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</si>
  <si>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</si>
  <si>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</si>
  <si>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</si>
  <si>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</si>
  <si>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</si>
  <si>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</si>
  <si>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</si>
  <si>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</si>
  <si>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</si>
  <si>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</si>
  <si>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</si>
  <si>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</si>
  <si>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</si>
  <si>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</si>
  <si>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</si>
  <si>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</si>
  <si>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</si>
  <si>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</si>
  <si>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</si>
  <si>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</si>
  <si>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</si>
  <si>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</si>
  <si>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</si>
  <si>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</si>
  <si>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</si>
  <si>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</si>
  <si>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</si>
  <si>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</si>
  <si>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</si>
  <si>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</si>
  <si>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</si>
  <si>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</si>
  <si>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</si>
  <si>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</si>
  <si>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</si>
  <si>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</si>
  <si>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</si>
  <si>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</si>
  <si>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</si>
  <si>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</si>
  <si>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</si>
  <si>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</si>
  <si>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</si>
  <si>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</si>
  <si>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</si>
  <si>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</si>
  <si>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</si>
  <si>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</si>
  <si>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</si>
  <si>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</si>
  <si>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</si>
  <si>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</si>
  <si>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</si>
  <si>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</si>
  <si>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</si>
  <si>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</si>
  <si>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</si>
  <si>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</si>
  <si>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</si>
  <si>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</si>
  <si>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</si>
  <si>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</si>
  <si>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</si>
  <si>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</si>
  <si>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</si>
  <si>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</si>
  <si>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</si>
  <si>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</si>
  <si>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</si>
  <si>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</si>
  <si>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</si>
  <si>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</si>
  <si>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</si>
  <si>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</si>
  <si>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</si>
  <si>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</si>
  <si>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</si>
  <si>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</si>
  <si>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</si>
  <si>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</si>
  <si>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</si>
  <si>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</si>
  <si>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</si>
  <si>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</si>
  <si>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</si>
  <si>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</si>
  <si>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</si>
  <si>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</si>
  <si>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</si>
  <si>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</si>
  <si>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</si>
  <si>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</si>
  <si>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</si>
  <si>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</si>
  <si>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</si>
  <si>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</si>
  <si>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</si>
  <si>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</si>
  <si>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</si>
  <si>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</si>
  <si>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</si>
  <si>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</si>
  <si>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</si>
  <si>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</si>
  <si>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</si>
  <si>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</si>
  <si>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</si>
  <si>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</si>
  <si>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</si>
  <si>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</si>
  <si>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</si>
  <si>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</si>
  <si>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</si>
  <si>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</si>
  <si>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</si>
  <si>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</si>
  <si>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</si>
  <si>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</si>
  <si>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</si>
  <si>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</si>
  <si>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</si>
  <si>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</si>
  <si>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</si>
  <si>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</si>
  <si>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</si>
  <si>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</si>
  <si>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</si>
  <si>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</si>
  <si>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</si>
  <si>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</si>
  <si>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</si>
  <si>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</si>
  <si>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</si>
  <si>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</si>
  <si>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</si>
  <si>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</si>
  <si>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</si>
  <si>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</si>
  <si>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</si>
  <si>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</si>
  <si>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</si>
  <si>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</si>
  <si>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</si>
  <si>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</si>
  <si>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</si>
  <si>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</si>
  <si>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</si>
  <si>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</si>
  <si>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</si>
  <si>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</si>
  <si>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</si>
  <si>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</si>
  <si>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</si>
  <si>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</si>
  <si>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</si>
  <si>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</si>
  <si>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</si>
  <si>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</si>
  <si>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</si>
  <si>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</si>
  <si>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</si>
  <si>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</si>
  <si>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</si>
  <si>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</si>
  <si>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</si>
  <si>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</si>
  <si>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</si>
  <si>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</si>
  <si>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</si>
  <si>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</si>
  <si>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</si>
  <si>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</si>
  <si>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</si>
  <si>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</si>
  <si>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</si>
  <si>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</si>
  <si>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</si>
  <si>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</si>
  <si>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</si>
  <si>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</si>
  <si>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</si>
  <si>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</si>
  <si>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</si>
  <si>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</si>
  <si>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</si>
  <si>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</si>
  <si>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</si>
  <si>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</si>
  <si>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</si>
  <si>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</si>
  <si>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</si>
  <si>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</si>
  <si>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</si>
  <si>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</si>
  <si>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</si>
  <si>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</si>
  <si>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</si>
  <si>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</si>
  <si>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</si>
  <si>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</si>
  <si>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</si>
  <si>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</si>
  <si>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</si>
  <si>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</si>
  <si>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</si>
  <si>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</si>
  <si>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</si>
  <si>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</si>
  <si>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</si>
  <si>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</si>
  <si>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</si>
  <si>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</si>
  <si>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</si>
  <si>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</si>
  <si>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</si>
  <si>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</si>
  <si>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</si>
  <si>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</si>
  <si>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</si>
  <si>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</si>
  <si>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</si>
  <si>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</si>
  <si>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</si>
  <si>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</si>
  <si>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</si>
  <si>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</si>
  <si>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</si>
  <si>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</si>
  <si>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</si>
  <si>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</si>
  <si>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</si>
  <si>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</si>
  <si>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</si>
  <si>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</si>
  <si>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</si>
  <si>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</si>
  <si>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</si>
  <si>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</si>
  <si>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</si>
  <si>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</si>
  <si>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</si>
  <si>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</si>
  <si>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</si>
  <si>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</si>
  <si>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</si>
  <si>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</si>
  <si>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</si>
  <si>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</si>
  <si>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</si>
  <si>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</si>
  <si>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</si>
  <si>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</si>
  <si>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</si>
  <si>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</si>
  <si>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</si>
  <si>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</si>
  <si>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</si>
  <si>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</si>
  <si>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</si>
  <si>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</si>
  <si>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</si>
  <si>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</si>
  <si>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</si>
  <si>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</si>
  <si>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</si>
  <si>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</si>
  <si>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</si>
  <si>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</si>
  <si>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</si>
  <si>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</si>
  <si>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</si>
  <si>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</si>
  <si>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</si>
  <si>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</si>
  <si>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</si>
  <si>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</si>
  <si>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</si>
  <si>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</si>
  <si>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</si>
  <si>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</si>
  <si>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</si>
  <si>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</si>
  <si>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</si>
  <si>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</si>
  <si>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</si>
  <si>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</si>
  <si>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</si>
  <si>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</si>
  <si>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</si>
  <si>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</si>
  <si>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</si>
  <si>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</si>
  <si>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</si>
  <si>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</si>
  <si>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</si>
  <si>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</si>
  <si>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</si>
  <si>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</si>
  <si>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</si>
  <si>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</si>
  <si>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</si>
  <si>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</si>
  <si>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</si>
  <si>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43005</t>
  </si>
  <si>
    <t>EEKLO</t>
  </si>
  <si>
    <t>Cultuurgrond (ha)</t>
  </si>
  <si>
    <t>Paarden&amp;pony's 200 - 600 kg</t>
  </si>
  <si>
    <t>Paarden&amp;pony's &lt; 200 kg</t>
  </si>
  <si>
    <t>op basis van VEA (maart 2018) en Inventaris Hernieuwbare Energiebronnen (juni 2018)</t>
  </si>
  <si>
    <t>VEA (juni 2018)</t>
  </si>
  <si>
    <t>Ecopower cvba</t>
  </si>
  <si>
    <t>Statiestraat 164E, 2600 Berchem</t>
  </si>
  <si>
    <t>BMS-0039 Ecopower Eeklo plantenolie</t>
  </si>
  <si>
    <t>biomassa uit land- of bosbouw</t>
  </si>
  <si>
    <t>niet WKK interne verbrandingsmotor (vloeibaar)</t>
  </si>
  <si>
    <t>Industrielaan 2, 9900 Eeklo</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</si>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</sst>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157411.49793257297</c:v>
                </c:pt>
                <c:pt idx="1">
                  <c:v>95352.822427623076</c:v>
                </c:pt>
                <c:pt idx="2">
                  <c:v>1513.6469999999999</c:v>
                </c:pt>
                <c:pt idx="3">
                  <c:v>20804.174910833866</c:v>
                </c:pt>
                <c:pt idx="4">
                  <c:v>155164.87443226526</c:v>
                </c:pt>
                <c:pt idx="5">
                  <c:v>112674.42541546588</c:v>
                </c:pt>
                <c:pt idx="6">
                  <c:v>1432.8338535592839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099968"/>
        <c:axId val="182101504"/>
      </c:barChart>
      <c:catAx>
        <c:axId val="182099968"/>
        <c:scaling>
          <c:orientation val="minMax"/>
        </c:scaling>
        <c:axPos val="b"/>
        <c:numFmt formatCode="General" sourceLinked="0"/>
        <c:tickLblPos val="nextTo"/>
        <c:crossAx val="182101504"/>
        <c:crosses val="autoZero"/>
        <c:auto val="1"/>
        <c:lblAlgn val="ctr"/>
        <c:lblOffset val="100"/>
      </c:catAx>
      <c:valAx>
        <c:axId val="182101504"/>
        <c:scaling>
          <c:orientation val="minMax"/>
        </c:scaling>
        <c:axPos val="l"/>
        <c:majorGridlines/>
        <c:numFmt formatCode="#,##0" sourceLinked="1"/>
        <c:tickLblPos val="nextTo"/>
        <c:crossAx val="1820999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157411.49793257297</c:v>
                </c:pt>
                <c:pt idx="1">
                  <c:v>95352.822427623076</c:v>
                </c:pt>
                <c:pt idx="2">
                  <c:v>1513.6469999999999</c:v>
                </c:pt>
                <c:pt idx="3">
                  <c:v>20804.174910833866</c:v>
                </c:pt>
                <c:pt idx="4">
                  <c:v>155164.87443226526</c:v>
                </c:pt>
                <c:pt idx="5">
                  <c:v>112674.42541546588</c:v>
                </c:pt>
                <c:pt idx="6">
                  <c:v>1432.8338535592839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27983.233961132602</c:v>
                </c:pt>
                <c:pt idx="1">
                  <c:v>17611.580373942266</c:v>
                </c:pt>
                <c:pt idx="2">
                  <c:v>252.18417226084981</c:v>
                </c:pt>
                <c:pt idx="3">
                  <c:v>4675.5364378553204</c:v>
                </c:pt>
                <c:pt idx="4">
                  <c:v>17267.395094555912</c:v>
                </c:pt>
                <c:pt idx="5">
                  <c:v>28535.16426701234</c:v>
                </c:pt>
                <c:pt idx="6">
                  <c:v>366.2773875903257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18048"/>
        <c:axId val="182428032"/>
      </c:barChart>
      <c:catAx>
        <c:axId val="182418048"/>
        <c:scaling>
          <c:orientation val="minMax"/>
        </c:scaling>
        <c:axPos val="b"/>
        <c:numFmt formatCode="General" sourceLinked="0"/>
        <c:tickLblPos val="nextTo"/>
        <c:crossAx val="182428032"/>
        <c:crosses val="autoZero"/>
        <c:auto val="1"/>
        <c:lblAlgn val="ctr"/>
        <c:lblOffset val="100"/>
      </c:catAx>
      <c:valAx>
        <c:axId val="182428032"/>
        <c:scaling>
          <c:orientation val="minMax"/>
        </c:scaling>
        <c:axPos val="l"/>
        <c:majorGridlines/>
        <c:numFmt formatCode="#,##0" sourceLinked="1"/>
        <c:tickLblPos val="nextTo"/>
        <c:crossAx val="1824180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27983.233961132602</c:v>
                </c:pt>
                <c:pt idx="1">
                  <c:v>17611.580373942266</c:v>
                </c:pt>
                <c:pt idx="2">
                  <c:v>252.18417226084981</c:v>
                </c:pt>
                <c:pt idx="3">
                  <c:v>4675.5364378553204</c:v>
                </c:pt>
                <c:pt idx="4">
                  <c:v>17267.395094555912</c:v>
                </c:pt>
                <c:pt idx="5">
                  <c:v>28535.16426701234</c:v>
                </c:pt>
                <c:pt idx="6">
                  <c:v>366.2773875903257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43005</v>
      </c>
      <c r="B6" s="398"/>
      <c r="C6" s="399"/>
    </row>
    <row r="7" spans="1:7" s="396" customFormat="1" ht="15.75" customHeight="1">
      <c r="A7" s="400" t="str">
        <f>txtMunicipality</f>
        <v>EEKLO</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43005</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9129</v>
      </c>
      <c r="C9" s="338">
        <v>9763</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1632</v>
      </c>
    </row>
    <row r="15" spans="1:6">
      <c r="A15" s="1212" t="s">
        <v>184</v>
      </c>
      <c r="B15" s="335">
        <v>31</v>
      </c>
    </row>
    <row r="16" spans="1:6">
      <c r="A16" s="1212" t="s">
        <v>6</v>
      </c>
      <c r="B16" s="335">
        <v>1278</v>
      </c>
    </row>
    <row r="17" spans="1:6">
      <c r="A17" s="1212" t="s">
        <v>7</v>
      </c>
      <c r="B17" s="335">
        <v>430</v>
      </c>
    </row>
    <row r="18" spans="1:6">
      <c r="A18" s="1212" t="s">
        <v>8</v>
      </c>
      <c r="B18" s="335">
        <v>1090</v>
      </c>
    </row>
    <row r="19" spans="1:6">
      <c r="A19" s="1212" t="s">
        <v>9</v>
      </c>
      <c r="B19" s="335">
        <v>1029</v>
      </c>
    </row>
    <row r="20" spans="1:6">
      <c r="A20" s="1212" t="s">
        <v>10</v>
      </c>
      <c r="B20" s="335">
        <v>539</v>
      </c>
    </row>
    <row r="21" spans="1:6">
      <c r="A21" s="1212" t="s">
        <v>11</v>
      </c>
      <c r="B21" s="335">
        <v>11281</v>
      </c>
    </row>
    <row r="22" spans="1:6">
      <c r="A22" s="1212" t="s">
        <v>12</v>
      </c>
      <c r="B22" s="335">
        <v>26325</v>
      </c>
    </row>
    <row r="23" spans="1:6">
      <c r="A23" s="1212" t="s">
        <v>13</v>
      </c>
      <c r="B23" s="335">
        <v>496</v>
      </c>
    </row>
    <row r="24" spans="1:6">
      <c r="A24" s="1212" t="s">
        <v>14</v>
      </c>
      <c r="B24" s="335">
        <v>23</v>
      </c>
    </row>
    <row r="25" spans="1:6">
      <c r="A25" s="1212" t="s">
        <v>15</v>
      </c>
      <c r="B25" s="335">
        <v>2730</v>
      </c>
    </row>
    <row r="26" spans="1:6">
      <c r="A26" s="1212" t="s">
        <v>16</v>
      </c>
      <c r="B26" s="335">
        <v>502</v>
      </c>
    </row>
    <row r="27" spans="1:6">
      <c r="A27" s="1212" t="s">
        <v>17</v>
      </c>
      <c r="B27" s="335">
        <v>0</v>
      </c>
    </row>
    <row r="28" spans="1:6" s="341" customFormat="1">
      <c r="A28" s="1213" t="s">
        <v>18</v>
      </c>
      <c r="B28" s="1213">
        <v>36133</v>
      </c>
    </row>
    <row r="29" spans="1:6">
      <c r="A29" s="1213" t="s">
        <v>836</v>
      </c>
      <c r="B29" s="1213">
        <v>73</v>
      </c>
      <c r="C29" s="341"/>
      <c r="D29" s="341"/>
      <c r="E29" s="341"/>
      <c r="F29" s="341"/>
    </row>
    <row r="30" spans="1:6">
      <c r="A30" s="1208" t="s">
        <v>837</v>
      </c>
      <c r="B30" s="1208">
        <v>14</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4</v>
      </c>
      <c r="F36" s="335">
        <v>12388</v>
      </c>
    </row>
    <row r="37" spans="1:6">
      <c r="A37" s="1212" t="s">
        <v>25</v>
      </c>
      <c r="B37" s="1212" t="s">
        <v>28</v>
      </c>
      <c r="C37" s="335">
        <v>0</v>
      </c>
      <c r="D37" s="335">
        <v>0</v>
      </c>
      <c r="E37" s="335">
        <v>0</v>
      </c>
      <c r="F37" s="335">
        <v>0</v>
      </c>
    </row>
    <row r="38" spans="1:6">
      <c r="A38" s="1212" t="s">
        <v>25</v>
      </c>
      <c r="B38" s="1212" t="s">
        <v>29</v>
      </c>
      <c r="C38" s="335">
        <v>2</v>
      </c>
      <c r="D38" s="335">
        <v>16836.7242277812</v>
      </c>
      <c r="E38" s="335">
        <v>4</v>
      </c>
      <c r="F38" s="335">
        <v>18806.613760284999</v>
      </c>
    </row>
    <row r="39" spans="1:6">
      <c r="A39" s="1212" t="s">
        <v>30</v>
      </c>
      <c r="B39" s="1212" t="s">
        <v>31</v>
      </c>
      <c r="C39" s="335">
        <v>6789</v>
      </c>
      <c r="D39" s="335">
        <v>115173970.195691</v>
      </c>
      <c r="E39" s="335">
        <v>8975</v>
      </c>
      <c r="F39" s="335">
        <v>34496842.0142221</v>
      </c>
    </row>
    <row r="40" spans="1:6">
      <c r="A40" s="1212" t="s">
        <v>30</v>
      </c>
      <c r="B40" s="1212" t="s">
        <v>29</v>
      </c>
      <c r="C40" s="335">
        <v>0</v>
      </c>
      <c r="D40" s="335">
        <v>0</v>
      </c>
      <c r="E40" s="335">
        <v>0</v>
      </c>
      <c r="F40" s="335">
        <v>0</v>
      </c>
    </row>
    <row r="41" spans="1:6">
      <c r="A41" s="1212" t="s">
        <v>32</v>
      </c>
      <c r="B41" s="1212" t="s">
        <v>33</v>
      </c>
      <c r="C41" s="335">
        <v>94</v>
      </c>
      <c r="D41" s="335">
        <v>3617043.5641018501</v>
      </c>
      <c r="E41" s="335">
        <v>217</v>
      </c>
      <c r="F41" s="335">
        <v>3251323.3956917399</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11</v>
      </c>
      <c r="D44" s="335">
        <v>7137992.5425947299</v>
      </c>
      <c r="E44" s="335">
        <v>31</v>
      </c>
      <c r="F44" s="335">
        <v>4643018.1245929403</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9</v>
      </c>
      <c r="F47" s="335">
        <v>27661192.583330501</v>
      </c>
    </row>
    <row r="48" spans="1:6">
      <c r="A48" s="1212" t="s">
        <v>32</v>
      </c>
      <c r="B48" s="1212" t="s">
        <v>29</v>
      </c>
      <c r="C48" s="335">
        <v>36</v>
      </c>
      <c r="D48" s="335">
        <v>15215755.865097599</v>
      </c>
      <c r="E48" s="335">
        <v>41</v>
      </c>
      <c r="F48" s="335">
        <v>17580098.959509201</v>
      </c>
    </row>
    <row r="49" spans="1:6">
      <c r="A49" s="1212" t="s">
        <v>32</v>
      </c>
      <c r="B49" s="1212" t="s">
        <v>40</v>
      </c>
      <c r="C49" s="335">
        <v>0</v>
      </c>
      <c r="D49" s="335">
        <v>0</v>
      </c>
      <c r="E49" s="335">
        <v>6</v>
      </c>
      <c r="F49" s="335">
        <v>109140.518916303</v>
      </c>
    </row>
    <row r="50" spans="1:6">
      <c r="A50" s="1212" t="s">
        <v>32</v>
      </c>
      <c r="B50" s="1212" t="s">
        <v>41</v>
      </c>
      <c r="C50" s="335">
        <v>7</v>
      </c>
      <c r="D50" s="335">
        <v>786123.89655165805</v>
      </c>
      <c r="E50" s="335">
        <v>13</v>
      </c>
      <c r="F50" s="335">
        <v>745793.51017198502</v>
      </c>
    </row>
    <row r="51" spans="1:6">
      <c r="A51" s="1212" t="s">
        <v>42</v>
      </c>
      <c r="B51" s="1212" t="s">
        <v>43</v>
      </c>
      <c r="C51" s="335">
        <v>8</v>
      </c>
      <c r="D51" s="335">
        <v>227280.32428736499</v>
      </c>
      <c r="E51" s="335">
        <v>68</v>
      </c>
      <c r="F51" s="335">
        <v>1977153.6694189201</v>
      </c>
    </row>
    <row r="52" spans="1:6">
      <c r="A52" s="1212" t="s">
        <v>42</v>
      </c>
      <c r="B52" s="1212" t="s">
        <v>29</v>
      </c>
      <c r="C52" s="335">
        <v>6</v>
      </c>
      <c r="D52" s="335">
        <v>100416.64983556099</v>
      </c>
      <c r="E52" s="335">
        <v>13</v>
      </c>
      <c r="F52" s="335">
        <v>253918.97248839599</v>
      </c>
    </row>
    <row r="53" spans="1:6">
      <c r="A53" s="1212" t="s">
        <v>44</v>
      </c>
      <c r="B53" s="1212" t="s">
        <v>45</v>
      </c>
      <c r="C53" s="335">
        <v>213</v>
      </c>
      <c r="D53" s="335">
        <v>11326072.853321301</v>
      </c>
      <c r="E53" s="335">
        <v>354</v>
      </c>
      <c r="F53" s="335">
        <v>1704235.29573584</v>
      </c>
    </row>
    <row r="54" spans="1:6">
      <c r="A54" s="1212" t="s">
        <v>46</v>
      </c>
      <c r="B54" s="1212" t="s">
        <v>47</v>
      </c>
      <c r="C54" s="335">
        <v>0</v>
      </c>
      <c r="D54" s="335">
        <v>0</v>
      </c>
      <c r="E54" s="335">
        <v>1</v>
      </c>
      <c r="F54" s="335">
        <v>1513647</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58</v>
      </c>
      <c r="D57" s="335">
        <v>7228275.2623799397</v>
      </c>
      <c r="E57" s="335">
        <v>115</v>
      </c>
      <c r="F57" s="335">
        <v>5169474.55110751</v>
      </c>
    </row>
    <row r="58" spans="1:6">
      <c r="A58" s="1212" t="s">
        <v>49</v>
      </c>
      <c r="B58" s="1212" t="s">
        <v>51</v>
      </c>
      <c r="C58" s="335">
        <v>52</v>
      </c>
      <c r="D58" s="335">
        <v>13145093.5789799</v>
      </c>
      <c r="E58" s="335">
        <v>68</v>
      </c>
      <c r="F58" s="335">
        <v>5450761.95315695</v>
      </c>
    </row>
    <row r="59" spans="1:6">
      <c r="A59" s="1212" t="s">
        <v>49</v>
      </c>
      <c r="B59" s="1212" t="s">
        <v>52</v>
      </c>
      <c r="C59" s="335">
        <v>161</v>
      </c>
      <c r="D59" s="335">
        <v>7177392.6871417798</v>
      </c>
      <c r="E59" s="335">
        <v>329</v>
      </c>
      <c r="F59" s="335">
        <v>11132245.638152</v>
      </c>
    </row>
    <row r="60" spans="1:6">
      <c r="A60" s="1212" t="s">
        <v>49</v>
      </c>
      <c r="B60" s="1212" t="s">
        <v>53</v>
      </c>
      <c r="C60" s="335">
        <v>76</v>
      </c>
      <c r="D60" s="335">
        <v>3270132.51633516</v>
      </c>
      <c r="E60" s="335">
        <v>98</v>
      </c>
      <c r="F60" s="335">
        <v>2542118.1465338301</v>
      </c>
    </row>
    <row r="61" spans="1:6">
      <c r="A61" s="1212" t="s">
        <v>49</v>
      </c>
      <c r="B61" s="1212" t="s">
        <v>54</v>
      </c>
      <c r="C61" s="335">
        <v>190</v>
      </c>
      <c r="D61" s="335">
        <v>11177199.365670601</v>
      </c>
      <c r="E61" s="335">
        <v>476</v>
      </c>
      <c r="F61" s="335">
        <v>5430189.7535529798</v>
      </c>
    </row>
    <row r="62" spans="1:6">
      <c r="A62" s="1212" t="s">
        <v>49</v>
      </c>
      <c r="B62" s="1212" t="s">
        <v>55</v>
      </c>
      <c r="C62" s="335">
        <v>7</v>
      </c>
      <c r="D62" s="335">
        <v>4458204.9860401303</v>
      </c>
      <c r="E62" s="335">
        <v>17</v>
      </c>
      <c r="F62" s="335">
        <v>909499.16075789998</v>
      </c>
    </row>
    <row r="63" spans="1:6">
      <c r="A63" s="1212" t="s">
        <v>49</v>
      </c>
      <c r="B63" s="1212" t="s">
        <v>29</v>
      </c>
      <c r="C63" s="335">
        <v>99</v>
      </c>
      <c r="D63" s="335">
        <v>6160611.9858924104</v>
      </c>
      <c r="E63" s="335">
        <v>99</v>
      </c>
      <c r="F63" s="335">
        <v>4595558.1363183102</v>
      </c>
    </row>
    <row r="64" spans="1:6">
      <c r="A64" s="1212" t="s">
        <v>56</v>
      </c>
      <c r="B64" s="1212" t="s">
        <v>57</v>
      </c>
      <c r="C64" s="335">
        <v>0</v>
      </c>
      <c r="D64" s="335">
        <v>0</v>
      </c>
      <c r="E64" s="335">
        <v>0</v>
      </c>
      <c r="F64" s="335">
        <v>0</v>
      </c>
    </row>
    <row r="65" spans="1:6">
      <c r="A65" s="1212" t="s">
        <v>56</v>
      </c>
      <c r="B65" s="1212" t="s">
        <v>29</v>
      </c>
      <c r="C65" s="335">
        <v>0</v>
      </c>
      <c r="D65" s="335">
        <v>0</v>
      </c>
      <c r="E65" s="335">
        <v>3</v>
      </c>
      <c r="F65" s="335">
        <v>58634.165527637</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3</v>
      </c>
      <c r="D68" s="335">
        <v>88368.054313676199</v>
      </c>
      <c r="E68" s="335">
        <v>16</v>
      </c>
      <c r="F68" s="335">
        <v>67656.142022032596</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91400333</v>
      </c>
      <c r="E73" s="335">
        <v>107016306.38676333</v>
      </c>
    </row>
    <row r="74" spans="1:6">
      <c r="A74" s="1212" t="s">
        <v>64</v>
      </c>
      <c r="B74" s="1212" t="s">
        <v>727</v>
      </c>
      <c r="C74" s="1212" t="s">
        <v>728</v>
      </c>
      <c r="D74" s="335">
        <v>14752521.19113127</v>
      </c>
      <c r="E74" s="335">
        <v>16230373.473372994</v>
      </c>
    </row>
    <row r="75" spans="1:6">
      <c r="A75" s="1212" t="s">
        <v>65</v>
      </c>
      <c r="B75" s="1212" t="s">
        <v>725</v>
      </c>
      <c r="C75" s="1212" t="s">
        <v>729</v>
      </c>
      <c r="D75" s="335">
        <v>15476491</v>
      </c>
      <c r="E75" s="335">
        <v>19239969.328887537</v>
      </c>
    </row>
    <row r="76" spans="1:6">
      <c r="A76" s="1212" t="s">
        <v>65</v>
      </c>
      <c r="B76" s="1212" t="s">
        <v>727</v>
      </c>
      <c r="C76" s="1212" t="s">
        <v>730</v>
      </c>
      <c r="D76" s="335">
        <v>1394640.19113127</v>
      </c>
      <c r="E76" s="335">
        <v>1554375.2430115517</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378537.61773746001</v>
      </c>
      <c r="C83" s="335">
        <v>377770.40827917913</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27970.349203917111</v>
      </c>
    </row>
    <row r="91" spans="1:6">
      <c r="A91" s="1212" t="s">
        <v>68</v>
      </c>
      <c r="B91" s="335">
        <v>2384.8434398852992</v>
      </c>
    </row>
    <row r="92" spans="1:6">
      <c r="A92" s="1208" t="s">
        <v>69</v>
      </c>
      <c r="B92" s="338">
        <v>925.94016116460728</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4927</v>
      </c>
    </row>
    <row r="98" spans="1:6">
      <c r="A98" s="1212" t="s">
        <v>72</v>
      </c>
      <c r="B98" s="335">
        <v>3</v>
      </c>
    </row>
    <row r="99" spans="1:6">
      <c r="A99" s="1212" t="s">
        <v>73</v>
      </c>
      <c r="B99" s="335">
        <v>85</v>
      </c>
    </row>
    <row r="100" spans="1:6">
      <c r="A100" s="1212" t="s">
        <v>74</v>
      </c>
      <c r="B100" s="335">
        <v>935</v>
      </c>
    </row>
    <row r="101" spans="1:6">
      <c r="A101" s="1212" t="s">
        <v>75</v>
      </c>
      <c r="B101" s="335">
        <v>75</v>
      </c>
    </row>
    <row r="102" spans="1:6">
      <c r="A102" s="1212" t="s">
        <v>76</v>
      </c>
      <c r="B102" s="335">
        <v>200</v>
      </c>
    </row>
    <row r="103" spans="1:6">
      <c r="A103" s="1212" t="s">
        <v>77</v>
      </c>
      <c r="B103" s="335">
        <v>148</v>
      </c>
    </row>
    <row r="104" spans="1:6">
      <c r="A104" s="1212" t="s">
        <v>78</v>
      </c>
      <c r="B104" s="335">
        <v>1641</v>
      </c>
    </row>
    <row r="105" spans="1:6">
      <c r="A105" s="1208" t="s">
        <v>79</v>
      </c>
      <c r="B105" s="1208">
        <v>5</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1</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14</v>
      </c>
      <c r="C123" s="335">
        <v>14</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78</v>
      </c>
    </row>
    <row r="130" spans="1:6">
      <c r="A130" s="1212" t="s">
        <v>295</v>
      </c>
      <c r="B130" s="335">
        <v>1</v>
      </c>
    </row>
    <row r="131" spans="1:6">
      <c r="A131" s="1212" t="s">
        <v>296</v>
      </c>
      <c r="B131" s="335">
        <v>7</v>
      </c>
    </row>
    <row r="132" spans="1:6">
      <c r="A132" s="1208" t="s">
        <v>297</v>
      </c>
      <c r="B132" s="338">
        <v>2</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130752.65542413252</v>
      </c>
      <c r="C3" s="43" t="s">
        <v>170</v>
      </c>
      <c r="D3" s="43"/>
      <c r="E3" s="156"/>
      <c r="F3" s="43"/>
      <c r="G3" s="43"/>
      <c r="H3" s="43"/>
      <c r="I3" s="43"/>
      <c r="J3" s="43"/>
      <c r="K3" s="96"/>
    </row>
    <row r="4" spans="1:11">
      <c r="A4" s="366" t="s">
        <v>171</v>
      </c>
      <c r="B4" s="49">
        <f>IF(ISERROR('SEAP template'!B69),0,'SEAP template'!B69)</f>
        <v>32181.132804967016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0.16660699110218552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1513.6469999999999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1513.6469999999999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0.16660699110218552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252.18417226084981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34496.8420142221</v>
      </c>
      <c r="C5" s="17">
        <f>IF(ISERROR('Eigen informatie GS &amp; warmtenet'!B57),0,'Eigen informatie GS &amp; warmtenet'!B57)</f>
        <v>0</v>
      </c>
      <c r="D5" s="30">
        <f>(SUM(HH_hh_gas_kWh,HH_rest_gas_kWh)/1000)*0.902</f>
        <v>103886.92111651329</v>
      </c>
      <c r="E5" s="17">
        <f>B46*B57</f>
        <v>3759.1597150257362</v>
      </c>
      <c r="F5" s="17">
        <f>B51*B62</f>
        <v>0</v>
      </c>
      <c r="G5" s="18"/>
      <c r="H5" s="17"/>
      <c r="I5" s="17"/>
      <c r="J5" s="17">
        <f>B50*B61+C50*C61</f>
        <v>0</v>
      </c>
      <c r="K5" s="17"/>
      <c r="L5" s="17"/>
      <c r="M5" s="17"/>
      <c r="N5" s="17">
        <f>B48*B59+C48*C59</f>
        <v>12434.838313593213</v>
      </c>
      <c r="O5" s="17">
        <f>B69*B70*B71</f>
        <v>143.82666666666668</v>
      </c>
      <c r="P5" s="17">
        <f>B77*B78*B79/1000-B77*B78*B79/1000/B80</f>
        <v>305.06666666666666</v>
      </c>
    </row>
    <row r="6" spans="1:16">
      <c r="A6" s="16" t="s">
        <v>634</v>
      </c>
      <c r="B6" s="831">
        <f>kWh_PV_kleiner_dan_10kW</f>
        <v>2384.8434398852992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36881.685454107399</v>
      </c>
      <c r="C8" s="21">
        <f>C5</f>
        <v>0</v>
      </c>
      <c r="D8" s="21">
        <f>D5</f>
        <v>103886.92111651329</v>
      </c>
      <c r="E8" s="21">
        <f>E5</f>
        <v>3759.1597150257362</v>
      </c>
      <c r="F8" s="21">
        <f>F5</f>
        <v>0</v>
      </c>
      <c r="G8" s="21"/>
      <c r="H8" s="21"/>
      <c r="I8" s="21"/>
      <c r="J8" s="21">
        <f>J5</f>
        <v>0</v>
      </c>
      <c r="K8" s="21"/>
      <c r="L8" s="21">
        <f>L5</f>
        <v>0</v>
      </c>
      <c r="M8" s="21">
        <f>M5</f>
        <v>0</v>
      </c>
      <c r="N8" s="21">
        <f>N5</f>
        <v>12434.838313593213</v>
      </c>
      <c r="O8" s="21">
        <f>O5</f>
        <v>143.82666666666668</v>
      </c>
      <c r="P8" s="21">
        <f>P5</f>
        <v>305.06666666666666</v>
      </c>
    </row>
    <row r="9" spans="1:16">
      <c r="B9" s="19"/>
      <c r="C9" s="19"/>
      <c r="D9" s="261"/>
      <c r="E9" s="19"/>
      <c r="F9" s="19"/>
      <c r="G9" s="19"/>
      <c r="H9" s="19"/>
      <c r="I9" s="19"/>
      <c r="J9" s="19"/>
      <c r="K9" s="19"/>
      <c r="L9" s="19"/>
      <c r="M9" s="19"/>
      <c r="N9" s="19"/>
      <c r="O9" s="19"/>
      <c r="P9" s="19"/>
    </row>
    <row r="10" spans="1:16">
      <c r="A10" s="24" t="s">
        <v>214</v>
      </c>
      <c r="B10" s="25">
        <f ca="1">'EF ele_warmte'!B12</f>
        <v>0.16660699110218552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6144.7466402860764</v>
      </c>
      <c r="C12" s="23">
        <f ca="1">C10*C8</f>
        <v>0</v>
      </c>
      <c r="D12" s="23">
        <f>D8*D10</f>
        <v>20985.158065535685</v>
      </c>
      <c r="E12" s="23">
        <f>E10*E8</f>
        <v>853.3292553108422</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4927</v>
      </c>
      <c r="C18" s="168" t="s">
        <v>111</v>
      </c>
      <c r="D18" s="230"/>
      <c r="E18" s="15"/>
    </row>
    <row r="19" spans="1:7">
      <c r="A19" s="173" t="s">
        <v>72</v>
      </c>
      <c r="B19" s="37">
        <f>aantalw2001_ander</f>
        <v>3</v>
      </c>
      <c r="C19" s="168" t="s">
        <v>111</v>
      </c>
      <c r="D19" s="231"/>
      <c r="E19" s="15"/>
    </row>
    <row r="20" spans="1:7">
      <c r="A20" s="173" t="s">
        <v>73</v>
      </c>
      <c r="B20" s="37">
        <f>aantalw2001_propaan</f>
        <v>85</v>
      </c>
      <c r="C20" s="169">
        <f>IF(ISERROR(B20/SUM($B$20,$B$21,$B$22)*100),0,B20/SUM($B$20,$B$21,$B$22)*100)</f>
        <v>7.7625570776255701</v>
      </c>
      <c r="D20" s="231"/>
      <c r="E20" s="15"/>
    </row>
    <row r="21" spans="1:7">
      <c r="A21" s="173" t="s">
        <v>74</v>
      </c>
      <c r="B21" s="37">
        <f>aantalw2001_elektriciteit</f>
        <v>935</v>
      </c>
      <c r="C21" s="169">
        <f>IF(ISERROR(B21/SUM($B$20,$B$21,$B$22)*100),0,B21/SUM($B$20,$B$21,$B$22)*100)</f>
        <v>85.388127853881286</v>
      </c>
      <c r="D21" s="231"/>
      <c r="E21" s="15"/>
    </row>
    <row r="22" spans="1:7">
      <c r="A22" s="173" t="s">
        <v>75</v>
      </c>
      <c r="B22" s="37">
        <f>aantalw2001_hout</f>
        <v>75</v>
      </c>
      <c r="C22" s="169">
        <f>IF(ISERROR(B22/SUM($B$20,$B$21,$B$22)*100),0,B22/SUM($B$20,$B$21,$B$22)*100)</f>
        <v>6.8493150684931505</v>
      </c>
      <c r="D22" s="231"/>
      <c r="E22" s="15"/>
    </row>
    <row r="23" spans="1:7">
      <c r="A23" s="173" t="s">
        <v>76</v>
      </c>
      <c r="B23" s="37">
        <f>aantalw2001_niet_gespec</f>
        <v>200</v>
      </c>
      <c r="C23" s="168" t="s">
        <v>111</v>
      </c>
      <c r="D23" s="230"/>
      <c r="E23" s="15"/>
    </row>
    <row r="24" spans="1:7">
      <c r="A24" s="173" t="s">
        <v>77</v>
      </c>
      <c r="B24" s="37">
        <f>aantalw2001_steenkool</f>
        <v>148</v>
      </c>
      <c r="C24" s="168" t="s">
        <v>111</v>
      </c>
      <c r="D24" s="231"/>
      <c r="E24" s="15"/>
    </row>
    <row r="25" spans="1:7">
      <c r="A25" s="173" t="s">
        <v>78</v>
      </c>
      <c r="B25" s="37">
        <f>aantalw2001_stookolie</f>
        <v>1641</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9129</v>
      </c>
      <c r="C28" s="36"/>
      <c r="D28" s="230"/>
    </row>
    <row r="29" spans="1:7" s="15" customFormat="1">
      <c r="A29" s="232" t="s">
        <v>746</v>
      </c>
      <c r="B29" s="37">
        <f>SUM(HH_hh_gas_aantal,HH_rest_gas_aantal)</f>
        <v>6789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6789</v>
      </c>
      <c r="C32" s="169">
        <f>IF(ISERROR(B32/SUM($B$32,$B$34,$B$35,$B$36,$B$38,$B$39)*100),0,B32/SUM($B$32,$B$34,$B$35,$B$36,$B$38,$B$39)*100)</f>
        <v>74.497969933062663</v>
      </c>
      <c r="D32" s="235"/>
      <c r="G32" s="15"/>
    </row>
    <row r="33" spans="1:7">
      <c r="A33" s="173" t="s">
        <v>72</v>
      </c>
      <c r="B33" s="34" t="s">
        <v>111</v>
      </c>
      <c r="C33" s="169"/>
      <c r="D33" s="235"/>
      <c r="G33" s="15"/>
    </row>
    <row r="34" spans="1:7">
      <c r="A34" s="173" t="s">
        <v>73</v>
      </c>
      <c r="B34" s="33">
        <f>IF((($B$28-$B$32-$B$39-$B$77-$B$38)*C20/100)&lt;0,0,($B$28-$B$32-$B$39-$B$77-$B$38)*C20/100)</f>
        <v>180.40182648401824</v>
      </c>
      <c r="C34" s="169">
        <f>IF(ISERROR(B34/SUM($B$32,$B$34,$B$35,$B$36,$B$38,$B$39)*100),0,B34/SUM($B$32,$B$34,$B$35,$B$36,$B$38,$B$39)*100)</f>
        <v>1.979609639899246</v>
      </c>
      <c r="D34" s="235"/>
      <c r="G34" s="15"/>
    </row>
    <row r="35" spans="1:7">
      <c r="A35" s="173" t="s">
        <v>74</v>
      </c>
      <c r="B35" s="33">
        <f>IF((($B$28-$B$32-$B$39-$B$77-$B$38)*C21/100)&lt;0,0,($B$28-$B$32-$B$39-$B$77-$B$38)*C21/100)</f>
        <v>1984.4200913242012</v>
      </c>
      <c r="C35" s="169">
        <f>IF(ISERROR(B35/SUM($B$32,$B$34,$B$35,$B$36,$B$38,$B$39)*100),0,B35/SUM($B$32,$B$34,$B$35,$B$36,$B$38,$B$39)*100)</f>
        <v>21.775706038891709</v>
      </c>
      <c r="D35" s="235"/>
      <c r="G35" s="15"/>
    </row>
    <row r="36" spans="1:7">
      <c r="A36" s="173" t="s">
        <v>75</v>
      </c>
      <c r="B36" s="33">
        <f>IF((($B$28-$B$32-$B$39-$B$77-$B$38)*C22/100)&lt;0,0,($B$28-$B$32-$B$39-$B$77-$B$38)*C22/100)</f>
        <v>159.17808219178082</v>
      </c>
      <c r="C36" s="169">
        <f>IF(ISERROR(B36/SUM($B$32,$B$34,$B$35,$B$36,$B$38,$B$39)*100),0,B36/SUM($B$32,$B$34,$B$35,$B$36,$B$38,$B$39)*100)</f>
        <v>1.7467143881463938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6789</v>
      </c>
      <c r="C44" s="34" t="s">
        <v>111</v>
      </c>
      <c r="D44" s="176"/>
    </row>
    <row r="45" spans="1:7">
      <c r="A45" s="173" t="s">
        <v>72</v>
      </c>
      <c r="B45" s="33" t="str">
        <f t="shared" si="0"/>
        <v>-</v>
      </c>
      <c r="C45" s="34" t="s">
        <v>111</v>
      </c>
      <c r="D45" s="176"/>
    </row>
    <row r="46" spans="1:7">
      <c r="A46" s="173" t="s">
        <v>73</v>
      </c>
      <c r="B46" s="33">
        <f t="shared" si="0"/>
        <v>180.40182648401824</v>
      </c>
      <c r="C46" s="34" t="s">
        <v>111</v>
      </c>
      <c r="D46" s="176"/>
    </row>
    <row r="47" spans="1:7">
      <c r="A47" s="173" t="s">
        <v>74</v>
      </c>
      <c r="B47" s="33">
        <f t="shared" si="0"/>
        <v>1984.4200913242012</v>
      </c>
      <c r="C47" s="34" t="s">
        <v>111</v>
      </c>
      <c r="D47" s="176"/>
    </row>
    <row r="48" spans="1:7">
      <c r="A48" s="173" t="s">
        <v>75</v>
      </c>
      <c r="B48" s="33">
        <f t="shared" si="0"/>
        <v>159.17808219178082</v>
      </c>
      <c r="C48" s="33">
        <f>B48*10</f>
        <v>1591.7808219178082</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35229.847339579479</v>
      </c>
      <c r="C5" s="17">
        <f>IF(ISERROR('Eigen informatie GS &amp; warmtenet'!B58),0,'Eigen informatie GS &amp; warmtenet'!B58)</f>
        <v>0</v>
      </c>
      <c r="D5" s="30">
        <f>SUM(D6:D12)</f>
        <v>47460.453164960811</v>
      </c>
      <c r="E5" s="17">
        <f>SUM(E6:E12)</f>
        <v>410.93102856229626</v>
      </c>
      <c r="F5" s="17">
        <f>SUM(F6:F12)</f>
        <v>7160.3083779322205</v>
      </c>
      <c r="G5" s="18"/>
      <c r="H5" s="17"/>
      <c r="I5" s="17"/>
      <c r="J5" s="17">
        <f>SUM(J6:J12)</f>
        <v>0</v>
      </c>
      <c r="K5" s="17"/>
      <c r="L5" s="17"/>
      <c r="M5" s="17"/>
      <c r="N5" s="17">
        <f>SUM(N6:N12)</f>
        <v>4056.2525165882666</v>
      </c>
      <c r="O5" s="17">
        <f>B38*B39*B40</f>
        <v>1.5633333333333335</v>
      </c>
      <c r="P5" s="17">
        <f>B46*B47*B48/1000-B46*B47*B48/1000/B49</f>
        <v>133.46666666666667</v>
      </c>
      <c r="R5" s="32"/>
    </row>
    <row r="6" spans="1:18">
      <c r="A6" s="32" t="s">
        <v>54</v>
      </c>
      <c r="B6" s="37">
        <f>B26</f>
        <v>5430.1897535529797</v>
      </c>
      <c r="C6" s="33"/>
      <c r="D6" s="37">
        <f>IF(ISERROR(TER_kantoor_gas_kWh/1000),0,TER_kantoor_gas_kWh/1000)*0.902</f>
        <v>10081.833827834884</v>
      </c>
      <c r="E6" s="33">
        <f>$C$26*'E Balans VL '!I12/100/3.6*1000000</f>
        <v>21.097436830707643</v>
      </c>
      <c r="F6" s="33">
        <f>$C$26*('E Balans VL '!L12+'E Balans VL '!N12)/100/3.6*1000000</f>
        <v>825.88245072802079</v>
      </c>
      <c r="G6" s="34"/>
      <c r="H6" s="33"/>
      <c r="I6" s="33"/>
      <c r="J6" s="33">
        <f>$C$26*('E Balans VL '!D12+'E Balans VL '!E12)/100/3.6*1000000</f>
        <v>0</v>
      </c>
      <c r="K6" s="33"/>
      <c r="L6" s="33"/>
      <c r="M6" s="33"/>
      <c r="N6" s="33">
        <f>$C$26*'E Balans VL '!Y12/100/3.6*1000000</f>
        <v>2.992685074919831</v>
      </c>
      <c r="O6" s="33"/>
      <c r="P6" s="33"/>
      <c r="R6" s="32"/>
    </row>
    <row r="7" spans="1:18">
      <c r="A7" s="32" t="s">
        <v>53</v>
      </c>
      <c r="B7" s="37">
        <f t="shared" ref="B7:B12" si="0">B27</f>
        <v>2542.11814653383</v>
      </c>
      <c r="C7" s="33"/>
      <c r="D7" s="37">
        <f>IF(ISERROR(TER_horeca_gas_kWh/1000),0,TER_horeca_gas_kWh/1000)*0.902</f>
        <v>2949.6595297343142</v>
      </c>
      <c r="E7" s="33">
        <f>$C$27*'E Balans VL '!I9/100/3.6*1000000</f>
        <v>143.19819484403695</v>
      </c>
      <c r="F7" s="33">
        <f>$C$27*('E Balans VL '!L9+'E Balans VL '!N9)/100/3.6*1000000</f>
        <v>732.9946799538011</v>
      </c>
      <c r="G7" s="34"/>
      <c r="H7" s="33"/>
      <c r="I7" s="33"/>
      <c r="J7" s="33">
        <f>$C$27*('E Balans VL '!D9+'E Balans VL '!E9)/100/3.6*1000000</f>
        <v>0</v>
      </c>
      <c r="K7" s="33"/>
      <c r="L7" s="33"/>
      <c r="M7" s="33"/>
      <c r="N7" s="33">
        <f>$C$27*'E Balans VL '!Y9/100/3.6*1000000</f>
        <v>0.70186561016920423</v>
      </c>
      <c r="O7" s="33"/>
      <c r="P7" s="33"/>
      <c r="R7" s="32"/>
    </row>
    <row r="8" spans="1:18">
      <c r="A8" s="6" t="s">
        <v>52</v>
      </c>
      <c r="B8" s="37">
        <f t="shared" si="0"/>
        <v>11132.245638151999</v>
      </c>
      <c r="C8" s="33"/>
      <c r="D8" s="37">
        <f>IF(ISERROR(TER_handel_gas_kWh/1000),0,TER_handel_gas_kWh/1000)*0.902</f>
        <v>6474.0082038018854</v>
      </c>
      <c r="E8" s="33">
        <f>$C$28*'E Balans VL '!I13/100/3.6*1000000</f>
        <v>160.45342759822796</v>
      </c>
      <c r="F8" s="33">
        <f>$C$28*('E Balans VL '!L13+'E Balans VL '!N13)/100/3.6*1000000</f>
        <v>1933.930319853853</v>
      </c>
      <c r="G8" s="34"/>
      <c r="H8" s="33"/>
      <c r="I8" s="33"/>
      <c r="J8" s="33">
        <f>$C$28*('E Balans VL '!D13+'E Balans VL '!E13)/100/3.6*1000000</f>
        <v>0</v>
      </c>
      <c r="K8" s="33"/>
      <c r="L8" s="33"/>
      <c r="M8" s="33"/>
      <c r="N8" s="33">
        <f>$C$28*'E Balans VL '!Y13/100/3.6*1000000</f>
        <v>33.353447199016919</v>
      </c>
      <c r="O8" s="33"/>
      <c r="P8" s="33"/>
      <c r="R8" s="32"/>
    </row>
    <row r="9" spans="1:18">
      <c r="A9" s="32" t="s">
        <v>51</v>
      </c>
      <c r="B9" s="37">
        <f t="shared" si="0"/>
        <v>5450.7619531569499</v>
      </c>
      <c r="C9" s="33"/>
      <c r="D9" s="37">
        <f>IF(ISERROR(TER_gezond_gas_kWh/1000),0,TER_gezond_gas_kWh/1000)*0.902</f>
        <v>11856.87440823987</v>
      </c>
      <c r="E9" s="33">
        <f>$C$29*'E Balans VL '!I10/100/3.6*1000000</f>
        <v>5.8228265515869735</v>
      </c>
      <c r="F9" s="33">
        <f>$C$29*('E Balans VL '!L10+'E Balans VL '!N10)/100/3.6*1000000</f>
        <v>889.18492943189369</v>
      </c>
      <c r="G9" s="34"/>
      <c r="H9" s="33"/>
      <c r="I9" s="33"/>
      <c r="J9" s="33">
        <f>$C$29*('E Balans VL '!D10+'E Balans VL '!E10)/100/3.6*1000000</f>
        <v>0</v>
      </c>
      <c r="K9" s="33"/>
      <c r="L9" s="33"/>
      <c r="M9" s="33"/>
      <c r="N9" s="33">
        <f>$C$29*'E Balans VL '!Y10/100/3.6*1000000</f>
        <v>56.112484165028633</v>
      </c>
      <c r="O9" s="33"/>
      <c r="P9" s="33"/>
      <c r="R9" s="32"/>
    </row>
    <row r="10" spans="1:18">
      <c r="A10" s="32" t="s">
        <v>50</v>
      </c>
      <c r="B10" s="37">
        <f t="shared" si="0"/>
        <v>5169.4745511075098</v>
      </c>
      <c r="C10" s="33"/>
      <c r="D10" s="37">
        <f>IF(ISERROR(TER_ander_gas_kWh/1000),0,TER_ander_gas_kWh/1000)*0.902</f>
        <v>6519.904286666706</v>
      </c>
      <c r="E10" s="33">
        <f>$C$30*'E Balans VL '!I14/100/3.6*1000000</f>
        <v>23.773627125091675</v>
      </c>
      <c r="F10" s="33">
        <f>$C$30*('E Balans VL '!L14+'E Balans VL '!N14)/100/3.6*1000000</f>
        <v>1549.4545828498076</v>
      </c>
      <c r="G10" s="34"/>
      <c r="H10" s="33"/>
      <c r="I10" s="33"/>
      <c r="J10" s="33">
        <f>$C$30*('E Balans VL '!D14+'E Balans VL '!E14)/100/3.6*1000000</f>
        <v>0</v>
      </c>
      <c r="K10" s="33"/>
      <c r="L10" s="33"/>
      <c r="M10" s="33"/>
      <c r="N10" s="33">
        <f>$C$30*'E Balans VL '!Y14/100/3.6*1000000</f>
        <v>3598.2955285596463</v>
      </c>
      <c r="O10" s="33"/>
      <c r="P10" s="33"/>
      <c r="R10" s="32"/>
    </row>
    <row r="11" spans="1:18">
      <c r="A11" s="32" t="s">
        <v>55</v>
      </c>
      <c r="B11" s="37">
        <f t="shared" si="0"/>
        <v>909.49916075789997</v>
      </c>
      <c r="C11" s="33"/>
      <c r="D11" s="37">
        <f>IF(ISERROR(TER_onderwijs_gas_kWh/1000),0,TER_onderwijs_gas_kWh/1000)*0.902</f>
        <v>4021.3008974081977</v>
      </c>
      <c r="E11" s="33">
        <f>$C$31*'E Balans VL '!I11/100/3.6*1000000</f>
        <v>0.84368007872637896</v>
      </c>
      <c r="F11" s="33">
        <f>$C$31*('E Balans VL '!L11+'E Balans VL '!N11)/100/3.6*1000000</f>
        <v>319.48615183891087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4595.5581363183101</v>
      </c>
      <c r="C12" s="33"/>
      <c r="D12" s="37">
        <f>IF(ISERROR(TER_rest_gas_kWh/1000),0,TER_rest_gas_kWh/1000)*0.902</f>
        <v>5556.8720112749543</v>
      </c>
      <c r="E12" s="33">
        <f>$C$32*'E Balans VL '!I8/100/3.6*1000000</f>
        <v>55.741835533918724</v>
      </c>
      <c r="F12" s="33">
        <f>$C$32*('E Balans VL '!L8+'E Balans VL '!N8)/100/3.6*1000000</f>
        <v>909.37526327593309</v>
      </c>
      <c r="G12" s="34"/>
      <c r="H12" s="33"/>
      <c r="I12" s="33"/>
      <c r="J12" s="33">
        <f>$C$32*('E Balans VL '!D8+'E Balans VL '!E8)/100/3.6*1000000</f>
        <v>0</v>
      </c>
      <c r="K12" s="33"/>
      <c r="L12" s="33"/>
      <c r="M12" s="33"/>
      <c r="N12" s="33">
        <f>$C$32*'E Balans VL '!Y8/100/3.6*1000000</f>
        <v>364.79650597948557</v>
      </c>
      <c r="O12" s="33"/>
      <c r="P12" s="33"/>
      <c r="R12" s="32"/>
    </row>
    <row r="13" spans="1:18">
      <c r="A13" s="16" t="s">
        <v>497</v>
      </c>
      <c r="B13" s="249">
        <f ca="1">'lokale energieproductie'!N90+'lokale energieproductie'!N59</f>
        <v>900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-2250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36129.847339579479</v>
      </c>
      <c r="C16" s="21">
        <f t="shared" ca="1" si="1"/>
        <v>0</v>
      </c>
      <c r="D16" s="21">
        <f t="shared" ca="1" si="1"/>
        <v>47460.453164960811</v>
      </c>
      <c r="E16" s="21">
        <f t="shared" si="1"/>
        <v>410.93102856229626</v>
      </c>
      <c r="F16" s="21">
        <f t="shared" ca="1" si="1"/>
        <v>7160.3083779322205</v>
      </c>
      <c r="G16" s="21">
        <f t="shared" si="1"/>
        <v>0</v>
      </c>
      <c r="H16" s="21">
        <f t="shared" si="1"/>
        <v>0</v>
      </c>
      <c r="I16" s="21">
        <f t="shared" si="1"/>
        <v>0</v>
      </c>
      <c r="J16" s="21">
        <f t="shared" si="1"/>
        <v>0</v>
      </c>
      <c r="K16" s="21">
        <f t="shared" si="1"/>
        <v>0</v>
      </c>
      <c r="L16" s="21">
        <f t="shared" ca="1" si="1"/>
        <v>0</v>
      </c>
      <c r="M16" s="21">
        <f t="shared" si="1"/>
        <v>0</v>
      </c>
      <c r="N16" s="21">
        <f t="shared" ca="1" si="1"/>
        <v>4056.2525165882666</v>
      </c>
      <c r="O16" s="21">
        <f>O5</f>
        <v>1.5633333333333335</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0.16660699110218552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6019.4851542286397</v>
      </c>
      <c r="C20" s="23">
        <f t="shared" ref="C20:P20" ca="1" si="2">C16*C18</f>
        <v>0</v>
      </c>
      <c r="D20" s="23">
        <f t="shared" ca="1" si="2"/>
        <v>9587.011539322084</v>
      </c>
      <c r="E20" s="23">
        <f t="shared" si="2"/>
        <v>93.281343483641251</v>
      </c>
      <c r="F20" s="23">
        <f t="shared" ca="1" si="2"/>
        <v>1911.8023369079031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5430.1897535529797</v>
      </c>
      <c r="C26" s="39">
        <f>IF(ISERROR(B26*3.6/1000000/'E Balans VL '!Z12*100),0,B26*3.6/1000000/'E Balans VL '!Z12*100)</f>
        <v>0.11533992013180437</v>
      </c>
      <c r="D26" s="239" t="s">
        <v>692</v>
      </c>
      <c r="F26" s="6"/>
    </row>
    <row r="27" spans="1:18">
      <c r="A27" s="233" t="s">
        <v>53</v>
      </c>
      <c r="B27" s="33">
        <f>IF(ISERROR(TER_horeca_ele_kWh/1000),0,TER_horeca_ele_kWh/1000)</f>
        <v>2542.11814653383</v>
      </c>
      <c r="C27" s="39">
        <f>IF(ISERROR(B27*3.6/1000000/'E Balans VL '!Z9*100),0,B27*3.6/1000000/'E Balans VL '!Z9*100)</f>
        <v>0.19766516759155478</v>
      </c>
      <c r="D27" s="239" t="s">
        <v>692</v>
      </c>
      <c r="F27" s="6"/>
    </row>
    <row r="28" spans="1:18">
      <c r="A28" s="173" t="s">
        <v>52</v>
      </c>
      <c r="B28" s="33">
        <f>IF(ISERROR(TER_handel_ele_kWh/1000),0,TER_handel_ele_kWh/1000)</f>
        <v>11132.245638151999</v>
      </c>
      <c r="C28" s="39">
        <f>IF(ISERROR(B28*3.6/1000000/'E Balans VL '!Z13*100),0,B28*3.6/1000000/'E Balans VL '!Z13*100)</f>
        <v>0.31850664905005094</v>
      </c>
      <c r="D28" s="239" t="s">
        <v>692</v>
      </c>
      <c r="F28" s="6"/>
    </row>
    <row r="29" spans="1:18">
      <c r="A29" s="233" t="s">
        <v>51</v>
      </c>
      <c r="B29" s="33">
        <f>IF(ISERROR(TER_gezond_ele_kWh/1000),0,TER_gezond_ele_kWh/1000)</f>
        <v>5450.7619531569499</v>
      </c>
      <c r="C29" s="39">
        <f>IF(ISERROR(B29*3.6/1000000/'E Balans VL '!Z10*100),0,B29*3.6/1000000/'E Balans VL '!Z10*100)</f>
        <v>0.59425971341127182</v>
      </c>
      <c r="D29" s="239" t="s">
        <v>692</v>
      </c>
      <c r="F29" s="6"/>
    </row>
    <row r="30" spans="1:18">
      <c r="A30" s="233" t="s">
        <v>50</v>
      </c>
      <c r="B30" s="33">
        <f>IF(ISERROR(TER_ander_ele_kWh/1000),0,TER_ander_ele_kWh/1000)</f>
        <v>5169.4745511075098</v>
      </c>
      <c r="C30" s="39">
        <f>IF(ISERROR(B30*3.6/1000000/'E Balans VL '!Z14*100),0,B30*3.6/1000000/'E Balans VL '!Z14*100)</f>
        <v>0.37829042097501447</v>
      </c>
      <c r="D30" s="239" t="s">
        <v>692</v>
      </c>
      <c r="F30" s="6"/>
    </row>
    <row r="31" spans="1:18">
      <c r="A31" s="233" t="s">
        <v>55</v>
      </c>
      <c r="B31" s="33">
        <f>IF(ISERROR(TER_onderwijs_ele_kWh/1000),0,TER_onderwijs_ele_kWh/1000)</f>
        <v>909.49916075789997</v>
      </c>
      <c r="C31" s="39">
        <f>IF(ISERROR(B31*3.6/1000000/'E Balans VL '!Z11*100),0,B31*3.6/1000000/'E Balans VL '!Z11*100)</f>
        <v>0.1826735818136776</v>
      </c>
      <c r="D31" s="239" t="s">
        <v>692</v>
      </c>
    </row>
    <row r="32" spans="1:18">
      <c r="A32" s="233" t="s">
        <v>260</v>
      </c>
      <c r="B32" s="33">
        <f>IF(ISERROR(TER_rest_ele_kWh/1000),0,TER_rest_ele_kWh/1000)</f>
        <v>4595.5581363183101</v>
      </c>
      <c r="C32" s="39">
        <f>IF(ISERROR(B32*3.6/1000000/'E Balans VL '!Z8*100),0,B32*3.6/1000000/'E Balans VL '!Z8*100)</f>
        <v>3.7451009908463187E-2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7</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53990.567092212674</v>
      </c>
      <c r="C5" s="17">
        <f>IF(ISERROR('Eigen informatie GS &amp; warmtenet'!B59),0,'Eigen informatie GS &amp; warmtenet'!B59)</f>
        <v>0</v>
      </c>
      <c r="D5" s="30">
        <f>SUM(D6:D15)</f>
        <v>24134.73811324795</v>
      </c>
      <c r="E5" s="17">
        <f>SUM(E6:E15)</f>
        <v>2344.8313250539964</v>
      </c>
      <c r="F5" s="17">
        <f>SUM(F6:F15)</f>
        <v>10669.441988408536</v>
      </c>
      <c r="G5" s="18"/>
      <c r="H5" s="17"/>
      <c r="I5" s="17"/>
      <c r="J5" s="17">
        <f>SUM(J6:J15)</f>
        <v>45.068765122208909</v>
      </c>
      <c r="K5" s="17"/>
      <c r="L5" s="17"/>
      <c r="M5" s="17"/>
      <c r="N5" s="17">
        <f>SUM(N6:N15)</f>
        <v>63980.227148219892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4643.0181245929407</v>
      </c>
      <c r="C8" s="33"/>
      <c r="D8" s="37">
        <f>IF( ISERROR(IND_metaal_Gas_kWH/1000),0,IND_metaal_Gas_kWH/1000)*0.902</f>
        <v>6438.4692734204473</v>
      </c>
      <c r="E8" s="33">
        <f>C30*'E Balans VL '!I18/100/3.6*1000000</f>
        <v>133.3649082903375</v>
      </c>
      <c r="F8" s="33">
        <f>C30*'E Balans VL '!L18/100/3.6*1000000+C30*'E Balans VL '!N18/100/3.6*1000000</f>
        <v>1190.844850886413</v>
      </c>
      <c r="G8" s="34"/>
      <c r="H8" s="33"/>
      <c r="I8" s="33"/>
      <c r="J8" s="40">
        <f>C30*'E Balans VL '!D18/100/3.6*1000000+C30*'E Balans VL '!E18/100/3.6*1000000</f>
        <v>0</v>
      </c>
      <c r="K8" s="33"/>
      <c r="L8" s="33"/>
      <c r="M8" s="33"/>
      <c r="N8" s="33">
        <f>C30*'E Balans VL '!Y18/100/3.6*1000000</f>
        <v>126.06741982547562</v>
      </c>
      <c r="O8" s="33"/>
      <c r="P8" s="33"/>
      <c r="R8" s="32"/>
    </row>
    <row r="9" spans="1:18">
      <c r="A9" s="6" t="s">
        <v>33</v>
      </c>
      <c r="B9" s="37">
        <f t="shared" si="0"/>
        <v>3251.3233956917397</v>
      </c>
      <c r="C9" s="33"/>
      <c r="D9" s="37">
        <f>IF( ISERROR(IND_andere_gas_kWh/1000),0,IND_andere_gas_kWh/1000)*0.902</f>
        <v>3262.5732948198693</v>
      </c>
      <c r="E9" s="33">
        <f>C31*'E Balans VL '!I19/100/3.6*1000000</f>
        <v>880.05330279392194</v>
      </c>
      <c r="F9" s="33">
        <f>C31*'E Balans VL '!L19/100/3.6*1000000+C31*'E Balans VL '!N19/100/3.6*1000000</f>
        <v>2165.7254434171368</v>
      </c>
      <c r="G9" s="34"/>
      <c r="H9" s="33"/>
      <c r="I9" s="33"/>
      <c r="J9" s="40">
        <f>C31*'E Balans VL '!D19/100/3.6*1000000+C31*'E Balans VL '!E19/100/3.6*1000000</f>
        <v>0</v>
      </c>
      <c r="K9" s="33"/>
      <c r="L9" s="33"/>
      <c r="M9" s="33"/>
      <c r="N9" s="33">
        <f>C31*'E Balans VL '!Y19/100/3.6*1000000</f>
        <v>1061.503079587977</v>
      </c>
      <c r="O9" s="33"/>
      <c r="P9" s="33"/>
      <c r="R9" s="32"/>
    </row>
    <row r="10" spans="1:18">
      <c r="A10" s="6" t="s">
        <v>41</v>
      </c>
      <c r="B10" s="37">
        <f t="shared" si="0"/>
        <v>745.79351017198508</v>
      </c>
      <c r="C10" s="33"/>
      <c r="D10" s="37">
        <f>IF( ISERROR(IND_voed_gas_kWh/1000),0,IND_voed_gas_kWh/1000)*0.902</f>
        <v>709.08375468959559</v>
      </c>
      <c r="E10" s="33">
        <f>C32*'E Balans VL '!I20/100/3.6*1000000</f>
        <v>60.828632105631321</v>
      </c>
      <c r="F10" s="33">
        <f>C32*'E Balans VL '!L20/100/3.6*1000000+C32*'E Balans VL '!N20/100/3.6*1000000</f>
        <v>1112.0457879825074</v>
      </c>
      <c r="G10" s="34"/>
      <c r="H10" s="33"/>
      <c r="I10" s="33"/>
      <c r="J10" s="40">
        <f>C32*'E Balans VL '!D20/100/3.6*1000000+C32*'E Balans VL '!E20/100/3.6*1000000</f>
        <v>9.8659428676967885E-3</v>
      </c>
      <c r="K10" s="33"/>
      <c r="L10" s="33"/>
      <c r="M10" s="33"/>
      <c r="N10" s="33">
        <f>C32*'E Balans VL '!Y20/100/3.6*1000000</f>
        <v>219.08781707317641</v>
      </c>
      <c r="O10" s="33"/>
      <c r="P10" s="33"/>
      <c r="R10" s="32"/>
    </row>
    <row r="11" spans="1:18">
      <c r="A11" s="6" t="s">
        <v>40</v>
      </c>
      <c r="B11" s="37">
        <f t="shared" si="0"/>
        <v>109.14051891630299</v>
      </c>
      <c r="C11" s="33"/>
      <c r="D11" s="37">
        <f>IF( ISERROR(IND_textiel_gas_kWh/1000),0,IND_textiel_gas_kWh/1000)*0.902</f>
        <v>0</v>
      </c>
      <c r="E11" s="33">
        <f>C33*'E Balans VL '!I21/100/3.6*1000000</f>
        <v>2.1633883832549893E-2</v>
      </c>
      <c r="F11" s="33">
        <f>C33*'E Balans VL '!L21/100/3.6*1000000+C33*'E Balans VL '!N21/100/3.6*1000000</f>
        <v>4.0197769901438702</v>
      </c>
      <c r="G11" s="34"/>
      <c r="H11" s="33"/>
      <c r="I11" s="33"/>
      <c r="J11" s="40">
        <f>C33*'E Balans VL '!D21/100/3.6*1000000+C33*'E Balans VL '!E21/100/3.6*1000000</f>
        <v>0</v>
      </c>
      <c r="K11" s="33"/>
      <c r="L11" s="33"/>
      <c r="M11" s="33"/>
      <c r="N11" s="33">
        <f>C33*'E Balans VL '!Y21/100/3.6*1000000</f>
        <v>0.507475861326668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27661.192583330499</v>
      </c>
      <c r="C13" s="33"/>
      <c r="D13" s="37">
        <f>IF( ISERROR(IND_papier_gas_kWh/1000),0,IND_papier_gas_kWh/1000)*0.902</f>
        <v>0</v>
      </c>
      <c r="E13" s="33">
        <f>C35*'E Balans VL '!I23/100/3.6*1000000</f>
        <v>289.80138485335505</v>
      </c>
      <c r="F13" s="33">
        <f>C35*'E Balans VL '!L23/100/3.6*1000000+C35*'E Balans VL '!N23/100/3.6*1000000</f>
        <v>2064.0830934047754</v>
      </c>
      <c r="G13" s="34"/>
      <c r="H13" s="33"/>
      <c r="I13" s="33"/>
      <c r="J13" s="40">
        <f>C35*'E Balans VL '!D23/100/3.6*1000000+C35*'E Balans VL '!E23/100/3.6*1000000</f>
        <v>0</v>
      </c>
      <c r="K13" s="33"/>
      <c r="L13" s="33"/>
      <c r="M13" s="33"/>
      <c r="N13" s="33">
        <f>C35*'E Balans VL '!Y23/100/3.6*1000000</f>
        <v>59122.911959311263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17580.0989595092</v>
      </c>
      <c r="C15" s="33"/>
      <c r="D15" s="37">
        <f>IF( ISERROR(IND_rest_gas_kWh/1000),0,IND_rest_gas_kWh/1000)*0.902</f>
        <v>13724.611790318035</v>
      </c>
      <c r="E15" s="33">
        <f>C37*'E Balans VL '!I15/100/3.6*1000000</f>
        <v>980.76146312691799</v>
      </c>
      <c r="F15" s="33">
        <f>C37*'E Balans VL '!L15/100/3.6*1000000+C37*'E Balans VL '!N15/100/3.6*1000000</f>
        <v>4132.7230357275585</v>
      </c>
      <c r="G15" s="34"/>
      <c r="H15" s="33"/>
      <c r="I15" s="33"/>
      <c r="J15" s="40">
        <f>C37*'E Balans VL '!D15/100/3.6*1000000+C37*'E Balans VL '!E15/100/3.6*1000000</f>
        <v>45.058899179341211</v>
      </c>
      <c r="K15" s="33"/>
      <c r="L15" s="33"/>
      <c r="M15" s="33"/>
      <c r="N15" s="33">
        <f>C37*'E Balans VL '!Y15/100/3.6*1000000</f>
        <v>3450.1493965606692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53990.567092212674</v>
      </c>
      <c r="C18" s="21">
        <f>C5+C16</f>
        <v>0</v>
      </c>
      <c r="D18" s="21">
        <f>MAX((D5+D16),0)</f>
        <v>24134.73811324795</v>
      </c>
      <c r="E18" s="21">
        <f>MAX((E5+E16),0)</f>
        <v>2344.8313250539964</v>
      </c>
      <c r="F18" s="21">
        <f>MAX((F5+F16),0)</f>
        <v>10669.441988408536</v>
      </c>
      <c r="G18" s="21"/>
      <c r="H18" s="21"/>
      <c r="I18" s="21"/>
      <c r="J18" s="21">
        <f>MAX((J5+J16),0)</f>
        <v>45.068765122208909</v>
      </c>
      <c r="K18" s="21"/>
      <c r="L18" s="21">
        <f>MAX((L5+L16),0)</f>
        <v>0</v>
      </c>
      <c r="M18" s="21"/>
      <c r="N18" s="21">
        <f>MAX((N5+N16),0)</f>
        <v>63980.227148219892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0.16660699110218552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8995.2059311342273</v>
      </c>
      <c r="C22" s="23">
        <f ca="1">C18*C20</f>
        <v>0</v>
      </c>
      <c r="D22" s="23">
        <f>D18*D20</f>
        <v>4875.2170988760863</v>
      </c>
      <c r="E22" s="23">
        <f>E18*E20</f>
        <v>532.27671078725723</v>
      </c>
      <c r="F22" s="23">
        <f>F18*F20</f>
        <v>2848.7410109050793</v>
      </c>
      <c r="G22" s="23"/>
      <c r="H22" s="23"/>
      <c r="I22" s="23"/>
      <c r="J22" s="23">
        <f>J18*J20</f>
        <v>15.954342853261952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4643.0181245929407</v>
      </c>
      <c r="C30" s="39">
        <f>IF(ISERROR(B30*3.6/1000000/'E Balans VL '!Z18*100),0,B30*3.6/1000000/'E Balans VL '!Z18*100)</f>
        <v>0.45686113109724691</v>
      </c>
      <c r="D30" s="239" t="s">
        <v>692</v>
      </c>
    </row>
    <row r="31" spans="1:18">
      <c r="A31" s="6" t="s">
        <v>33</v>
      </c>
      <c r="B31" s="37">
        <f>IF( ISERROR(IND_ander_ele_kWh/1000),0,IND_ander_ele_kWh/1000)</f>
        <v>3251.3233956917397</v>
      </c>
      <c r="C31" s="39">
        <f>IF(ISERROR(B31*3.6/1000000/'E Balans VL '!Z19*100),0,B31*3.6/1000000/'E Balans VL '!Z19*100)</f>
        <v>0.14159254032725074</v>
      </c>
      <c r="D31" s="239" t="s">
        <v>692</v>
      </c>
    </row>
    <row r="32" spans="1:18">
      <c r="A32" s="173" t="s">
        <v>41</v>
      </c>
      <c r="B32" s="37">
        <f>IF( ISERROR(IND_voed_ele_kWh/1000),0,IND_voed_ele_kWh/1000)</f>
        <v>745.79351017198508</v>
      </c>
      <c r="C32" s="39">
        <f>IF(ISERROR(B32*3.6/1000000/'E Balans VL '!Z20*100),0,B32*3.6/1000000/'E Balans VL '!Z20*100)</f>
        <v>0.14150356304265754</v>
      </c>
      <c r="D32" s="239" t="s">
        <v>692</v>
      </c>
    </row>
    <row r="33" spans="1:5">
      <c r="A33" s="173" t="s">
        <v>40</v>
      </c>
      <c r="B33" s="37">
        <f>IF( ISERROR(IND_textiel_ele_kWh/1000),0,IND_textiel_ele_kWh/1000)</f>
        <v>109.14051891630299</v>
      </c>
      <c r="C33" s="39">
        <f>IF(ISERROR(B33*3.6/1000000/'E Balans VL '!Z21*100),0,B33*3.6/1000000/'E Balans VL '!Z21*100)</f>
        <v>6.2313701506787793E-3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27661.192583330499</v>
      </c>
      <c r="C35" s="39">
        <f>IF(ISERROR(B35*3.6/1000000/'E Balans VL '!Z22*100),0,B35*3.6/1000000/'E Balans VL '!Z22*100)</f>
        <v>3.889441442254356</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17580.0989595092</v>
      </c>
      <c r="C37" s="39">
        <f>IF(ISERROR(B37*3.6/1000000/'E Balans VL '!Z15*100),0,B37*3.6/1000000/'E Balans VL '!Z15*100)</f>
        <v>0.13547625529543572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2231.0726419073162</v>
      </c>
      <c r="C5" s="17">
        <f>'Eigen informatie GS &amp; warmtenet'!B60</f>
        <v>0</v>
      </c>
      <c r="D5" s="30">
        <f>IF(ISERROR(SUM(LB_lb_gas_kWh,LB_rest_gas_kWh,onbekend_gas_kWh)/1000),0,SUM(LB_lb_gas_kWh,LB_rest_gas_kWh,onbekend_gas_kWh)/1000)*0.902</f>
        <v>10511.700384354694</v>
      </c>
      <c r="E5" s="17">
        <f>B17*'E Balans VL '!I25/3.6*1000000/100</f>
        <v>28.114389493980166</v>
      </c>
      <c r="F5" s="17">
        <f>B17*('E Balans VL '!L25/3.6*1000000+'E Balans VL '!N25/3.6*1000000)/100</f>
        <v>7697.7595316737043</v>
      </c>
      <c r="G5" s="18"/>
      <c r="H5" s="17"/>
      <c r="I5" s="17"/>
      <c r="J5" s="17">
        <f>('E Balans VL '!D25+'E Balans VL '!E25)/3.6*1000000*landbouw!B17/100</f>
        <v>335.52796340417331</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2231.0726419073162</v>
      </c>
      <c r="C8" s="21">
        <f>C5+C6</f>
        <v>0</v>
      </c>
      <c r="D8" s="21">
        <f>MAX((D5+D6),0)</f>
        <v>10511.700384354694</v>
      </c>
      <c r="E8" s="21">
        <f>MAX((E5+E6),0)</f>
        <v>28.114389493980166</v>
      </c>
      <c r="F8" s="21">
        <f>MAX((F5+F6),0)</f>
        <v>7697.7595316737043</v>
      </c>
      <c r="G8" s="21"/>
      <c r="H8" s="21"/>
      <c r="I8" s="21"/>
      <c r="J8" s="21">
        <f>MAX((J5+J6),0)</f>
        <v>335.52796340417331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0.16660699110218552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371.7122997985818</v>
      </c>
      <c r="C12" s="23">
        <f ca="1">C8*C10</f>
        <v>0</v>
      </c>
      <c r="D12" s="23">
        <f>D8*D10</f>
        <v>2123.3634776396484</v>
      </c>
      <c r="E12" s="23">
        <f>E8*E10</f>
        <v>6.3819664151334976</v>
      </c>
      <c r="F12" s="23">
        <f>F8*F10</f>
        <v>2055.3017949568793</v>
      </c>
      <c r="G12" s="23"/>
      <c r="H12" s="23"/>
      <c r="I12" s="23"/>
      <c r="J12" s="23">
        <f>J8*J10</f>
        <v>118.77689904507734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0.31116431421817448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399.9770010302741</v>
      </c>
      <c r="C26" s="249">
        <f>B26*'GWP N2O_CH4'!B5</f>
        <v>8399.5170216357565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244.35447175591548</v>
      </c>
      <c r="C27" s="249">
        <f>B27*'GWP N2O_CH4'!B5</f>
        <v>5131.4439068742249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5.4340234338640281</v>
      </c>
      <c r="C28" s="249">
        <f>B28*'GWP N2O_CH4'!B4</f>
        <v>1684.5472644978488</v>
      </c>
      <c r="D28" s="50"/>
    </row>
    <row r="29" spans="1:4">
      <c r="A29" s="41" t="s">
        <v>277</v>
      </c>
      <c r="B29" s="249">
        <f>B34*'ha_N2O bodem landbouw'!B4</f>
        <v>9.7212106220672929</v>
      </c>
      <c r="C29" s="249">
        <f>B29*'GWP N2O_CH4'!B4</f>
        <v>3013.5752928408606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2.4272891552825516E-3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2.1009226772376866E-5</v>
      </c>
      <c r="C5" s="448" t="s">
        <v>211</v>
      </c>
      <c r="D5" s="433">
        <f>SUM(D6:D11)</f>
        <v>3.3120310597986168E-5</v>
      </c>
      <c r="E5" s="433">
        <f>SUM(E6:E11)</f>
        <v>1.0211724470027396E-3</v>
      </c>
      <c r="F5" s="446" t="s">
        <v>211</v>
      </c>
      <c r="G5" s="433">
        <f>SUM(G6:G11)</f>
        <v>0.33731782368914409</v>
      </c>
      <c r="H5" s="433">
        <f>SUM(H6:H11)</f>
        <v>4.9882472706725307E-2</v>
      </c>
      <c r="I5" s="448" t="s">
        <v>211</v>
      </c>
      <c r="J5" s="448" t="s">
        <v>211</v>
      </c>
      <c r="K5" s="448" t="s">
        <v>211</v>
      </c>
      <c r="L5" s="448" t="s">
        <v>211</v>
      </c>
      <c r="M5" s="433">
        <f>SUM(M6:M11)</f>
        <v>1.7352333115434652E-2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1.7966947848934591E-5</v>
      </c>
      <c r="C6" s="949"/>
      <c r="D6" s="949">
        <f>vkm_2011_GW_PW*SUMIFS(TableVerdeelsleutelVkm[CNG],TableVerdeelsleutelVkm[Voertuigtype],"Lichte voertuigen")*SUMIFS(TableECFTransport[EnergieConsumptieFactor (PJ per km)],TableECFTransport[Index],CONCATENATE($A6,"_CNG_CNG"))</f>
        <v>2.5444712140791397E-5</v>
      </c>
      <c r="E6" s="949">
        <f>vkm_2011_GW_PW*SUMIFS(TableVerdeelsleutelVkm[LPG],TableVerdeelsleutelVkm[Voertuigtype],"Lichte voertuigen")*SUMIFS(TableECFTransport[EnergieConsumptieFactor (PJ per km)],TableECFTransport[Index],CONCATENATE($A6,"_LPG_LPG"))</f>
        <v>7.9913464213844524E-4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0.1436263771284047</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3.8593714171921506E-2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8.1314680417983003E-3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0.13926008781714885</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4.9616344860924018E-5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6.2842283560730749E-3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3.0422789234422761E-6</v>
      </c>
      <c r="C8" s="949"/>
      <c r="D8" s="436">
        <f>vkm_2011_NGW_PW*SUMIFS(TableVerdeelsleutelVkm[CNG],TableVerdeelsleutelVkm[Voertuigtype],"Lichte voertuigen")*SUMIFS(TableECFTransport[EnergieConsumptieFactor (PJ per km)],TableECFTransport[Index],CONCATENATE($A8,"_CNG_CNG"))</f>
        <v>7.6755984571947723E-6</v>
      </c>
      <c r="E8" s="436">
        <f>vkm_2011_NGW_PW*SUMIFS(TableVerdeelsleutelVkm[LPG],TableVerdeelsleutelVkm[Voertuigtype],"Lichte voertuigen")*SUMIFS(TableECFTransport[EnergieConsumptieFactor (PJ per km)],TableECFTransport[Index],CONCATENATE($A8,"_LPG_LPG"))</f>
        <v>2.2203780486429434E-4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3.763756102433604E-2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1.12334801657289E-2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2.1788162581339184E-3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1.6793797719254509E-2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5.6620242139740741E-6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7.5782045942935999E-4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5.835896325660241</v>
      </c>
      <c r="C14" s="21"/>
      <c r="D14" s="21">
        <f t="shared" ref="D14:M14" si="0">((D5)*10^9/3600)+D12</f>
        <v>9.2000862772183787</v>
      </c>
      <c r="E14" s="21">
        <f t="shared" si="0"/>
        <v>283.65901305631655</v>
      </c>
      <c r="F14" s="21"/>
      <c r="G14" s="21">
        <f t="shared" si="0"/>
        <v>93699.395469206691</v>
      </c>
      <c r="H14" s="21">
        <f t="shared" si="0"/>
        <v>13856.242418534808</v>
      </c>
      <c r="I14" s="21"/>
      <c r="J14" s="21"/>
      <c r="K14" s="21"/>
      <c r="L14" s="21"/>
      <c r="M14" s="21">
        <f t="shared" si="0"/>
        <v>4820.0925320651813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0.16660699110218552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0.97230112720255291</v>
      </c>
      <c r="C18" s="23"/>
      <c r="D18" s="23">
        <f t="shared" ref="D18:M18" si="1">D14*D16</f>
        <v>1.8584174279981127</v>
      </c>
      <c r="E18" s="23">
        <f t="shared" si="1"/>
        <v>64.390595963783866</v>
      </c>
      <c r="F18" s="23"/>
      <c r="G18" s="23">
        <f t="shared" si="1"/>
        <v>25017.738590278186</v>
      </c>
      <c r="H18" s="23">
        <f t="shared" si="1"/>
        <v>3450.2043622151673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4.9385715180718069E-3</v>
      </c>
      <c r="H50" s="323">
        <f t="shared" si="2"/>
        <v>0</v>
      </c>
      <c r="I50" s="323">
        <f t="shared" si="2"/>
        <v>0</v>
      </c>
      <c r="J50" s="323">
        <f t="shared" si="2"/>
        <v>0</v>
      </c>
      <c r="K50" s="323">
        <f t="shared" si="2"/>
        <v>0</v>
      </c>
      <c r="L50" s="323">
        <f t="shared" si="2"/>
        <v>0</v>
      </c>
      <c r="M50" s="323">
        <f t="shared" si="2"/>
        <v>2.1963035474161511E-4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4.9385715180718069E-3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2.1963035474161511E-4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1371.825421686613</v>
      </c>
      <c r="H54" s="21">
        <f t="shared" si="3"/>
        <v>0</v>
      </c>
      <c r="I54" s="21">
        <f t="shared" si="3"/>
        <v>0</v>
      </c>
      <c r="J54" s="21">
        <f t="shared" si="3"/>
        <v>0</v>
      </c>
      <c r="K54" s="21">
        <f t="shared" si="3"/>
        <v>0</v>
      </c>
      <c r="L54" s="21">
        <f t="shared" si="3"/>
        <v>0</v>
      </c>
      <c r="M54" s="21">
        <f t="shared" si="3"/>
        <v>61.008431872670862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0.16660699110218552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366.2773875903257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27970.349203917111</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3310.7836010499063</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900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2250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32181.132804967016</v>
      </c>
      <c r="C9" s="580">
        <f t="shared" ref="C9:L9" si="0">SUM(C7:C8)</f>
        <v>0</v>
      </c>
      <c r="D9" s="580">
        <f t="shared" si="0"/>
        <v>0</v>
      </c>
      <c r="E9" s="580">
        <f t="shared" si="0"/>
        <v>0</v>
      </c>
      <c r="F9" s="580">
        <f t="shared" si="0"/>
        <v>0</v>
      </c>
      <c r="G9" s="580">
        <f t="shared" si="0"/>
        <v>0</v>
      </c>
      <c r="H9" s="580">
        <f t="shared" si="0"/>
        <v>0</v>
      </c>
      <c r="I9" s="580">
        <f t="shared" si="0"/>
        <v>2250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63.75">
      <c r="A63" s="612"/>
      <c r="B63" s="839">
        <v>43005</v>
      </c>
      <c r="C63" s="839">
        <v>9900</v>
      </c>
      <c r="D63" s="660" t="s">
        <v>840</v>
      </c>
      <c r="E63" s="660" t="s">
        <v>841</v>
      </c>
      <c r="F63" s="660" t="s">
        <v>842</v>
      </c>
      <c r="G63" s="660" t="s">
        <v>843</v>
      </c>
      <c r="H63" s="660" t="s">
        <v>844</v>
      </c>
      <c r="I63" s="660" t="s">
        <v>845</v>
      </c>
      <c r="J63" s="838">
        <v>39066</v>
      </c>
      <c r="K63" s="838">
        <v>39142</v>
      </c>
      <c r="L63" s="660" t="s">
        <v>846</v>
      </c>
      <c r="M63" s="660">
        <v>200</v>
      </c>
      <c r="N63" s="660">
        <v>900</v>
      </c>
      <c r="O63" s="660">
        <v>0</v>
      </c>
      <c r="P63" s="660">
        <v>0</v>
      </c>
      <c r="Q63" s="660">
        <v>0</v>
      </c>
      <c r="R63" s="660">
        <v>0</v>
      </c>
      <c r="S63" s="660">
        <v>0</v>
      </c>
      <c r="T63" s="660">
        <v>0</v>
      </c>
      <c r="U63" s="660">
        <v>2250</v>
      </c>
      <c r="V63" s="660">
        <v>0</v>
      </c>
      <c r="W63" s="660">
        <v>0</v>
      </c>
      <c r="X63" s="660">
        <v>1600</v>
      </c>
      <c r="Y63" s="660" t="s">
        <v>50</v>
      </c>
      <c r="Z63" s="661" t="s">
        <v>156</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200</v>
      </c>
      <c r="N88" s="615">
        <f t="shared" ref="N88:W88" si="5">SUM(N63:N87)</f>
        <v>900</v>
      </c>
      <c r="O88" s="615">
        <f t="shared" si="5"/>
        <v>0</v>
      </c>
      <c r="P88" s="615">
        <f t="shared" si="5"/>
        <v>0</v>
      </c>
      <c r="Q88" s="615">
        <f t="shared" si="5"/>
        <v>0</v>
      </c>
      <c r="R88" s="615">
        <f t="shared" si="5"/>
        <v>0</v>
      </c>
      <c r="S88" s="615">
        <f t="shared" si="5"/>
        <v>0</v>
      </c>
      <c r="T88" s="615">
        <f t="shared" si="5"/>
        <v>0</v>
      </c>
      <c r="U88" s="615">
        <f t="shared" si="5"/>
        <v>2250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200</v>
      </c>
      <c r="N90" s="615">
        <f t="shared" ref="N90:W90" si="7">SUMIF($Z$63:$Z$88,"tertiair",N63:N88)</f>
        <v>900</v>
      </c>
      <c r="O90" s="615">
        <f t="shared" si="7"/>
        <v>0</v>
      </c>
      <c r="P90" s="615">
        <f t="shared" si="7"/>
        <v>0</v>
      </c>
      <c r="Q90" s="615">
        <f t="shared" si="7"/>
        <v>0</v>
      </c>
      <c r="R90" s="615">
        <f t="shared" si="7"/>
        <v>0</v>
      </c>
      <c r="S90" s="615">
        <f t="shared" si="7"/>
        <v>0</v>
      </c>
      <c r="T90" s="615">
        <f t="shared" si="7"/>
        <v>0</v>
      </c>
      <c r="U90" s="615">
        <f t="shared" si="7"/>
        <v>2250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37643.494339579476</v>
      </c>
      <c r="D10" s="704">
        <f ca="1">tertiair!C16</f>
        <v>0</v>
      </c>
      <c r="E10" s="704">
        <f ca="1">tertiair!D16</f>
        <v>47460.453164960811</v>
      </c>
      <c r="F10" s="704">
        <f>tertiair!E16</f>
        <v>410.93102856229626</v>
      </c>
      <c r="G10" s="704">
        <f ca="1">tertiair!F16</f>
        <v>7160.3083779322205</v>
      </c>
      <c r="H10" s="704">
        <f>tertiair!G16</f>
        <v>0</v>
      </c>
      <c r="I10" s="704">
        <f>tertiair!H16</f>
        <v>0</v>
      </c>
      <c r="J10" s="704">
        <f>tertiair!I16</f>
        <v>0</v>
      </c>
      <c r="K10" s="704">
        <f>tertiair!J16</f>
        <v>0</v>
      </c>
      <c r="L10" s="704">
        <f>tertiair!K16</f>
        <v>0</v>
      </c>
      <c r="M10" s="704">
        <f ca="1">tertiair!L16</f>
        <v>0</v>
      </c>
      <c r="N10" s="704">
        <f>tertiair!M16</f>
        <v>0</v>
      </c>
      <c r="O10" s="704">
        <f ca="1">tertiair!N16</f>
        <v>4056.2525165882666</v>
      </c>
      <c r="P10" s="704">
        <f>tertiair!O16</f>
        <v>1.5633333333333335</v>
      </c>
      <c r="Q10" s="705">
        <f>tertiair!P16</f>
        <v>133.46666666666667</v>
      </c>
      <c r="R10" s="707">
        <f ca="1">SUM(C10:Q10)</f>
        <v>96866.469427623073</v>
      </c>
      <c r="S10" s="67"/>
    </row>
    <row r="11" spans="1:19" s="459" customFormat="1">
      <c r="A11" s="858" t="s">
        <v>225</v>
      </c>
      <c r="B11" s="863"/>
      <c r="C11" s="704">
        <f>huishoudens!B8</f>
        <v>36881.685454107399</v>
      </c>
      <c r="D11" s="704">
        <f>huishoudens!C8</f>
        <v>0</v>
      </c>
      <c r="E11" s="704">
        <f>huishoudens!D8</f>
        <v>103886.92111651329</v>
      </c>
      <c r="F11" s="704">
        <f>huishoudens!E8</f>
        <v>3759.1597150257362</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12434.838313593213</v>
      </c>
      <c r="P11" s="704">
        <f>huishoudens!O8</f>
        <v>143.82666666666668</v>
      </c>
      <c r="Q11" s="705">
        <f>huishoudens!P8</f>
        <v>305.06666666666666</v>
      </c>
      <c r="R11" s="707">
        <f>SUM(C11:Q11)</f>
        <v>157411.49793257297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53990.567092212674</v>
      </c>
      <c r="D13" s="704">
        <f>industrie!C18</f>
        <v>0</v>
      </c>
      <c r="E13" s="704">
        <f>industrie!D18</f>
        <v>24134.73811324795</v>
      </c>
      <c r="F13" s="704">
        <f>industrie!E18</f>
        <v>2344.8313250539964</v>
      </c>
      <c r="G13" s="704">
        <f>industrie!F18</f>
        <v>10669.441988408536</v>
      </c>
      <c r="H13" s="704">
        <f>industrie!G18</f>
        <v>0</v>
      </c>
      <c r="I13" s="704">
        <f>industrie!H18</f>
        <v>0</v>
      </c>
      <c r="J13" s="704">
        <f>industrie!I18</f>
        <v>0</v>
      </c>
      <c r="K13" s="704">
        <f>industrie!J18</f>
        <v>45.068765122208909</v>
      </c>
      <c r="L13" s="704">
        <f>industrie!K18</f>
        <v>0</v>
      </c>
      <c r="M13" s="704">
        <f>industrie!L18</f>
        <v>0</v>
      </c>
      <c r="N13" s="704">
        <f>industrie!M18</f>
        <v>0</v>
      </c>
      <c r="O13" s="704">
        <f>industrie!N18</f>
        <v>63980.227148219892</v>
      </c>
      <c r="P13" s="704">
        <f>industrie!O18</f>
        <v>0</v>
      </c>
      <c r="Q13" s="705">
        <f>industrie!P18</f>
        <v>0</v>
      </c>
      <c r="R13" s="707">
        <f>SUM(C13:Q13)</f>
        <v>155164.87443226526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128515.74688589954</v>
      </c>
      <c r="D15" s="709">
        <f t="shared" ref="D15:Q15" ca="1" si="0">SUM(D9:D14)</f>
        <v>0</v>
      </c>
      <c r="E15" s="709">
        <f t="shared" ca="1" si="0"/>
        <v>175482.11239472206</v>
      </c>
      <c r="F15" s="709">
        <f t="shared" si="0"/>
        <v>6514.9220686420285</v>
      </c>
      <c r="G15" s="709">
        <f t="shared" ca="1" si="0"/>
        <v>17829.750366340755</v>
      </c>
      <c r="H15" s="709">
        <f t="shared" si="0"/>
        <v>0</v>
      </c>
      <c r="I15" s="709">
        <f t="shared" si="0"/>
        <v>0</v>
      </c>
      <c r="J15" s="709">
        <f t="shared" si="0"/>
        <v>0</v>
      </c>
      <c r="K15" s="709">
        <f t="shared" si="0"/>
        <v>45.068765122208909</v>
      </c>
      <c r="L15" s="709">
        <f t="shared" si="0"/>
        <v>0</v>
      </c>
      <c r="M15" s="709">
        <f t="shared" ca="1" si="0"/>
        <v>0</v>
      </c>
      <c r="N15" s="709">
        <f t="shared" si="0"/>
        <v>0</v>
      </c>
      <c r="O15" s="709">
        <f t="shared" ca="1" si="0"/>
        <v>80471.317978401377</v>
      </c>
      <c r="P15" s="709">
        <f t="shared" si="0"/>
        <v>145.39000000000001</v>
      </c>
      <c r="Q15" s="710">
        <f t="shared" si="0"/>
        <v>438.5333333333333</v>
      </c>
      <c r="R15" s="711">
        <f ca="1">SUM(R9:R14)</f>
        <v>409442.84179246135</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1371.825421686613</v>
      </c>
      <c r="I18" s="704">
        <f>transport!H54</f>
        <v>0</v>
      </c>
      <c r="J18" s="704">
        <f>transport!I54</f>
        <v>0</v>
      </c>
      <c r="K18" s="704">
        <f>transport!J54</f>
        <v>0</v>
      </c>
      <c r="L18" s="704">
        <f>transport!K54</f>
        <v>0</v>
      </c>
      <c r="M18" s="704">
        <f>transport!L54</f>
        <v>0</v>
      </c>
      <c r="N18" s="704">
        <f>transport!M54</f>
        <v>61.008431872670862</v>
      </c>
      <c r="O18" s="704">
        <f>transport!N54</f>
        <v>0</v>
      </c>
      <c r="P18" s="704">
        <f>transport!O54</f>
        <v>0</v>
      </c>
      <c r="Q18" s="705">
        <f>transport!P54</f>
        <v>0</v>
      </c>
      <c r="R18" s="707">
        <f>SUM(C18:Q18)</f>
        <v>1432.8338535592839</v>
      </c>
      <c r="S18" s="67"/>
    </row>
    <row r="19" spans="1:19" s="459" customFormat="1" ht="15" thickBot="1">
      <c r="A19" s="858" t="s">
        <v>307</v>
      </c>
      <c r="B19" s="863"/>
      <c r="C19" s="713">
        <f>transport!B14</f>
        <v>5.835896325660241</v>
      </c>
      <c r="D19" s="713">
        <f>transport!C14</f>
        <v>0</v>
      </c>
      <c r="E19" s="713">
        <f>transport!D14</f>
        <v>9.2000862772183787</v>
      </c>
      <c r="F19" s="713">
        <f>transport!E14</f>
        <v>283.65901305631655</v>
      </c>
      <c r="G19" s="713">
        <f>transport!F14</f>
        <v>0</v>
      </c>
      <c r="H19" s="713">
        <f>transport!G14</f>
        <v>93699.395469206691</v>
      </c>
      <c r="I19" s="713">
        <f>transport!H14</f>
        <v>13856.242418534808</v>
      </c>
      <c r="J19" s="713">
        <f>transport!I14</f>
        <v>0</v>
      </c>
      <c r="K19" s="713">
        <f>transport!J14</f>
        <v>0</v>
      </c>
      <c r="L19" s="713">
        <f>transport!K14</f>
        <v>0</v>
      </c>
      <c r="M19" s="713">
        <f>transport!L14</f>
        <v>0</v>
      </c>
      <c r="N19" s="713">
        <f>transport!M14</f>
        <v>4820.0925320651813</v>
      </c>
      <c r="O19" s="713">
        <f>transport!N14</f>
        <v>0</v>
      </c>
      <c r="P19" s="713">
        <f>transport!O14</f>
        <v>0</v>
      </c>
      <c r="Q19" s="714">
        <f>transport!P14</f>
        <v>0</v>
      </c>
      <c r="R19" s="715">
        <f>SUM(C19:Q19)</f>
        <v>112674.42541546588</v>
      </c>
      <c r="S19" s="67"/>
    </row>
    <row r="20" spans="1:19" s="459" customFormat="1" ht="15.75" thickBot="1">
      <c r="A20" s="716" t="s">
        <v>230</v>
      </c>
      <c r="B20" s="866"/>
      <c r="C20" s="861">
        <f>SUM(C17:C19)</f>
        <v>5.835896325660241</v>
      </c>
      <c r="D20" s="717">
        <f t="shared" ref="D20:R20" si="1">SUM(D17:D19)</f>
        <v>0</v>
      </c>
      <c r="E20" s="717">
        <f t="shared" si="1"/>
        <v>9.2000862772183787</v>
      </c>
      <c r="F20" s="717">
        <f t="shared" si="1"/>
        <v>283.65901305631655</v>
      </c>
      <c r="G20" s="717">
        <f t="shared" si="1"/>
        <v>0</v>
      </c>
      <c r="H20" s="717">
        <f t="shared" si="1"/>
        <v>95071.22089089331</v>
      </c>
      <c r="I20" s="717">
        <f t="shared" si="1"/>
        <v>13856.242418534808</v>
      </c>
      <c r="J20" s="717">
        <f t="shared" si="1"/>
        <v>0</v>
      </c>
      <c r="K20" s="717">
        <f t="shared" si="1"/>
        <v>0</v>
      </c>
      <c r="L20" s="717">
        <f t="shared" si="1"/>
        <v>0</v>
      </c>
      <c r="M20" s="717">
        <f t="shared" si="1"/>
        <v>0</v>
      </c>
      <c r="N20" s="717">
        <f t="shared" si="1"/>
        <v>4881.1009639378526</v>
      </c>
      <c r="O20" s="717">
        <f t="shared" si="1"/>
        <v>0</v>
      </c>
      <c r="P20" s="717">
        <f t="shared" si="1"/>
        <v>0</v>
      </c>
      <c r="Q20" s="718">
        <f t="shared" si="1"/>
        <v>0</v>
      </c>
      <c r="R20" s="719">
        <f t="shared" si="1"/>
        <v>114107.25926902516</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2231.0726419073162</v>
      </c>
      <c r="D22" s="713">
        <f>+landbouw!C8</f>
        <v>0</v>
      </c>
      <c r="E22" s="713">
        <f>+landbouw!D8</f>
        <v>10511.700384354694</v>
      </c>
      <c r="F22" s="713">
        <f>+landbouw!E8</f>
        <v>28.114389493980166</v>
      </c>
      <c r="G22" s="713">
        <f>+landbouw!F8</f>
        <v>7697.7595316737043</v>
      </c>
      <c r="H22" s="713">
        <f>+landbouw!G8</f>
        <v>0</v>
      </c>
      <c r="I22" s="713">
        <f>+landbouw!H8</f>
        <v>0</v>
      </c>
      <c r="J22" s="713">
        <f>+landbouw!I8</f>
        <v>0</v>
      </c>
      <c r="K22" s="713">
        <f>+landbouw!J8</f>
        <v>335.52796340417331</v>
      </c>
      <c r="L22" s="713">
        <f>+landbouw!K8</f>
        <v>0</v>
      </c>
      <c r="M22" s="713">
        <f>+landbouw!L8</f>
        <v>0</v>
      </c>
      <c r="N22" s="713">
        <f>+landbouw!M8</f>
        <v>0</v>
      </c>
      <c r="O22" s="713">
        <f>+landbouw!N8</f>
        <v>0</v>
      </c>
      <c r="P22" s="713">
        <f>+landbouw!O8</f>
        <v>0</v>
      </c>
      <c r="Q22" s="714">
        <f>+landbouw!P8</f>
        <v>0</v>
      </c>
      <c r="R22" s="715">
        <f>SUM(C22:Q22)</f>
        <v>20804.174910833866</v>
      </c>
      <c r="S22" s="67"/>
    </row>
    <row r="23" spans="1:19" s="459" customFormat="1" ht="17.25" thickTop="1" thickBot="1">
      <c r="A23" s="720" t="s">
        <v>116</v>
      </c>
      <c r="B23" s="852"/>
      <c r="C23" s="721">
        <f ca="1">C20+C15+C22</f>
        <v>130752.65542413252</v>
      </c>
      <c r="D23" s="721">
        <f t="shared" ref="D23:Q23" ca="1" si="2">D20+D15+D22</f>
        <v>0</v>
      </c>
      <c r="E23" s="721">
        <f t="shared" ca="1" si="2"/>
        <v>186003.01286535396</v>
      </c>
      <c r="F23" s="721">
        <f t="shared" si="2"/>
        <v>6826.6954711923254</v>
      </c>
      <c r="G23" s="721">
        <f t="shared" ca="1" si="2"/>
        <v>25527.509898014461</v>
      </c>
      <c r="H23" s="721">
        <f t="shared" si="2"/>
        <v>95071.22089089331</v>
      </c>
      <c r="I23" s="721">
        <f t="shared" si="2"/>
        <v>13856.242418534808</v>
      </c>
      <c r="J23" s="721">
        <f t="shared" si="2"/>
        <v>0</v>
      </c>
      <c r="K23" s="721">
        <f t="shared" si="2"/>
        <v>380.59672852638221</v>
      </c>
      <c r="L23" s="721">
        <f t="shared" si="2"/>
        <v>0</v>
      </c>
      <c r="M23" s="721">
        <f t="shared" ca="1" si="2"/>
        <v>0</v>
      </c>
      <c r="N23" s="721">
        <f t="shared" si="2"/>
        <v>4881.1009639378526</v>
      </c>
      <c r="O23" s="721">
        <f t="shared" ca="1" si="2"/>
        <v>80471.317978401377</v>
      </c>
      <c r="P23" s="721">
        <f t="shared" si="2"/>
        <v>145.39000000000001</v>
      </c>
      <c r="Q23" s="722">
        <f t="shared" si="2"/>
        <v>438.5333333333333</v>
      </c>
      <c r="R23" s="723">
        <f ca="1">R20+R15+R22</f>
        <v>544354.27597232035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6271.6693264894893</v>
      </c>
      <c r="D36" s="704">
        <f ca="1">tertiair!C20</f>
        <v>0</v>
      </c>
      <c r="E36" s="704">
        <f ca="1">tertiair!D20</f>
        <v>9587.011539322084</v>
      </c>
      <c r="F36" s="704">
        <f>tertiair!E20</f>
        <v>93.281343483641251</v>
      </c>
      <c r="G36" s="704">
        <f ca="1">tertiair!F20</f>
        <v>1911.8023369079031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17863.764546203118</v>
      </c>
    </row>
    <row r="37" spans="1:18">
      <c r="A37" s="873" t="s">
        <v>225</v>
      </c>
      <c r="B37" s="880"/>
      <c r="C37" s="704">
        <f ca="1">huishoudens!B12</f>
        <v>6144.7466402860764</v>
      </c>
      <c r="D37" s="704">
        <f ca="1">huishoudens!C12</f>
        <v>0</v>
      </c>
      <c r="E37" s="704">
        <f>huishoudens!D12</f>
        <v>20985.158065535685</v>
      </c>
      <c r="F37" s="704">
        <f>huishoudens!E12</f>
        <v>853.3292553108422</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27983.233961132602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8995.2059311342273</v>
      </c>
      <c r="D39" s="704">
        <f ca="1">industrie!C22</f>
        <v>0</v>
      </c>
      <c r="E39" s="704">
        <f>industrie!D22</f>
        <v>4875.2170988760863</v>
      </c>
      <c r="F39" s="704">
        <f>industrie!E22</f>
        <v>532.27671078725723</v>
      </c>
      <c r="G39" s="704">
        <f>industrie!F22</f>
        <v>2848.7410109050793</v>
      </c>
      <c r="H39" s="704">
        <f>industrie!G22</f>
        <v>0</v>
      </c>
      <c r="I39" s="704">
        <f>industrie!H22</f>
        <v>0</v>
      </c>
      <c r="J39" s="704">
        <f>industrie!I22</f>
        <v>0</v>
      </c>
      <c r="K39" s="704">
        <f>industrie!J22</f>
        <v>15.954342853261952</v>
      </c>
      <c r="L39" s="704">
        <f>industrie!K22</f>
        <v>0</v>
      </c>
      <c r="M39" s="704">
        <f>industrie!L22</f>
        <v>0</v>
      </c>
      <c r="N39" s="704">
        <f>industrie!M22</f>
        <v>0</v>
      </c>
      <c r="O39" s="704">
        <f>industrie!N22</f>
        <v>0</v>
      </c>
      <c r="P39" s="704">
        <f>industrie!O22</f>
        <v>0</v>
      </c>
      <c r="Q39" s="814">
        <f>industrie!P22</f>
        <v>0</v>
      </c>
      <c r="R39" s="906">
        <f ca="1">SUM(C39:Q39)</f>
        <v>17267.395094555912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21411.621897909794</v>
      </c>
      <c r="D41" s="749">
        <f t="shared" ref="D41:R41" ca="1" si="4">SUM(D35:D40)</f>
        <v>0</v>
      </c>
      <c r="E41" s="749">
        <f t="shared" ca="1" si="4"/>
        <v>35447.386703733857</v>
      </c>
      <c r="F41" s="749">
        <f t="shared" si="4"/>
        <v>1478.8873095817407</v>
      </c>
      <c r="G41" s="749">
        <f t="shared" ca="1" si="4"/>
        <v>4760.5433478129826</v>
      </c>
      <c r="H41" s="749">
        <f t="shared" si="4"/>
        <v>0</v>
      </c>
      <c r="I41" s="749">
        <f t="shared" si="4"/>
        <v>0</v>
      </c>
      <c r="J41" s="749">
        <f t="shared" si="4"/>
        <v>0</v>
      </c>
      <c r="K41" s="749">
        <f t="shared" si="4"/>
        <v>15.954342853261952</v>
      </c>
      <c r="L41" s="749">
        <f t="shared" si="4"/>
        <v>0</v>
      </c>
      <c r="M41" s="749">
        <f t="shared" ca="1" si="4"/>
        <v>0</v>
      </c>
      <c r="N41" s="749">
        <f t="shared" si="4"/>
        <v>0</v>
      </c>
      <c r="O41" s="749">
        <f t="shared" ca="1" si="4"/>
        <v>0</v>
      </c>
      <c r="P41" s="749">
        <f t="shared" si="4"/>
        <v>0</v>
      </c>
      <c r="Q41" s="750">
        <f t="shared" si="4"/>
        <v>0</v>
      </c>
      <c r="R41" s="751">
        <f t="shared" ca="1" si="4"/>
        <v>63114.393601891636</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366.2773875903257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366.2773875903257</v>
      </c>
    </row>
    <row r="45" spans="1:18" ht="15" thickBot="1">
      <c r="A45" s="876" t="s">
        <v>307</v>
      </c>
      <c r="B45" s="886"/>
      <c r="C45" s="713">
        <f ca="1">transport!B18</f>
        <v>0.97230112720255291</v>
      </c>
      <c r="D45" s="713">
        <f>transport!C18</f>
        <v>0</v>
      </c>
      <c r="E45" s="713">
        <f>transport!D18</f>
        <v>1.8584174279981127</v>
      </c>
      <c r="F45" s="713">
        <f>transport!E18</f>
        <v>64.390595963783866</v>
      </c>
      <c r="G45" s="713">
        <f>transport!F18</f>
        <v>0</v>
      </c>
      <c r="H45" s="713">
        <f>transport!G18</f>
        <v>25017.738590278186</v>
      </c>
      <c r="I45" s="713">
        <f>transport!H18</f>
        <v>3450.2043622151673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28535.16426701234</v>
      </c>
    </row>
    <row r="46" spans="1:18" ht="15.75" thickBot="1">
      <c r="A46" s="874" t="s">
        <v>230</v>
      </c>
      <c r="B46" s="887"/>
      <c r="C46" s="749">
        <f t="shared" ref="C46:R46" ca="1" si="5">SUM(C43:C45)</f>
        <v>0.97230112720255291</v>
      </c>
      <c r="D46" s="749">
        <f t="shared" ca="1" si="5"/>
        <v>0</v>
      </c>
      <c r="E46" s="749">
        <f t="shared" si="5"/>
        <v>1.8584174279981127</v>
      </c>
      <c r="F46" s="749">
        <f t="shared" si="5"/>
        <v>64.390595963783866</v>
      </c>
      <c r="G46" s="749">
        <f t="shared" si="5"/>
        <v>0</v>
      </c>
      <c r="H46" s="749">
        <f t="shared" si="5"/>
        <v>25384.015977868512</v>
      </c>
      <c r="I46" s="749">
        <f t="shared" si="5"/>
        <v>3450.2043622151673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28901.441654602666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371.7122997985818</v>
      </c>
      <c r="D48" s="704">
        <f ca="1">+landbouw!C12</f>
        <v>0</v>
      </c>
      <c r="E48" s="704">
        <f>+landbouw!D12</f>
        <v>2123.3634776396484</v>
      </c>
      <c r="F48" s="704">
        <f>+landbouw!E12</f>
        <v>6.3819664151334976</v>
      </c>
      <c r="G48" s="704">
        <f>+landbouw!F12</f>
        <v>2055.3017949568793</v>
      </c>
      <c r="H48" s="704">
        <f>+landbouw!G12</f>
        <v>0</v>
      </c>
      <c r="I48" s="704">
        <f>+landbouw!H12</f>
        <v>0</v>
      </c>
      <c r="J48" s="704">
        <f>+landbouw!I12</f>
        <v>0</v>
      </c>
      <c r="K48" s="704">
        <f>+landbouw!J12</f>
        <v>118.77689904507734</v>
      </c>
      <c r="L48" s="704">
        <f>+landbouw!K12</f>
        <v>0</v>
      </c>
      <c r="M48" s="704">
        <f>+landbouw!L12</f>
        <v>0</v>
      </c>
      <c r="N48" s="704">
        <f>+landbouw!M12</f>
        <v>0</v>
      </c>
      <c r="O48" s="704">
        <f>+landbouw!N12</f>
        <v>0</v>
      </c>
      <c r="P48" s="704">
        <f>+landbouw!O12</f>
        <v>0</v>
      </c>
      <c r="Q48" s="705">
        <f>+landbouw!P12</f>
        <v>0</v>
      </c>
      <c r="R48" s="747">
        <f ca="1">SUM(C48:Q48)</f>
        <v>4675.5364378553204</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21784.30649883558</v>
      </c>
      <c r="D53" s="759">
        <f t="shared" ref="D53:Q53" ca="1" si="6">D41+D46+D48</f>
        <v>0</v>
      </c>
      <c r="E53" s="759">
        <f t="shared" ca="1" si="6"/>
        <v>37572.608598801504</v>
      </c>
      <c r="F53" s="759">
        <f t="shared" si="6"/>
        <v>1549.6598719606582</v>
      </c>
      <c r="G53" s="759">
        <f t="shared" ca="1" si="6"/>
        <v>6815.8451427698619</v>
      </c>
      <c r="H53" s="759">
        <f t="shared" si="6"/>
        <v>25384.015977868512</v>
      </c>
      <c r="I53" s="759">
        <f t="shared" si="6"/>
        <v>3450.2043622151673</v>
      </c>
      <c r="J53" s="759">
        <f t="shared" si="6"/>
        <v>0</v>
      </c>
      <c r="K53" s="759">
        <f t="shared" si="6"/>
        <v>134.73124189833931</v>
      </c>
      <c r="L53" s="759">
        <f t="shared" si="6"/>
        <v>0</v>
      </c>
      <c r="M53" s="759">
        <f t="shared" ca="1" si="6"/>
        <v>0</v>
      </c>
      <c r="N53" s="759">
        <f t="shared" si="6"/>
        <v>0</v>
      </c>
      <c r="O53" s="759">
        <f t="shared" ca="1" si="6"/>
        <v>0</v>
      </c>
      <c r="P53" s="759">
        <f>P41+P46+P48</f>
        <v>0</v>
      </c>
      <c r="Q53" s="760">
        <f t="shared" si="6"/>
        <v>0</v>
      </c>
      <c r="R53" s="761">
        <f ca="1">R41+R46+R48</f>
        <v>96691.371694349626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0.16660699110218555</v>
      </c>
      <c r="D55" s="824">
        <f t="shared" ca="1" si="7"/>
        <v>0</v>
      </c>
      <c r="E55" s="824">
        <f t="shared" ca="1" si="7"/>
        <v>0.20200000000000001</v>
      </c>
      <c r="F55" s="824">
        <f t="shared" si="7"/>
        <v>0.22700000000000004</v>
      </c>
      <c r="G55" s="824">
        <f t="shared" ca="1" si="7"/>
        <v>0.26700000000000002</v>
      </c>
      <c r="H55" s="824">
        <f t="shared" si="7"/>
        <v>0.26699999999999996</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27970.349203917111</v>
      </c>
      <c r="C64" s="781">
        <f>'lokale energieproductie'!B4</f>
        <v>27970.349203917111</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3310.7836010499063</v>
      </c>
      <c r="C66" s="781">
        <f>'lokale energieproductie'!B6</f>
        <v>3310.7836010499063</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900</v>
      </c>
      <c r="C68" s="780">
        <f>B68*IFERROR(SUM(J68:L68)/SUM(D68:M68),0)</f>
        <v>900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2250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32181.132804967016</v>
      </c>
      <c r="C69" s="789">
        <f>SUM(C64:C68)</f>
        <v>32181.132804967016</v>
      </c>
      <c r="D69" s="790">
        <f t="shared" ref="D69:M69" si="8">SUM(D67:D68)</f>
        <v>0</v>
      </c>
      <c r="E69" s="790">
        <f t="shared" si="8"/>
        <v>0</v>
      </c>
      <c r="F69" s="790">
        <f t="shared" si="8"/>
        <v>0</v>
      </c>
      <c r="G69" s="790">
        <f t="shared" si="8"/>
        <v>0</v>
      </c>
      <c r="H69" s="790">
        <f t="shared" si="8"/>
        <v>0</v>
      </c>
      <c r="I69" s="790">
        <f t="shared" si="8"/>
        <v>0</v>
      </c>
      <c r="J69" s="790">
        <f t="shared" si="8"/>
        <v>2250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36881.685454107399</v>
      </c>
      <c r="C4" s="463">
        <f>huishoudens!C8</f>
        <v>0</v>
      </c>
      <c r="D4" s="463">
        <f>huishoudens!D8</f>
        <v>103886.92111651329</v>
      </c>
      <c r="E4" s="463">
        <f>huishoudens!E8</f>
        <v>3759.1597150257362</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12434.838313593213</v>
      </c>
      <c r="O4" s="463">
        <f>huishoudens!O8</f>
        <v>143.82666666666668</v>
      </c>
      <c r="P4" s="464">
        <f>huishoudens!P8</f>
        <v>305.06666666666666</v>
      </c>
      <c r="Q4" s="465">
        <f>SUM(B4:P4)</f>
        <v>157411.49793257297</v>
      </c>
    </row>
    <row r="5" spans="1:17">
      <c r="A5" s="462" t="s">
        <v>156</v>
      </c>
      <c r="B5" s="463">
        <f ca="1">tertiair!B16</f>
        <v>36129.847339579479</v>
      </c>
      <c r="C5" s="463">
        <f ca="1">tertiair!C16</f>
        <v>0</v>
      </c>
      <c r="D5" s="463">
        <f ca="1">tertiair!D16</f>
        <v>47460.453164960811</v>
      </c>
      <c r="E5" s="463">
        <f>tertiair!E16</f>
        <v>410.93102856229626</v>
      </c>
      <c r="F5" s="463">
        <f ca="1">tertiair!F16</f>
        <v>7160.3083779322205</v>
      </c>
      <c r="G5" s="463">
        <f>tertiair!G16</f>
        <v>0</v>
      </c>
      <c r="H5" s="463">
        <f>tertiair!H16</f>
        <v>0</v>
      </c>
      <c r="I5" s="463">
        <f>tertiair!I16</f>
        <v>0</v>
      </c>
      <c r="J5" s="463">
        <f>tertiair!J16</f>
        <v>0</v>
      </c>
      <c r="K5" s="463">
        <f>tertiair!K16</f>
        <v>0</v>
      </c>
      <c r="L5" s="463">
        <f ca="1">tertiair!L16</f>
        <v>0</v>
      </c>
      <c r="M5" s="463">
        <f>tertiair!M16</f>
        <v>0</v>
      </c>
      <c r="N5" s="463">
        <f ca="1">tertiair!N16</f>
        <v>4056.2525165882666</v>
      </c>
      <c r="O5" s="463">
        <f>tertiair!O16</f>
        <v>1.5633333333333335</v>
      </c>
      <c r="P5" s="464">
        <f>tertiair!P16</f>
        <v>133.46666666666667</v>
      </c>
      <c r="Q5" s="462">
        <f t="shared" ref="Q5:Q13" ca="1" si="0">SUM(B5:P5)</f>
        <v>95352.822427623076</v>
      </c>
    </row>
    <row r="6" spans="1:17">
      <c r="A6" s="462" t="s">
        <v>194</v>
      </c>
      <c r="B6" s="463">
        <f>'openbare verlichting'!B8</f>
        <v>1513.6469999999999</v>
      </c>
      <c r="C6" s="463"/>
      <c r="D6" s="463"/>
      <c r="E6" s="463"/>
      <c r="F6" s="463"/>
      <c r="G6" s="463"/>
      <c r="H6" s="463"/>
      <c r="I6" s="463"/>
      <c r="J6" s="463"/>
      <c r="K6" s="463"/>
      <c r="L6" s="463"/>
      <c r="M6" s="463"/>
      <c r="N6" s="463"/>
      <c r="O6" s="463"/>
      <c r="P6" s="464"/>
      <c r="Q6" s="462">
        <f t="shared" si="0"/>
        <v>1513.6469999999999</v>
      </c>
    </row>
    <row r="7" spans="1:17">
      <c r="A7" s="462" t="s">
        <v>112</v>
      </c>
      <c r="B7" s="463">
        <f>landbouw!B8</f>
        <v>2231.0726419073162</v>
      </c>
      <c r="C7" s="463">
        <f>landbouw!C8</f>
        <v>0</v>
      </c>
      <c r="D7" s="463">
        <f>landbouw!D8</f>
        <v>10511.700384354694</v>
      </c>
      <c r="E7" s="463">
        <f>landbouw!E8</f>
        <v>28.114389493980166</v>
      </c>
      <c r="F7" s="463">
        <f>landbouw!F8</f>
        <v>7697.7595316737043</v>
      </c>
      <c r="G7" s="463">
        <f>landbouw!G8</f>
        <v>0</v>
      </c>
      <c r="H7" s="463">
        <f>landbouw!H8</f>
        <v>0</v>
      </c>
      <c r="I7" s="463">
        <f>landbouw!I8</f>
        <v>0</v>
      </c>
      <c r="J7" s="463">
        <f>landbouw!J8</f>
        <v>335.52796340417331</v>
      </c>
      <c r="K7" s="463">
        <f>landbouw!K8</f>
        <v>0</v>
      </c>
      <c r="L7" s="463">
        <f>landbouw!L8</f>
        <v>0</v>
      </c>
      <c r="M7" s="463">
        <f>landbouw!M8</f>
        <v>0</v>
      </c>
      <c r="N7" s="463">
        <f>landbouw!N8</f>
        <v>0</v>
      </c>
      <c r="O7" s="463">
        <f>landbouw!O8</f>
        <v>0</v>
      </c>
      <c r="P7" s="464">
        <f>landbouw!P8</f>
        <v>0</v>
      </c>
      <c r="Q7" s="462">
        <f t="shared" si="0"/>
        <v>20804.174910833866</v>
      </c>
    </row>
    <row r="8" spans="1:17">
      <c r="A8" s="462" t="s">
        <v>657</v>
      </c>
      <c r="B8" s="463">
        <f>industrie!B18</f>
        <v>53990.567092212674</v>
      </c>
      <c r="C8" s="463">
        <f>industrie!C18</f>
        <v>0</v>
      </c>
      <c r="D8" s="463">
        <f>industrie!D18</f>
        <v>24134.73811324795</v>
      </c>
      <c r="E8" s="463">
        <f>industrie!E18</f>
        <v>2344.8313250539964</v>
      </c>
      <c r="F8" s="463">
        <f>industrie!F18</f>
        <v>10669.441988408536</v>
      </c>
      <c r="G8" s="463">
        <f>industrie!G18</f>
        <v>0</v>
      </c>
      <c r="H8" s="463">
        <f>industrie!H18</f>
        <v>0</v>
      </c>
      <c r="I8" s="463">
        <f>industrie!I18</f>
        <v>0</v>
      </c>
      <c r="J8" s="463">
        <f>industrie!J18</f>
        <v>45.068765122208909</v>
      </c>
      <c r="K8" s="463">
        <f>industrie!K18</f>
        <v>0</v>
      </c>
      <c r="L8" s="463">
        <f>industrie!L18</f>
        <v>0</v>
      </c>
      <c r="M8" s="463">
        <f>industrie!M18</f>
        <v>0</v>
      </c>
      <c r="N8" s="463">
        <f>industrie!N18</f>
        <v>63980.227148219892</v>
      </c>
      <c r="O8" s="463">
        <f>industrie!O18</f>
        <v>0</v>
      </c>
      <c r="P8" s="464">
        <f>industrie!P18</f>
        <v>0</v>
      </c>
      <c r="Q8" s="462">
        <f t="shared" si="0"/>
        <v>155164.87443226526</v>
      </c>
    </row>
    <row r="9" spans="1:17" s="468" customFormat="1">
      <c r="A9" s="466" t="s">
        <v>574</v>
      </c>
      <c r="B9" s="467">
        <f>transport!B14</f>
        <v>5.835896325660241</v>
      </c>
      <c r="C9" s="467">
        <f>transport!C14</f>
        <v>0</v>
      </c>
      <c r="D9" s="467">
        <f>transport!D14</f>
        <v>9.2000862772183787</v>
      </c>
      <c r="E9" s="467">
        <f>transport!E14</f>
        <v>283.65901305631655</v>
      </c>
      <c r="F9" s="467">
        <f>transport!F14</f>
        <v>0</v>
      </c>
      <c r="G9" s="467">
        <f>transport!G14</f>
        <v>93699.395469206691</v>
      </c>
      <c r="H9" s="467">
        <f>transport!H14</f>
        <v>13856.242418534808</v>
      </c>
      <c r="I9" s="467">
        <f>transport!I14</f>
        <v>0</v>
      </c>
      <c r="J9" s="467">
        <f>transport!J14</f>
        <v>0</v>
      </c>
      <c r="K9" s="467">
        <f>transport!K14</f>
        <v>0</v>
      </c>
      <c r="L9" s="467">
        <f>transport!L14</f>
        <v>0</v>
      </c>
      <c r="M9" s="467">
        <f>transport!M14</f>
        <v>4820.0925320651813</v>
      </c>
      <c r="N9" s="467">
        <f>transport!N14</f>
        <v>0</v>
      </c>
      <c r="O9" s="467">
        <f>transport!O14</f>
        <v>0</v>
      </c>
      <c r="P9" s="467">
        <f>transport!P14</f>
        <v>0</v>
      </c>
      <c r="Q9" s="466">
        <f>SUM(B9:P9)</f>
        <v>112674.42541546588</v>
      </c>
    </row>
    <row r="10" spans="1:17">
      <c r="A10" s="462" t="s">
        <v>564</v>
      </c>
      <c r="B10" s="463">
        <f>transport!B54</f>
        <v>0</v>
      </c>
      <c r="C10" s="463">
        <f>transport!C54</f>
        <v>0</v>
      </c>
      <c r="D10" s="463">
        <f>transport!D54</f>
        <v>0</v>
      </c>
      <c r="E10" s="463">
        <f>transport!E54</f>
        <v>0</v>
      </c>
      <c r="F10" s="463">
        <f>transport!F54</f>
        <v>0</v>
      </c>
      <c r="G10" s="463">
        <f>transport!G54</f>
        <v>1371.825421686613</v>
      </c>
      <c r="H10" s="463">
        <f>transport!H54</f>
        <v>0</v>
      </c>
      <c r="I10" s="463">
        <f>transport!I54</f>
        <v>0</v>
      </c>
      <c r="J10" s="463">
        <f>transport!J54</f>
        <v>0</v>
      </c>
      <c r="K10" s="463">
        <f>transport!K54</f>
        <v>0</v>
      </c>
      <c r="L10" s="463">
        <f>transport!L54</f>
        <v>0</v>
      </c>
      <c r="M10" s="463">
        <f>transport!M54</f>
        <v>61.008431872670862</v>
      </c>
      <c r="N10" s="463">
        <f>transport!N54</f>
        <v>0</v>
      </c>
      <c r="O10" s="463">
        <f>transport!O54</f>
        <v>0</v>
      </c>
      <c r="P10" s="464">
        <f>transport!P54</f>
        <v>0</v>
      </c>
      <c r="Q10" s="462">
        <f t="shared" si="0"/>
        <v>1432.8338535592839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130752.65542413252</v>
      </c>
      <c r="C14" s="473">
        <f t="shared" ref="C14:Q14" ca="1" si="1">SUM(C4:C13)</f>
        <v>0</v>
      </c>
      <c r="D14" s="473">
        <f t="shared" ca="1" si="1"/>
        <v>186003.01286535396</v>
      </c>
      <c r="E14" s="473">
        <f t="shared" si="1"/>
        <v>6826.6954711923263</v>
      </c>
      <c r="F14" s="473">
        <f t="shared" ca="1" si="1"/>
        <v>25527.509898014461</v>
      </c>
      <c r="G14" s="473">
        <f t="shared" si="1"/>
        <v>95071.22089089331</v>
      </c>
      <c r="H14" s="473">
        <f t="shared" si="1"/>
        <v>13856.242418534808</v>
      </c>
      <c r="I14" s="473">
        <f t="shared" si="1"/>
        <v>0</v>
      </c>
      <c r="J14" s="473">
        <f t="shared" si="1"/>
        <v>380.59672852638221</v>
      </c>
      <c r="K14" s="473">
        <f t="shared" si="1"/>
        <v>0</v>
      </c>
      <c r="L14" s="473">
        <f t="shared" ca="1" si="1"/>
        <v>0</v>
      </c>
      <c r="M14" s="473">
        <f t="shared" si="1"/>
        <v>4881.1009639378526</v>
      </c>
      <c r="N14" s="473">
        <f t="shared" ca="1" si="1"/>
        <v>80471.317978401377</v>
      </c>
      <c r="O14" s="473">
        <f t="shared" si="1"/>
        <v>145.39000000000001</v>
      </c>
      <c r="P14" s="474">
        <f t="shared" si="1"/>
        <v>438.5333333333333</v>
      </c>
      <c r="Q14" s="474">
        <f t="shared" ca="1" si="1"/>
        <v>544354.27597232035</v>
      </c>
    </row>
    <row r="16" spans="1:17">
      <c r="A16" s="476" t="s">
        <v>569</v>
      </c>
      <c r="B16" s="829">
        <f ca="1">huishoudens!B10</f>
        <v>0.16660699110218552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6144.7466402860764</v>
      </c>
      <c r="C21" s="463">
        <f t="shared" ref="C21:C30" ca="1" si="3">C4*$C$16</f>
        <v>0</v>
      </c>
      <c r="D21" s="463">
        <f t="shared" ref="D21:D30" si="4">D4*$D$16</f>
        <v>20985.158065535685</v>
      </c>
      <c r="E21" s="463">
        <f t="shared" ref="E21:E30" si="5">E4*$E$16</f>
        <v>853.3292553108422</v>
      </c>
      <c r="F21" s="463">
        <f t="shared" ref="F21:F30" si="6">F4*$F$16</f>
        <v>0</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27983.233961132602</v>
      </c>
    </row>
    <row r="22" spans="1:17">
      <c r="A22" s="462" t="s">
        <v>156</v>
      </c>
      <c r="B22" s="463">
        <f t="shared" ca="1" si="2"/>
        <v>6019.4851542286397</v>
      </c>
      <c r="C22" s="463">
        <f t="shared" ca="1" si="3"/>
        <v>0</v>
      </c>
      <c r="D22" s="463">
        <f t="shared" ca="1" si="4"/>
        <v>9587.011539322084</v>
      </c>
      <c r="E22" s="463">
        <f t="shared" si="5"/>
        <v>93.281343483641251</v>
      </c>
      <c r="F22" s="463">
        <f t="shared" ca="1" si="6"/>
        <v>1911.8023369079031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17611.580373942266</v>
      </c>
    </row>
    <row r="23" spans="1:17">
      <c r="A23" s="462" t="s">
        <v>194</v>
      </c>
      <c r="B23" s="463">
        <f t="shared" ca="1" si="2"/>
        <v>252.18417226084981</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252.18417226084981</v>
      </c>
    </row>
    <row r="24" spans="1:17">
      <c r="A24" s="462" t="s">
        <v>112</v>
      </c>
      <c r="B24" s="463">
        <f t="shared" ca="1" si="2"/>
        <v>371.7122997985818</v>
      </c>
      <c r="C24" s="463">
        <f t="shared" ca="1" si="3"/>
        <v>0</v>
      </c>
      <c r="D24" s="463">
        <f t="shared" si="4"/>
        <v>2123.3634776396484</v>
      </c>
      <c r="E24" s="463">
        <f t="shared" si="5"/>
        <v>6.3819664151334976</v>
      </c>
      <c r="F24" s="463">
        <f t="shared" si="6"/>
        <v>2055.3017949568793</v>
      </c>
      <c r="G24" s="463">
        <f t="shared" si="7"/>
        <v>0</v>
      </c>
      <c r="H24" s="463">
        <f t="shared" si="8"/>
        <v>0</v>
      </c>
      <c r="I24" s="463">
        <f t="shared" si="9"/>
        <v>0</v>
      </c>
      <c r="J24" s="463">
        <f t="shared" si="10"/>
        <v>118.77689904507734</v>
      </c>
      <c r="K24" s="463">
        <f t="shared" si="11"/>
        <v>0</v>
      </c>
      <c r="L24" s="463">
        <f t="shared" si="12"/>
        <v>0</v>
      </c>
      <c r="M24" s="463">
        <f t="shared" si="13"/>
        <v>0</v>
      </c>
      <c r="N24" s="463">
        <f t="shared" si="14"/>
        <v>0</v>
      </c>
      <c r="O24" s="463">
        <f t="shared" si="15"/>
        <v>0</v>
      </c>
      <c r="P24" s="464">
        <f t="shared" si="16"/>
        <v>0</v>
      </c>
      <c r="Q24" s="462">
        <f t="shared" ca="1" si="17"/>
        <v>4675.5364378553204</v>
      </c>
    </row>
    <row r="25" spans="1:17">
      <c r="A25" s="462" t="s">
        <v>657</v>
      </c>
      <c r="B25" s="463">
        <f t="shared" ca="1" si="2"/>
        <v>8995.2059311342273</v>
      </c>
      <c r="C25" s="463">
        <f t="shared" ca="1" si="3"/>
        <v>0</v>
      </c>
      <c r="D25" s="463">
        <f t="shared" si="4"/>
        <v>4875.2170988760863</v>
      </c>
      <c r="E25" s="463">
        <f t="shared" si="5"/>
        <v>532.27671078725723</v>
      </c>
      <c r="F25" s="463">
        <f t="shared" si="6"/>
        <v>2848.7410109050793</v>
      </c>
      <c r="G25" s="463">
        <f t="shared" si="7"/>
        <v>0</v>
      </c>
      <c r="H25" s="463">
        <f t="shared" si="8"/>
        <v>0</v>
      </c>
      <c r="I25" s="463">
        <f t="shared" si="9"/>
        <v>0</v>
      </c>
      <c r="J25" s="463">
        <f t="shared" si="10"/>
        <v>15.954342853261952</v>
      </c>
      <c r="K25" s="463">
        <f t="shared" si="11"/>
        <v>0</v>
      </c>
      <c r="L25" s="463">
        <f t="shared" si="12"/>
        <v>0</v>
      </c>
      <c r="M25" s="463">
        <f t="shared" si="13"/>
        <v>0</v>
      </c>
      <c r="N25" s="463">
        <f t="shared" si="14"/>
        <v>0</v>
      </c>
      <c r="O25" s="463">
        <f t="shared" si="15"/>
        <v>0</v>
      </c>
      <c r="P25" s="464">
        <f t="shared" si="16"/>
        <v>0</v>
      </c>
      <c r="Q25" s="462">
        <f t="shared" ca="1" si="17"/>
        <v>17267.395094555912</v>
      </c>
    </row>
    <row r="26" spans="1:17" s="468" customFormat="1">
      <c r="A26" s="466" t="s">
        <v>574</v>
      </c>
      <c r="B26" s="823">
        <f t="shared" ca="1" si="2"/>
        <v>0.97230112720255291</v>
      </c>
      <c r="C26" s="467">
        <f t="shared" ca="1" si="3"/>
        <v>0</v>
      </c>
      <c r="D26" s="467">
        <f t="shared" si="4"/>
        <v>1.8584174279981127</v>
      </c>
      <c r="E26" s="467">
        <f t="shared" si="5"/>
        <v>64.390595963783866</v>
      </c>
      <c r="F26" s="467">
        <f t="shared" si="6"/>
        <v>0</v>
      </c>
      <c r="G26" s="467">
        <f t="shared" si="7"/>
        <v>25017.738590278186</v>
      </c>
      <c r="H26" s="467">
        <f t="shared" si="8"/>
        <v>3450.2043622151673</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28535.16426701234</v>
      </c>
    </row>
    <row r="27" spans="1:17">
      <c r="A27" s="462" t="s">
        <v>564</v>
      </c>
      <c r="B27" s="463">
        <f t="shared" ca="1" si="2"/>
        <v>0</v>
      </c>
      <c r="C27" s="463">
        <f t="shared" ca="1" si="3"/>
        <v>0</v>
      </c>
      <c r="D27" s="463">
        <f t="shared" si="4"/>
        <v>0</v>
      </c>
      <c r="E27" s="463">
        <f t="shared" si="5"/>
        <v>0</v>
      </c>
      <c r="F27" s="463">
        <f t="shared" si="6"/>
        <v>0</v>
      </c>
      <c r="G27" s="463">
        <f t="shared" si="7"/>
        <v>366.2773875903257</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366.2773875903257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21784.30649883558</v>
      </c>
      <c r="C31" s="473">
        <f t="shared" ca="1" si="18"/>
        <v>0</v>
      </c>
      <c r="D31" s="473">
        <f t="shared" ca="1" si="18"/>
        <v>37572.608598801497</v>
      </c>
      <c r="E31" s="473">
        <f t="shared" si="18"/>
        <v>1549.6598719606579</v>
      </c>
      <c r="F31" s="473">
        <f t="shared" ca="1" si="18"/>
        <v>6815.8451427698619</v>
      </c>
      <c r="G31" s="473">
        <f t="shared" si="18"/>
        <v>25384.015977868512</v>
      </c>
      <c r="H31" s="473">
        <f t="shared" si="18"/>
        <v>3450.2043622151673</v>
      </c>
      <c r="I31" s="473">
        <f t="shared" si="18"/>
        <v>0</v>
      </c>
      <c r="J31" s="473">
        <f t="shared" si="18"/>
        <v>134.73124189833931</v>
      </c>
      <c r="K31" s="473">
        <f t="shared" si="18"/>
        <v>0</v>
      </c>
      <c r="L31" s="473">
        <f t="shared" ca="1" si="18"/>
        <v>0</v>
      </c>
      <c r="M31" s="473">
        <f t="shared" si="18"/>
        <v>0</v>
      </c>
      <c r="N31" s="473">
        <f t="shared" ca="1" si="18"/>
        <v>0</v>
      </c>
      <c r="O31" s="473">
        <f t="shared" si="18"/>
        <v>0</v>
      </c>
      <c r="P31" s="474">
        <f t="shared" si="18"/>
        <v>0</v>
      </c>
      <c r="Q31" s="474">
        <f t="shared" ca="1" si="18"/>
        <v>96691.371694349611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0.16660699110218552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0.16660699110218552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0.16660699110218552</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2018-06-27T09:31:54Z</dcterms:modified>
</cp:coreProperties>
</file>