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B8" i="9"/>
  <c r="B6" i="48" s="1"/>
  <c r="Q6" s="1"/>
  <c r="I14" i="15"/>
  <c r="I16" s="1"/>
  <c r="J10" i="14" s="1"/>
  <c r="B13" i="16"/>
  <c r="C35"/>
  <c r="E9" i="14"/>
  <c r="D14" i="15"/>
  <c r="P22" i="16"/>
  <c r="Q39" i="14" s="1"/>
  <c r="P18" i="16"/>
  <c r="Q13"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7" i="48" l="1"/>
  <c r="J24" s="1"/>
  <c r="J15" i="14"/>
  <c r="J12" i="17"/>
  <c r="K48" i="14"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G14" i="22" l="1"/>
  <c r="L7" i="48"/>
  <c r="L24" s="1"/>
  <c r="E7"/>
  <c r="E24" s="1"/>
  <c r="E12" i="17"/>
  <c r="F48" i="14" s="1"/>
  <c r="H14" i="22"/>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N46" s="1"/>
  <c r="N53" s="1"/>
  <c r="M9" i="48"/>
  <c r="N19" i="14"/>
  <c r="E5" i="48"/>
  <c r="E22" s="1"/>
  <c r="P14"/>
  <c r="F10" i="14"/>
  <c r="B8" i="4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Q7" i="48" l="1"/>
  <c r="L31"/>
  <c r="J5"/>
  <c r="J22" s="1"/>
  <c r="J20" i="15"/>
  <c r="K36" i="14" s="1"/>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O13" i="14"/>
  <c r="O15" s="1"/>
  <c r="F22" i="16"/>
  <c r="G39" i="14" s="1"/>
  <c r="G41" s="1"/>
  <c r="N22" i="16"/>
  <c r="O39" i="14" s="1"/>
  <c r="O41" s="1"/>
  <c r="Q4" i="48"/>
  <c r="N22"/>
  <c r="R11" i="14"/>
  <c r="J21" i="48"/>
  <c r="R10" i="14"/>
  <c r="C29" i="20" l="1"/>
  <c r="C17" i="19"/>
  <c r="C19" s="1"/>
  <c r="D35" i="14" s="1"/>
  <c r="C20" i="16"/>
  <c r="C22" s="1"/>
  <c r="D39" i="14" s="1"/>
  <c r="C10" i="13"/>
  <c r="C16" i="48" s="1"/>
  <c r="C30" s="1"/>
  <c r="C10" i="17"/>
  <c r="C12" s="1"/>
  <c r="D48" i="14" s="1"/>
  <c r="C17" i="49"/>
  <c r="C18" i="15"/>
  <c r="C20" s="1"/>
  <c r="D36" i="14" s="1"/>
  <c r="C16" i="22"/>
  <c r="C56"/>
  <c r="C58" s="1"/>
  <c r="D44" i="14" s="1"/>
  <c r="D46" s="1"/>
  <c r="K13"/>
  <c r="K15" s="1"/>
  <c r="K23" s="1"/>
  <c r="F8" i="48"/>
  <c r="Q8" s="1"/>
  <c r="Q14" s="1"/>
  <c r="N25"/>
  <c r="N31" s="1"/>
  <c r="N14"/>
  <c r="E25"/>
  <c r="E31" s="1"/>
  <c r="E14"/>
  <c r="H55" i="14"/>
  <c r="E55"/>
  <c r="C78"/>
  <c r="C81" s="1"/>
  <c r="J14" i="48"/>
  <c r="J31"/>
  <c r="R19" i="14"/>
  <c r="R20" s="1"/>
  <c r="H14" i="48"/>
  <c r="G31"/>
  <c r="H26"/>
  <c r="H31" s="1"/>
  <c r="F55" i="14"/>
  <c r="O53"/>
  <c r="G53"/>
  <c r="G55" s="1"/>
  <c r="O69" s="1"/>
  <c r="B9" i="6" s="1"/>
  <c r="B12" s="1"/>
  <c r="M53" i="14"/>
  <c r="M55" s="1"/>
  <c r="C24" i="48"/>
  <c r="C27"/>
  <c r="C28"/>
  <c r="C22"/>
  <c r="K55" i="14"/>
  <c r="R13"/>
  <c r="R15" s="1"/>
  <c r="F25" i="48"/>
  <c r="F31" s="1"/>
  <c r="F14" l="1"/>
  <c r="C25"/>
  <c r="C31" s="1"/>
  <c r="C29"/>
  <c r="C21"/>
  <c r="C12" i="13"/>
  <c r="D37" i="14" s="1"/>
  <c r="D41" s="1"/>
  <c r="C26" i="48"/>
  <c r="C23"/>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<sst xmlns="http://schemas.openxmlformats.org/spreadsheetml/2006/main" count="1979" uniqueCount="850">
  <si>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</si>
  <si>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</si>
  <si>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</si>
  <si>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</si>
  <si>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</si>
  <si>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</si>
  <si>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</si>
  <si>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</si>
  <si>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</si>
  <si>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</si>
  <si>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</si>
  <si>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</si>
  <si>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</si>
  <si>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</si>
  <si>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</si>
  <si>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</si>
  <si>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</si>
  <si>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</si>
  <si>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</si>
  <si>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</si>
  <si>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</si>
  <si>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</si>
  <si>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</si>
  <si>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</si>
  <si>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</si>
  <si>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</si>
  <si>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</si>
  <si>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</si>
  <si>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</si>
  <si>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</si>
  <si>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</si>
  <si>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</si>
  <si>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</si>
  <si>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</si>
  <si>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</si>
  <si>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</si>
  <si>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</si>
  <si>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</si>
  <si>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</si>
  <si>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</si>
  <si>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</si>
  <si>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</si>
  <si>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</si>
  <si>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</si>
  <si>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</si>
  <si>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</si>
  <si>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</si>
  <si>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</si>
  <si>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</si>
  <si>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</si>
  <si>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</si>
  <si>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</si>
  <si>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</si>
  <si>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</si>
  <si>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</si>
  <si>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</si>
  <si>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</si>
  <si>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</si>
  <si>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</si>
  <si>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</si>
  <si>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</si>
  <si>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</si>
  <si>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</si>
  <si>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</si>
  <si>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</si>
  <si>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</si>
  <si>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</si>
  <si>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</si>
  <si>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</si>
  <si>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</si>
  <si>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</si>
  <si>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</si>
  <si>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</si>
  <si>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</si>
  <si>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</si>
  <si>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</si>
  <si>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</si>
  <si>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</si>
  <si>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</si>
  <si>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</si>
  <si>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</si>
  <si>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</si>
  <si>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</si>
  <si>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</si>
  <si>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</si>
  <si>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</si>
  <si>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</si>
  <si>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</si>
  <si>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</si>
  <si>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</si>
  <si>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</si>
  <si>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</si>
  <si>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</si>
  <si>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</si>
  <si>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</si>
  <si>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</si>
  <si>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</si>
  <si>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</si>
  <si>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</si>
  <si>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</si>
  <si>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</si>
  <si>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</si>
  <si>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</si>
  <si>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</si>
  <si>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</si>
  <si>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</si>
  <si>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</si>
  <si>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</si>
  <si>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</si>
  <si>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</si>
  <si>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</si>
  <si>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</si>
  <si>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</si>
  <si>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</si>
  <si>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</si>
  <si>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</si>
  <si>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</si>
  <si>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</si>
  <si>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</si>
  <si>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</si>
  <si>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</si>
  <si>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</si>
  <si>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</si>
  <si>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</si>
  <si>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</si>
  <si>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</si>
  <si>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</si>
  <si>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</si>
  <si>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</si>
  <si>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</si>
  <si>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</si>
  <si>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</si>
  <si>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</si>
  <si>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</si>
  <si>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</si>
  <si>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</si>
  <si>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</si>
  <si>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</si>
  <si>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</si>
  <si>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</si>
  <si>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</si>
  <si>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</si>
  <si>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</si>
  <si>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</si>
  <si>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</si>
  <si>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</si>
  <si>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</si>
  <si>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</si>
  <si>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</si>
  <si>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</si>
  <si>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</si>
  <si>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</si>
  <si>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</si>
  <si>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</si>
  <si>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</si>
  <si>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</si>
  <si>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</si>
  <si>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</si>
  <si>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</si>
  <si>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</si>
  <si>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</si>
  <si>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</si>
  <si>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</si>
  <si>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</si>
  <si>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</si>
  <si>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</si>
  <si>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</si>
  <si>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</si>
  <si>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</si>
  <si>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</si>
  <si>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</si>
  <si>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</si>
  <si>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</si>
  <si>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</si>
  <si>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</si>
  <si>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</si>
  <si>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</si>
  <si>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</si>
  <si>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</si>
  <si>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</si>
  <si>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</si>
  <si>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</si>
  <si>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</si>
  <si>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</si>
  <si>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</si>
  <si>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</si>
  <si>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</si>
  <si>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</si>
  <si>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</si>
  <si>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</si>
  <si>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</si>
  <si>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</si>
  <si>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</si>
  <si>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</si>
  <si>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</si>
  <si>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</si>
  <si>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</si>
  <si>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</si>
  <si>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</si>
  <si>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</si>
  <si>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</si>
  <si>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</si>
  <si>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</si>
  <si>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</si>
  <si>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</si>
  <si>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</si>
  <si>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</si>
  <si>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</si>
  <si>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</si>
  <si>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</si>
  <si>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</si>
  <si>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</si>
  <si>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</si>
  <si>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</si>
  <si>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</si>
  <si>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</si>
  <si>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</si>
  <si>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</si>
  <si>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</si>
  <si>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</si>
  <si>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</si>
  <si>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</si>
  <si>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</si>
  <si>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</si>
  <si>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</si>
  <si>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</si>
  <si>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</si>
  <si>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</si>
  <si>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</si>
  <si>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</si>
  <si>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</si>
  <si>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</si>
  <si>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</si>
  <si>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</si>
  <si>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</si>
  <si>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</si>
  <si>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</si>
  <si>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</si>
  <si>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</si>
  <si>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</si>
  <si>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</si>
  <si>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</si>
  <si>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</si>
  <si>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</si>
  <si>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</si>
  <si>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</si>
  <si>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</si>
  <si>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</si>
  <si>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</si>
  <si>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</si>
  <si>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</si>
  <si>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</si>
  <si>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</si>
  <si>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</si>
  <si>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</si>
  <si>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</si>
  <si>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</si>
  <si>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</si>
  <si>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</si>
  <si>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</si>
  <si>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</si>
  <si>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</si>
  <si>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</si>
  <si>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</si>
  <si>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</si>
  <si>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</si>
  <si>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</si>
  <si>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</si>
  <si>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</si>
  <si>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</si>
  <si>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</si>
  <si>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</si>
  <si>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</si>
  <si>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</si>
  <si>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</si>
  <si>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</si>
  <si>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</si>
  <si>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</si>
  <si>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</si>
  <si>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</si>
  <si>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</si>
  <si>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</si>
  <si>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</si>
  <si>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</si>
  <si>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</si>
  <si>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</si>
  <si>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</si>
  <si>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</si>
  <si>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</si>
  <si>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</si>
  <si>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</si>
  <si>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</si>
  <si>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</si>
  <si>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</si>
  <si>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</si>
  <si>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</si>
  <si>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</si>
  <si>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</si>
  <si>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</si>
  <si>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</si>
  <si>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</si>
  <si>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</si>
  <si>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</si>
  <si>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</si>
  <si>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</si>
  <si>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</si>
  <si>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</si>
  <si>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</si>
  <si>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</si>
  <si>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</si>
  <si>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</si>
  <si>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</si>
  <si>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</si>
  <si>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</si>
  <si>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</si>
  <si>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</si>
  <si>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</si>
  <si>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</si>
  <si>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</si>
  <si>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</si>
  <si>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</si>
  <si>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</si>
  <si>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</si>
  <si>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</si>
  <si>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</si>
  <si>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</si>
  <si>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</si>
  <si>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</si>
  <si>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</si>
  <si>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</si>
  <si>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</si>
  <si>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</si>
  <si>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</si>
  <si>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</si>
  <si>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</si>
  <si>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</si>
  <si>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</si>
  <si>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</si>
  <si>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</si>
  <si>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</si>
  <si>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</si>
  <si>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</si>
  <si>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</si>
  <si>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</si>
  <si>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</si>
  <si>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</si>
  <si>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</si>
  <si>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</si>
  <si>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</si>
  <si>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</si>
  <si>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</si>
  <si>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</si>
  <si>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</si>
  <si>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</si>
  <si>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</si>
  <si>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</si>
  <si>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</si>
  <si>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</si>
  <si>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</si>
  <si>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</si>
  <si>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</si>
  <si>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</si>
  <si>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</si>
  <si>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</si>
  <si>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</si>
  <si>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</si>
  <si>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</si>
  <si>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</si>
  <si>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</si>
  <si>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</si>
  <si>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</si>
  <si>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</si>
  <si>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</si>
  <si>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</si>
  <si>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</si>
  <si>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</si>
  <si>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</si>
  <si>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</si>
  <si>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</si>
  <si>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</si>
  <si>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</si>
  <si>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</si>
  <si>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</si>
  <si>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</si>
  <si>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</si>
  <si>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</si>
  <si>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</si>
  <si>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</si>
  <si>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</si>
  <si>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</si>
  <si>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</si>
  <si>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</si>
  <si>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</si>
  <si>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</si>
  <si>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</si>
  <si>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</si>
  <si>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</si>
  <si>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</si>
  <si>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</si>
  <si>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</si>
  <si>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</si>
  <si>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</si>
  <si>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</si>
  <si>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</si>
  <si>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</si>
  <si>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</si>
  <si>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</si>
  <si>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</si>
  <si>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</si>
  <si>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</si>
  <si>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</si>
  <si>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</si>
  <si>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</si>
  <si>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</si>
  <si>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</si>
  <si>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</si>
  <si>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</si>
  <si>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</si>
  <si>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</si>
  <si>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</si>
  <si>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</si>
  <si>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</si>
  <si>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</si>
  <si>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</si>
  <si>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</si>
  <si>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</si>
  <si>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</si>
  <si>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</si>
  <si>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</si>
  <si>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</si>
  <si>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</si>
  <si>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</si>
  <si>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</si>
  <si>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</si>
  <si>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</si>
  <si>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</si>
  <si>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</si>
  <si>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</si>
  <si>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</si>
  <si>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</si>
  <si>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</si>
  <si>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</si>
  <si>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</si>
  <si>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</si>
  <si>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</si>
  <si>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</si>
  <si>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</si>
  <si>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</si>
  <si>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</si>
  <si>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</si>
  <si>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</si>
  <si>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</si>
  <si>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</si>
  <si>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</si>
  <si>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</si>
  <si>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</si>
  <si>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</si>
  <si>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</si>
  <si>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</si>
  <si>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</si>
  <si>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</si>
  <si>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</si>
  <si>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</si>
  <si>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</si>
  <si>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</si>
  <si>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</si>
  <si>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</si>
  <si>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</si>
  <si>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</si>
  <si>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</si>
  <si>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</si>
  <si>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</si>
  <si>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</si>
  <si>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</si>
  <si>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</si>
  <si>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</si>
  <si>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</si>
  <si>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</si>
  <si>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</si>
  <si>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</si>
  <si>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</si>
  <si>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</si>
  <si>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</si>
  <si>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</si>
  <si>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</si>
  <si>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</si>
  <si>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</si>
  <si>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</si>
  <si>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</si>
  <si>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</si>
  <si>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</si>
  <si>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</si>
  <si>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</si>
  <si>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</si>
  <si>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</si>
  <si>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</si>
  <si>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</si>
  <si>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</si>
  <si>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</si>
  <si>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</si>
  <si>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</si>
  <si>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</si>
  <si>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</si>
  <si>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</si>
  <si>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</si>
  <si>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</si>
  <si>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</si>
  <si>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</si>
  <si>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</si>
  <si>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</si>
  <si>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</si>
  <si>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</si>
  <si>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</si>
  <si>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</si>
  <si>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</si>
  <si>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</si>
  <si>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</si>
  <si>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</si>
  <si>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</si>
  <si>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</si>
  <si>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</si>
  <si>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</si>
  <si>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</si>
  <si>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</si>
  <si>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</si>
  <si>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</si>
  <si>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</si>
  <si>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</si>
  <si>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</si>
  <si>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</si>
  <si>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</si>
  <si>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</si>
  <si>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</si>
  <si>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</si>
  <si>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</si>
  <si>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</si>
  <si>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</si>
  <si>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</si>
  <si>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</si>
  <si>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</si>
  <si>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</si>
  <si>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</si>
  <si>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</si>
  <si>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</si>
  <si>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</si>
  <si>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</si>
  <si>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</si>
  <si>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</si>
  <si>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</si>
  <si>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</si>
  <si>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</si>
  <si>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</si>
  <si>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</si>
  <si>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</si>
  <si>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</si>
  <si>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</si>
  <si>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</si>
  <si>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</si>
  <si>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</si>
  <si>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</si>
  <si>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</si>
  <si>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</si>
  <si>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</si>
  <si>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</si>
  <si>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</si>
  <si>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</si>
  <si>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</si>
  <si>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</si>
  <si>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</si>
  <si>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</si>
  <si>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</si>
  <si>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</si>
  <si>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</si>
  <si>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</si>
  <si>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</si>
  <si>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</si>
  <si>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</si>
  <si>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</si>
  <si>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</si>
  <si>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</si>
  <si>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</si>
  <si>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</si>
  <si>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</si>
  <si>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</si>
  <si>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</si>
  <si>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</si>
  <si>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</si>
  <si>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</si>
  <si>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</si>
  <si>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</si>
  <si>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</si>
  <si>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</si>
  <si>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</si>
  <si>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</si>
  <si>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</si>
  <si>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</si>
  <si>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</si>
  <si>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</si>
  <si>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</si>
  <si>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</si>
  <si>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</si>
  <si>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</si>
  <si>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</si>
  <si>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</si>
  <si>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</si>
  <si>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</si>
  <si>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</si>
  <si>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</si>
  <si>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</si>
  <si>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</si>
  <si>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</si>
  <si>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</si>
  <si>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</si>
  <si>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</si>
  <si>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</si>
  <si>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</si>
  <si>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</si>
  <si>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</si>
  <si>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</si>
  <si>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</si>
  <si>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</si>
  <si>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</si>
  <si>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</si>
  <si>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</si>
  <si>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</si>
  <si>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</si>
  <si>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</si>
  <si>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</si>
  <si>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</si>
  <si>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</si>
  <si>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</si>
  <si>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</si>
  <si>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</si>
  <si>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</si>
  <si>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</si>
  <si>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</si>
  <si>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</si>
  <si>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</si>
  <si>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</si>
  <si>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</si>
  <si>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</si>
  <si>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</si>
  <si>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</si>
  <si>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</si>
  <si>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</si>
  <si>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</si>
  <si>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</si>
  <si>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</si>
  <si>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</si>
  <si>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</si>
  <si>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</si>
  <si>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</si>
  <si>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</si>
  <si>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</si>
  <si>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</si>
  <si>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</si>
  <si>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</si>
  <si>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</si>
  <si>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</si>
  <si>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</si>
  <si>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</si>
  <si>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</si>
  <si>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</si>
  <si>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</si>
  <si>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</si>
  <si>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</si>
  <si>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</si>
  <si>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</si>
  <si>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</si>
  <si>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</si>
  <si>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</si>
  <si>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</si>
  <si>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</si>
  <si>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</si>
  <si>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</si>
  <si>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</si>
  <si>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</si>
  <si>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</si>
  <si>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</si>
  <si>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</si>
  <si>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</si>
  <si>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</si>
  <si>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</si>
  <si>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</si>
  <si>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</si>
  <si>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</si>
  <si>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</si>
  <si>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</si>
  <si>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</si>
  <si>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</si>
  <si>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</si>
  <si>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</si>
  <si>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</si>
  <si>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</si>
  <si>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</si>
  <si>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</si>
  <si>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</si>
  <si>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</si>
  <si>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</si>
  <si>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</si>
  <si>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</si>
  <si>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</si>
  <si>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</si>
  <si>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</si>
  <si>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</si>
  <si>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</si>
  <si>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</si>
  <si>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</si>
  <si>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</si>
  <si>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</si>
  <si>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</si>
  <si>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</si>
  <si>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</si>
  <si>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</si>
  <si>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</si>
  <si>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</si>
  <si>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</si>
  <si>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</si>
  <si>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</si>
  <si>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</si>
  <si>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</si>
  <si>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</si>
  <si>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</si>
  <si>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</si>
  <si>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</si>
  <si>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</si>
  <si>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</si>
  <si>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</si>
  <si>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</si>
  <si>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</si>
  <si>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</si>
  <si>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</si>
  <si>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</si>
  <si>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</si>
  <si>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</si>
  <si>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</si>
  <si>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</si>
  <si>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</si>
  <si>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</si>
  <si>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</si>
  <si>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</si>
  <si>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</si>
  <si>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</si>
  <si>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</si>
  <si>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</si>
  <si>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</si>
  <si>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</si>
  <si>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</si>
  <si>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</si>
  <si>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</si>
  <si>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</si>
  <si>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</si>
  <si>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</si>
  <si>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</si>
  <si>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</si>
  <si>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</si>
  <si>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</si>
  <si>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</si>
  <si>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</si>
  <si>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</si>
  <si>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</si>
  <si>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</si>
  <si>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</si>
  <si>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</si>
  <si>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</si>
  <si>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</si>
  <si>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</si>
  <si>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</si>
  <si>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</si>
  <si>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</si>
  <si>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</si>
  <si>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</si>
  <si>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</si>
  <si>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</si>
  <si>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</si>
  <si>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</si>
  <si>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</si>
  <si>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</si>
  <si>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</si>
  <si>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</si>
  <si>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</si>
  <si>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</si>
  <si>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</si>
  <si>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</si>
  <si>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</si>
  <si>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</si>
  <si>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</si>
  <si>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</si>
  <si>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</si>
  <si>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</si>
  <si>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</si>
  <si>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</si>
  <si>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</si>
  <si>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</si>
  <si>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</si>
  <si>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</si>
  <si>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</si>
  <si>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</si>
  <si>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</si>
  <si>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</si>
  <si>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</si>
  <si>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</si>
  <si>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</si>
  <si>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</si>
  <si>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</si>
  <si>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</si>
  <si>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</si>
  <si>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</si>
  <si>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</si>
  <si>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</si>
  <si>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</si>
  <si>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</si>
  <si>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</si>
  <si>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</si>
  <si>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</si>
  <si>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</si>
  <si>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</si>
  <si>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</si>
  <si>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</si>
  <si>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</si>
  <si>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</si>
  <si>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</si>
  <si>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</si>
  <si>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</si>
  <si>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</si>
  <si>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</si>
  <si>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</si>
  <si>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</si>
  <si>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</si>
  <si>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</si>
  <si>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</si>
  <si>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</si>
  <si>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</si>
  <si>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41027</t>
  </si>
  <si>
    <t>HERZELE</t>
  </si>
  <si>
    <t>Cultuurgrond (ha)</t>
  </si>
  <si>
    <t>Paarden&amp;pony's 200 - 600 kg</t>
  </si>
  <si>
    <t>Paarden&amp;pony's &lt; 200 kg</t>
  </si>
  <si>
    <t>op basis van VEA (maart 2018) en Inventaris Hernieuwbare Energiebronnen (juni 2018)</t>
  </si>
  <si>
    <t>VEA (juni 2018)</t>
  </si>
  <si>
    <t>Mathieu Hendrickx</t>
  </si>
  <si>
    <t>Bekenholstraat 1 , 9550 Steenhuize-Wijnhuize</t>
  </si>
  <si>
    <t>WKK-0540 Mathieu Hendrickx</t>
  </si>
  <si>
    <t>interne verbrandingsmotor</t>
  </si>
  <si>
    <t>WKK interne verbrandinsgmotor (gas)</t>
  </si>
  <si>
    <t>INTERGEM</t>
  </si>
  <si>
    <t>De Vuyst Paul &amp; Filip</t>
  </si>
  <si>
    <t>Molendijk 1 , 9552 Borsbeke</t>
  </si>
  <si>
    <t>WKK-0566 De Vuyst</t>
  </si>
  <si>
    <t>Wijteveldstraat 74 , 9552 Borsbeke</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</si>
</sst>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175404.91164167243</c:v>
                </c:pt>
                <c:pt idx="1">
                  <c:v>23047.106567746687</c:v>
                </c:pt>
                <c:pt idx="2">
                  <c:v>1434.9079999999999</c:v>
                </c:pt>
                <c:pt idx="3">
                  <c:v>6298.26372249822</c:v>
                </c:pt>
                <c:pt idx="4">
                  <c:v>7437.0076087825446</c:v>
                </c:pt>
                <c:pt idx="5">
                  <c:v>78822.001343584911</c:v>
                </c:pt>
                <c:pt idx="6">
                  <c:v>924.57082608605606</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33440"/>
        <c:axId val="182334976"/>
      </c:barChart>
      <c:catAx>
        <c:axId val="182333440"/>
        <c:scaling>
          <c:orientation val="minMax"/>
        </c:scaling>
        <c:axPos val="b"/>
        <c:numFmt formatCode="General" sourceLinked="0"/>
        <c:tickLblPos val="nextTo"/>
        <c:crossAx val="182334976"/>
        <c:crosses val="autoZero"/>
        <c:auto val="1"/>
        <c:lblAlgn val="ctr"/>
        <c:lblOffset val="100"/>
      </c:catAx>
      <c:valAx>
        <c:axId val="182334976"/>
        <c:scaling>
          <c:orientation val="minMax"/>
        </c:scaling>
        <c:axPos val="l"/>
        <c:majorGridlines/>
        <c:numFmt formatCode="#,##0" sourceLinked="1"/>
        <c:tickLblPos val="nextTo"/>
        <c:crossAx val="1823334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175404.91164167243</c:v>
                </c:pt>
                <c:pt idx="1">
                  <c:v>23047.106567746687</c:v>
                </c:pt>
                <c:pt idx="2">
                  <c:v>1434.9079999999999</c:v>
                </c:pt>
                <c:pt idx="3">
                  <c:v>6298.26372249822</c:v>
                </c:pt>
                <c:pt idx="4">
                  <c:v>7437.0076087825446</c:v>
                </c:pt>
                <c:pt idx="5">
                  <c:v>78822.001343584911</c:v>
                </c:pt>
                <c:pt idx="6">
                  <c:v>924.57082608605606</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35687.922553351076</c:v>
                </c:pt>
                <c:pt idx="1">
                  <c:v>4649.9766142126064</c:v>
                </c:pt>
                <c:pt idx="2">
                  <c:v>294.89425215380544</c:v>
                </c:pt>
                <c:pt idx="3">
                  <c:v>1534.2234817017213</c:v>
                </c:pt>
                <c:pt idx="4">
                  <c:v>1458.348414020506</c:v>
                </c:pt>
                <c:pt idx="5">
                  <c:v>19914.807686928656</c:v>
                </c:pt>
                <c:pt idx="6">
                  <c:v>236.34937573522251</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34432"/>
        <c:axId val="182440320"/>
      </c:barChart>
      <c:catAx>
        <c:axId val="182434432"/>
        <c:scaling>
          <c:orientation val="minMax"/>
        </c:scaling>
        <c:axPos val="b"/>
        <c:numFmt formatCode="General" sourceLinked="0"/>
        <c:tickLblPos val="nextTo"/>
        <c:crossAx val="182440320"/>
        <c:crosses val="autoZero"/>
        <c:auto val="1"/>
        <c:lblAlgn val="ctr"/>
        <c:lblOffset val="100"/>
      </c:catAx>
      <c:valAx>
        <c:axId val="182440320"/>
        <c:scaling>
          <c:orientation val="minMax"/>
        </c:scaling>
        <c:axPos val="l"/>
        <c:majorGridlines/>
        <c:numFmt formatCode="#,##0" sourceLinked="1"/>
        <c:tickLblPos val="nextTo"/>
        <c:crossAx val="1824344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35687.922553351076</c:v>
                </c:pt>
                <c:pt idx="1">
                  <c:v>4649.9766142126064</c:v>
                </c:pt>
                <c:pt idx="2">
                  <c:v>294.89425215380544</c:v>
                </c:pt>
                <c:pt idx="3">
                  <c:v>1534.2234817017213</c:v>
                </c:pt>
                <c:pt idx="4">
                  <c:v>1458.348414020506</c:v>
                </c:pt>
                <c:pt idx="5">
                  <c:v>19914.807686928656</c:v>
                </c:pt>
                <c:pt idx="6">
                  <c:v>236.34937573522251</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41027</v>
      </c>
      <c r="B6" s="398"/>
      <c r="C6" s="399"/>
    </row>
    <row r="7" spans="1:7" s="396" customFormat="1" ht="15.75" customHeight="1">
      <c r="A7" s="400" t="str">
        <f>txtMunicipality</f>
        <v>HERZELE</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41027</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7167</v>
      </c>
      <c r="C9" s="338">
        <v>7695</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2845</v>
      </c>
    </row>
    <row r="15" spans="1:6">
      <c r="A15" s="1212" t="s">
        <v>184</v>
      </c>
      <c r="B15" s="335">
        <v>169</v>
      </c>
    </row>
    <row r="16" spans="1:6">
      <c r="A16" s="1212" t="s">
        <v>6</v>
      </c>
      <c r="B16" s="335">
        <v>1077</v>
      </c>
    </row>
    <row r="17" spans="1:6">
      <c r="A17" s="1212" t="s">
        <v>7</v>
      </c>
      <c r="B17" s="335">
        <v>693</v>
      </c>
    </row>
    <row r="18" spans="1:6">
      <c r="A18" s="1212" t="s">
        <v>8</v>
      </c>
      <c r="B18" s="335">
        <v>1191</v>
      </c>
    </row>
    <row r="19" spans="1:6">
      <c r="A19" s="1212" t="s">
        <v>9</v>
      </c>
      <c r="B19" s="335">
        <v>1155</v>
      </c>
    </row>
    <row r="20" spans="1:6">
      <c r="A20" s="1212" t="s">
        <v>10</v>
      </c>
      <c r="B20" s="335">
        <v>855</v>
      </c>
    </row>
    <row r="21" spans="1:6">
      <c r="A21" s="1212" t="s">
        <v>11</v>
      </c>
      <c r="B21" s="335">
        <v>2</v>
      </c>
    </row>
    <row r="22" spans="1:6">
      <c r="A22" s="1212" t="s">
        <v>12</v>
      </c>
      <c r="B22" s="335">
        <v>698</v>
      </c>
    </row>
    <row r="23" spans="1:6">
      <c r="A23" s="1212" t="s">
        <v>13</v>
      </c>
      <c r="B23" s="335">
        <v>2</v>
      </c>
    </row>
    <row r="24" spans="1:6">
      <c r="A24" s="1212" t="s">
        <v>14</v>
      </c>
      <c r="B24" s="335">
        <v>0</v>
      </c>
    </row>
    <row r="25" spans="1:6">
      <c r="A25" s="1212" t="s">
        <v>15</v>
      </c>
      <c r="B25" s="335">
        <v>4</v>
      </c>
    </row>
    <row r="26" spans="1:6">
      <c r="A26" s="1212" t="s">
        <v>16</v>
      </c>
      <c r="B26" s="335">
        <v>205</v>
      </c>
    </row>
    <row r="27" spans="1:6">
      <c r="A27" s="1212" t="s">
        <v>17</v>
      </c>
      <c r="B27" s="335">
        <v>250</v>
      </c>
    </row>
    <row r="28" spans="1:6" s="341" customFormat="1">
      <c r="A28" s="1213" t="s">
        <v>18</v>
      </c>
      <c r="B28" s="1213">
        <v>8190</v>
      </c>
    </row>
    <row r="29" spans="1:6">
      <c r="A29" s="1213" t="s">
        <v>836</v>
      </c>
      <c r="B29" s="1213">
        <v>133</v>
      </c>
      <c r="C29" s="341"/>
      <c r="D29" s="341"/>
      <c r="E29" s="341"/>
      <c r="F29" s="341"/>
    </row>
    <row r="30" spans="1:6">
      <c r="A30" s="1208" t="s">
        <v>837</v>
      </c>
      <c r="B30" s="1208">
        <v>34</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0</v>
      </c>
      <c r="F36" s="335">
        <v>0</v>
      </c>
    </row>
    <row r="37" spans="1:6">
      <c r="A37" s="1212" t="s">
        <v>25</v>
      </c>
      <c r="B37" s="1212" t="s">
        <v>28</v>
      </c>
      <c r="C37" s="335">
        <v>0</v>
      </c>
      <c r="D37" s="335">
        <v>0</v>
      </c>
      <c r="E37" s="335">
        <v>0</v>
      </c>
      <c r="F37" s="335">
        <v>0</v>
      </c>
    </row>
    <row r="38" spans="1:6">
      <c r="A38" s="1212" t="s">
        <v>25</v>
      </c>
      <c r="B38" s="1212" t="s">
        <v>29</v>
      </c>
      <c r="C38" s="335">
        <v>0</v>
      </c>
      <c r="D38" s="335">
        <v>0</v>
      </c>
      <c r="E38" s="335">
        <v>2</v>
      </c>
      <c r="F38" s="335">
        <v>5816.6216701860003</v>
      </c>
    </row>
    <row r="39" spans="1:6">
      <c r="A39" s="1212" t="s">
        <v>30</v>
      </c>
      <c r="B39" s="1212" t="s">
        <v>31</v>
      </c>
      <c r="C39" s="335">
        <v>2948</v>
      </c>
      <c r="D39" s="335">
        <v>53253750.398555301</v>
      </c>
      <c r="E39" s="335">
        <v>7007</v>
      </c>
      <c r="F39" s="335">
        <v>30920485.345698401</v>
      </c>
    </row>
    <row r="40" spans="1:6">
      <c r="A40" s="1212" t="s">
        <v>30</v>
      </c>
      <c r="B40" s="1212" t="s">
        <v>29</v>
      </c>
      <c r="C40" s="335">
        <v>0</v>
      </c>
      <c r="D40" s="335">
        <v>0</v>
      </c>
      <c r="E40" s="335">
        <v>0</v>
      </c>
      <c r="F40" s="335">
        <v>0</v>
      </c>
    </row>
    <row r="41" spans="1:6">
      <c r="A41" s="1212" t="s">
        <v>32</v>
      </c>
      <c r="B41" s="1212" t="s">
        <v>33</v>
      </c>
      <c r="C41" s="335">
        <v>27</v>
      </c>
      <c r="D41" s="335">
        <v>528638.11914781504</v>
      </c>
      <c r="E41" s="335">
        <v>139</v>
      </c>
      <c r="F41" s="335">
        <v>912800.39186353097</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3</v>
      </c>
      <c r="F44" s="335">
        <v>35407.096483594003</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3</v>
      </c>
      <c r="F47" s="335">
        <v>51684.308204831999</v>
      </c>
    </row>
    <row r="48" spans="1:6">
      <c r="A48" s="1212" t="s">
        <v>32</v>
      </c>
      <c r="B48" s="1212" t="s">
        <v>29</v>
      </c>
      <c r="C48" s="335">
        <v>21</v>
      </c>
      <c r="D48" s="335">
        <v>828379.05714831105</v>
      </c>
      <c r="E48" s="335">
        <v>39</v>
      </c>
      <c r="F48" s="335">
        <v>1515477.9560714699</v>
      </c>
    </row>
    <row r="49" spans="1:6">
      <c r="A49" s="1212" t="s">
        <v>32</v>
      </c>
      <c r="B49" s="1212" t="s">
        <v>40</v>
      </c>
      <c r="C49" s="335">
        <v>0</v>
      </c>
      <c r="D49" s="335">
        <v>0</v>
      </c>
      <c r="E49" s="335">
        <v>0</v>
      </c>
      <c r="F49" s="335">
        <v>0</v>
      </c>
    </row>
    <row r="50" spans="1:6">
      <c r="A50" s="1212" t="s">
        <v>32</v>
      </c>
      <c r="B50" s="1212" t="s">
        <v>41</v>
      </c>
      <c r="C50" s="335">
        <v>5</v>
      </c>
      <c r="D50" s="335">
        <v>563464.71708515997</v>
      </c>
      <c r="E50" s="335">
        <v>13</v>
      </c>
      <c r="F50" s="335">
        <v>407552.75496893201</v>
      </c>
    </row>
    <row r="51" spans="1:6">
      <c r="A51" s="1212" t="s">
        <v>42</v>
      </c>
      <c r="B51" s="1212" t="s">
        <v>43</v>
      </c>
      <c r="C51" s="335">
        <v>3</v>
      </c>
      <c r="D51" s="335">
        <v>70763.909094111601</v>
      </c>
      <c r="E51" s="335">
        <v>74</v>
      </c>
      <c r="F51" s="335">
        <v>998225.76144481404</v>
      </c>
    </row>
    <row r="52" spans="1:6">
      <c r="A52" s="1212" t="s">
        <v>42</v>
      </c>
      <c r="B52" s="1212" t="s">
        <v>29</v>
      </c>
      <c r="C52" s="335">
        <v>3</v>
      </c>
      <c r="D52" s="335">
        <v>105931.934372667</v>
      </c>
      <c r="E52" s="335">
        <v>10</v>
      </c>
      <c r="F52" s="335">
        <v>95877.118455727395</v>
      </c>
    </row>
    <row r="53" spans="1:6">
      <c r="A53" s="1212" t="s">
        <v>44</v>
      </c>
      <c r="B53" s="1212" t="s">
        <v>45</v>
      </c>
      <c r="C53" s="335">
        <v>51</v>
      </c>
      <c r="D53" s="335">
        <v>1140983.68352043</v>
      </c>
      <c r="E53" s="335">
        <v>182</v>
      </c>
      <c r="F53" s="335">
        <v>828078.54745856405</v>
      </c>
    </row>
    <row r="54" spans="1:6">
      <c r="A54" s="1212" t="s">
        <v>46</v>
      </c>
      <c r="B54" s="1212" t="s">
        <v>47</v>
      </c>
      <c r="C54" s="335">
        <v>0</v>
      </c>
      <c r="D54" s="335">
        <v>0</v>
      </c>
      <c r="E54" s="335">
        <v>1</v>
      </c>
      <c r="F54" s="335">
        <v>1434908</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9</v>
      </c>
      <c r="D57" s="335">
        <v>226064.17431914501</v>
      </c>
      <c r="E57" s="335">
        <v>102</v>
      </c>
      <c r="F57" s="335">
        <v>1089999.10705084</v>
      </c>
    </row>
    <row r="58" spans="1:6">
      <c r="A58" s="1212" t="s">
        <v>49</v>
      </c>
      <c r="B58" s="1212" t="s">
        <v>51</v>
      </c>
      <c r="C58" s="335">
        <v>8</v>
      </c>
      <c r="D58" s="335">
        <v>256273.582408911</v>
      </c>
      <c r="E58" s="335">
        <v>25</v>
      </c>
      <c r="F58" s="335">
        <v>432069.78212685598</v>
      </c>
    </row>
    <row r="59" spans="1:6">
      <c r="A59" s="1212" t="s">
        <v>49</v>
      </c>
      <c r="B59" s="1212" t="s">
        <v>52</v>
      </c>
      <c r="C59" s="335">
        <v>28</v>
      </c>
      <c r="D59" s="335">
        <v>1048078.58910174</v>
      </c>
      <c r="E59" s="335">
        <v>132</v>
      </c>
      <c r="F59" s="335">
        <v>4174270.7229250399</v>
      </c>
    </row>
    <row r="60" spans="1:6">
      <c r="A60" s="1212" t="s">
        <v>49</v>
      </c>
      <c r="B60" s="1212" t="s">
        <v>53</v>
      </c>
      <c r="C60" s="335">
        <v>20</v>
      </c>
      <c r="D60" s="335">
        <v>698273.23417676403</v>
      </c>
      <c r="E60" s="335">
        <v>57</v>
      </c>
      <c r="F60" s="335">
        <v>931287.90008822596</v>
      </c>
    </row>
    <row r="61" spans="1:6">
      <c r="A61" s="1212" t="s">
        <v>49</v>
      </c>
      <c r="B61" s="1212" t="s">
        <v>54</v>
      </c>
      <c r="C61" s="335">
        <v>55</v>
      </c>
      <c r="D61" s="335">
        <v>4921933.7358807204</v>
      </c>
      <c r="E61" s="335">
        <v>150</v>
      </c>
      <c r="F61" s="335">
        <v>1722978.0379015</v>
      </c>
    </row>
    <row r="62" spans="1:6">
      <c r="A62" s="1212" t="s">
        <v>49</v>
      </c>
      <c r="B62" s="1212" t="s">
        <v>55</v>
      </c>
      <c r="C62" s="335">
        <v>0</v>
      </c>
      <c r="D62" s="335">
        <v>0</v>
      </c>
      <c r="E62" s="335">
        <v>11</v>
      </c>
      <c r="F62" s="335">
        <v>228509.052111333</v>
      </c>
    </row>
    <row r="63" spans="1:6">
      <c r="A63" s="1212" t="s">
        <v>49</v>
      </c>
      <c r="B63" s="1212" t="s">
        <v>29</v>
      </c>
      <c r="C63" s="335">
        <v>95</v>
      </c>
      <c r="D63" s="335">
        <v>3470515.2836127598</v>
      </c>
      <c r="E63" s="335">
        <v>132</v>
      </c>
      <c r="F63" s="335">
        <v>1740730.61667666</v>
      </c>
    </row>
    <row r="64" spans="1:6">
      <c r="A64" s="1212" t="s">
        <v>56</v>
      </c>
      <c r="B64" s="1212" t="s">
        <v>57</v>
      </c>
      <c r="C64" s="335">
        <v>0</v>
      </c>
      <c r="D64" s="335">
        <v>0</v>
      </c>
      <c r="E64" s="335">
        <v>0</v>
      </c>
      <c r="F64" s="335">
        <v>0</v>
      </c>
    </row>
    <row r="65" spans="1:6">
      <c r="A65" s="1212" t="s">
        <v>56</v>
      </c>
      <c r="B65" s="1212" t="s">
        <v>29</v>
      </c>
      <c r="C65" s="335">
        <v>1</v>
      </c>
      <c r="D65" s="335">
        <v>11000.1269551392</v>
      </c>
      <c r="E65" s="335">
        <v>3</v>
      </c>
      <c r="F65" s="335">
        <v>85852.670796214006</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6</v>
      </c>
      <c r="F68" s="335">
        <v>104406.808517265</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56463714</v>
      </c>
      <c r="E73" s="335">
        <v>62889025.724979915</v>
      </c>
    </row>
    <row r="74" spans="1:6">
      <c r="A74" s="1212" t="s">
        <v>64</v>
      </c>
      <c r="B74" s="1212" t="s">
        <v>727</v>
      </c>
      <c r="C74" s="1212" t="s">
        <v>728</v>
      </c>
      <c r="D74" s="335">
        <v>5954083.7065724758</v>
      </c>
      <c r="E74" s="335">
        <v>6625297.7013071608</v>
      </c>
    </row>
    <row r="75" spans="1:6">
      <c r="A75" s="1212" t="s">
        <v>65</v>
      </c>
      <c r="B75" s="1212" t="s">
        <v>725</v>
      </c>
      <c r="C75" s="1212" t="s">
        <v>729</v>
      </c>
      <c r="D75" s="335">
        <v>28211452</v>
      </c>
      <c r="E75" s="335">
        <v>30735783.947697274</v>
      </c>
    </row>
    <row r="76" spans="1:6">
      <c r="A76" s="1212" t="s">
        <v>65</v>
      </c>
      <c r="B76" s="1212" t="s">
        <v>727</v>
      </c>
      <c r="C76" s="1212" t="s">
        <v>730</v>
      </c>
      <c r="D76" s="335">
        <v>1064753.7065724758</v>
      </c>
      <c r="E76" s="335">
        <v>1189075.6243224654</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244260.58685504837</v>
      </c>
      <c r="C83" s="335">
        <v>243765.52632806424</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3052.7994307403505</v>
      </c>
    </row>
    <row r="92" spans="1:6">
      <c r="A92" s="1208" t="s">
        <v>69</v>
      </c>
      <c r="B92" s="338">
        <v>362.48016439975356</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1016</v>
      </c>
    </row>
    <row r="98" spans="1:6">
      <c r="A98" s="1212" t="s">
        <v>72</v>
      </c>
      <c r="B98" s="335">
        <v>1</v>
      </c>
    </row>
    <row r="99" spans="1:6">
      <c r="A99" s="1212" t="s">
        <v>73</v>
      </c>
      <c r="B99" s="335">
        <v>101</v>
      </c>
    </row>
    <row r="100" spans="1:6">
      <c r="A100" s="1212" t="s">
        <v>74</v>
      </c>
      <c r="B100" s="335">
        <v>581</v>
      </c>
    </row>
    <row r="101" spans="1:6">
      <c r="A101" s="1212" t="s">
        <v>75</v>
      </c>
      <c r="B101" s="335">
        <v>141</v>
      </c>
    </row>
    <row r="102" spans="1:6">
      <c r="A102" s="1212" t="s">
        <v>76</v>
      </c>
      <c r="B102" s="335">
        <v>117</v>
      </c>
    </row>
    <row r="103" spans="1:6">
      <c r="A103" s="1212" t="s">
        <v>77</v>
      </c>
      <c r="B103" s="335">
        <v>374</v>
      </c>
    </row>
    <row r="104" spans="1:6">
      <c r="A104" s="1212" t="s">
        <v>78</v>
      </c>
      <c r="B104" s="335">
        <v>4020</v>
      </c>
    </row>
    <row r="105" spans="1:6">
      <c r="A105" s="1208" t="s">
        <v>79</v>
      </c>
      <c r="B105" s="1208">
        <v>3</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32</v>
      </c>
      <c r="C123" s="335">
        <v>32</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113</v>
      </c>
    </row>
    <row r="130" spans="1:6">
      <c r="A130" s="1212" t="s">
        <v>295</v>
      </c>
      <c r="B130" s="335">
        <v>1</v>
      </c>
    </row>
    <row r="131" spans="1:6">
      <c r="A131" s="1212" t="s">
        <v>296</v>
      </c>
      <c r="B131" s="335">
        <v>1</v>
      </c>
    </row>
    <row r="132" spans="1:6">
      <c r="A132" s="1208" t="s">
        <v>297</v>
      </c>
      <c r="B132" s="338">
        <v>7</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49778.786981003374</v>
      </c>
      <c r="C3" s="43" t="s">
        <v>170</v>
      </c>
      <c r="D3" s="43"/>
      <c r="E3" s="156"/>
      <c r="F3" s="43"/>
      <c r="G3" s="43"/>
      <c r="H3" s="43"/>
      <c r="I3" s="43"/>
      <c r="J3" s="43"/>
      <c r="K3" s="96"/>
    </row>
    <row r="4" spans="1:11">
      <c r="A4" s="366" t="s">
        <v>171</v>
      </c>
      <c r="B4" s="49">
        <f>IF(ISERROR('SEAP template'!B69),0,'SEAP template'!B69)</f>
        <v>3488.029595140104</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0.20551439684900041</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103.92857142857142</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1434.9079999999999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1434.9079999999999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0.20551439684900041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294.89425215380544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30920.485345698402</v>
      </c>
      <c r="C5" s="17">
        <f>IF(ISERROR('Eigen informatie GS &amp; warmtenet'!B57),0,'Eigen informatie GS &amp; warmtenet'!B57)</f>
        <v>0</v>
      </c>
      <c r="D5" s="30">
        <f>(SUM(HH_hh_gas_kWh,HH_rest_gas_kWh)/1000)*0.902</f>
        <v>48034.88285949688</v>
      </c>
      <c r="E5" s="17">
        <f>B46*B57</f>
        <v>4393.3372806163461</v>
      </c>
      <c r="F5" s="17">
        <f>B51*B62</f>
        <v>57684.429087078293</v>
      </c>
      <c r="G5" s="18"/>
      <c r="H5" s="17"/>
      <c r="I5" s="17"/>
      <c r="J5" s="17">
        <f>B50*B61+C50*C61</f>
        <v>7355.4998784569107</v>
      </c>
      <c r="K5" s="17"/>
      <c r="L5" s="17"/>
      <c r="M5" s="17"/>
      <c r="N5" s="17">
        <f>B48*B59+C48*C59</f>
        <v>22993.194426251939</v>
      </c>
      <c r="O5" s="17">
        <f>B69*B70*B71</f>
        <v>226.68333333333334</v>
      </c>
      <c r="P5" s="17">
        <f>B77*B78*B79/1000-B77*B78*B79/1000/B80</f>
        <v>743.6</v>
      </c>
    </row>
    <row r="6" spans="1:16">
      <c r="A6" s="16" t="s">
        <v>634</v>
      </c>
      <c r="B6" s="831">
        <f>kWh_PV_kleiner_dan_10kW</f>
        <v>3052.7994307403505</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33973.284776438755</v>
      </c>
      <c r="C8" s="21">
        <f>C5</f>
        <v>0</v>
      </c>
      <c r="D8" s="21">
        <f>D5</f>
        <v>48034.88285949688</v>
      </c>
      <c r="E8" s="21">
        <f>E5</f>
        <v>4393.3372806163461</v>
      </c>
      <c r="F8" s="21">
        <f>F5</f>
        <v>57684.429087078293</v>
      </c>
      <c r="G8" s="21"/>
      <c r="H8" s="21"/>
      <c r="I8" s="21"/>
      <c r="J8" s="21">
        <f>J5</f>
        <v>7355.4998784569107</v>
      </c>
      <c r="K8" s="21"/>
      <c r="L8" s="21">
        <f>L5</f>
        <v>0</v>
      </c>
      <c r="M8" s="21">
        <f>M5</f>
        <v>0</v>
      </c>
      <c r="N8" s="21">
        <f>N5</f>
        <v>22993.194426251939</v>
      </c>
      <c r="O8" s="21">
        <f>O5</f>
        <v>226.68333333333334</v>
      </c>
      <c r="P8" s="21">
        <f>P5</f>
        <v>743.6</v>
      </c>
    </row>
    <row r="9" spans="1:16">
      <c r="B9" s="19"/>
      <c r="C9" s="19"/>
      <c r="D9" s="261"/>
      <c r="E9" s="19"/>
      <c r="F9" s="19"/>
      <c r="G9" s="19"/>
      <c r="H9" s="19"/>
      <c r="I9" s="19"/>
      <c r="J9" s="19"/>
      <c r="K9" s="19"/>
      <c r="L9" s="19"/>
      <c r="M9" s="19"/>
      <c r="N9" s="19"/>
      <c r="O9" s="19"/>
      <c r="P9" s="19"/>
    </row>
    <row r="10" spans="1:16">
      <c r="A10" s="24" t="s">
        <v>214</v>
      </c>
      <c r="B10" s="25">
        <f ca="1">'EF ele_warmte'!B12</f>
        <v>0.20551439684900041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6981.999129809139</v>
      </c>
      <c r="C12" s="23">
        <f ca="1">C10*C8</f>
        <v>0</v>
      </c>
      <c r="D12" s="23">
        <f>D8*D10</f>
        <v>9703.0463376183707</v>
      </c>
      <c r="E12" s="23">
        <f>E10*E8</f>
        <v>997.28756269991061</v>
      </c>
      <c r="F12" s="23">
        <f>F10*F8</f>
        <v>15401.742566249904</v>
      </c>
      <c r="G12" s="23"/>
      <c r="H12" s="23"/>
      <c r="I12" s="23"/>
      <c r="J12" s="23">
        <f>J10*J8</f>
        <v>2603.8469569737463</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1016</v>
      </c>
      <c r="C18" s="168" t="s">
        <v>111</v>
      </c>
      <c r="D18" s="230"/>
      <c r="E18" s="15"/>
    </row>
    <row r="19" spans="1:7">
      <c r="A19" s="173" t="s">
        <v>72</v>
      </c>
      <c r="B19" s="37">
        <f>aantalw2001_ander</f>
        <v>1</v>
      </c>
      <c r="C19" s="168" t="s">
        <v>111</v>
      </c>
      <c r="D19" s="231"/>
      <c r="E19" s="15"/>
    </row>
    <row r="20" spans="1:7">
      <c r="A20" s="173" t="s">
        <v>73</v>
      </c>
      <c r="B20" s="37">
        <f>aantalw2001_propaan</f>
        <v>101</v>
      </c>
      <c r="C20" s="169">
        <f>IF(ISERROR(B20/SUM($B$20,$B$21,$B$22)*100),0,B20/SUM($B$20,$B$21,$B$22)*100)</f>
        <v>12.272174969623331</v>
      </c>
      <c r="D20" s="231"/>
      <c r="E20" s="15"/>
    </row>
    <row r="21" spans="1:7">
      <c r="A21" s="173" t="s">
        <v>74</v>
      </c>
      <c r="B21" s="37">
        <f>aantalw2001_elektriciteit</f>
        <v>581</v>
      </c>
      <c r="C21" s="169">
        <f>IF(ISERROR(B21/SUM($B$20,$B$21,$B$22)*100),0,B21/SUM($B$20,$B$21,$B$22)*100)</f>
        <v>70.59538274605103</v>
      </c>
      <c r="D21" s="231"/>
      <c r="E21" s="15"/>
    </row>
    <row r="22" spans="1:7">
      <c r="A22" s="173" t="s">
        <v>75</v>
      </c>
      <c r="B22" s="37">
        <f>aantalw2001_hout</f>
        <v>141</v>
      </c>
      <c r="C22" s="169">
        <f>IF(ISERROR(B22/SUM($B$20,$B$21,$B$22)*100),0,B22/SUM($B$20,$B$21,$B$22)*100)</f>
        <v>17.132442284325638</v>
      </c>
      <c r="D22" s="231"/>
      <c r="E22" s="15"/>
    </row>
    <row r="23" spans="1:7">
      <c r="A23" s="173" t="s">
        <v>76</v>
      </c>
      <c r="B23" s="37">
        <f>aantalw2001_niet_gespec</f>
        <v>117</v>
      </c>
      <c r="C23" s="168" t="s">
        <v>111</v>
      </c>
      <c r="D23" s="230"/>
      <c r="E23" s="15"/>
    </row>
    <row r="24" spans="1:7">
      <c r="A24" s="173" t="s">
        <v>77</v>
      </c>
      <c r="B24" s="37">
        <f>aantalw2001_steenkool</f>
        <v>374</v>
      </c>
      <c r="C24" s="168" t="s">
        <v>111</v>
      </c>
      <c r="D24" s="231"/>
      <c r="E24" s="15"/>
    </row>
    <row r="25" spans="1:7">
      <c r="A25" s="173" t="s">
        <v>78</v>
      </c>
      <c r="B25" s="37">
        <f>aantalw2001_stookolie</f>
        <v>4020</v>
      </c>
      <c r="C25" s="168" t="s">
        <v>111</v>
      </c>
      <c r="D25" s="230"/>
      <c r="E25" s="52"/>
    </row>
    <row r="26" spans="1:7">
      <c r="A26" s="173" t="s">
        <v>79</v>
      </c>
      <c r="B26" s="37">
        <f>aantalw2001_WP</f>
        <v>3</v>
      </c>
      <c r="C26" s="168" t="s">
        <v>111</v>
      </c>
      <c r="D26" s="230"/>
      <c r="E26" s="15"/>
    </row>
    <row r="27" spans="1:7" s="15" customFormat="1">
      <c r="A27" s="173"/>
      <c r="B27" s="29"/>
      <c r="C27" s="36"/>
      <c r="D27" s="230"/>
    </row>
    <row r="28" spans="1:7" s="15" customFormat="1">
      <c r="A28" s="232" t="s">
        <v>745</v>
      </c>
      <c r="B28" s="37">
        <f>aantalHuishoudens2011</f>
        <v>7167</v>
      </c>
      <c r="C28" s="36"/>
      <c r="D28" s="230"/>
    </row>
    <row r="29" spans="1:7" s="15" customFormat="1">
      <c r="A29" s="232" t="s">
        <v>746</v>
      </c>
      <c r="B29" s="37">
        <f>SUM(HH_hh_gas_aantal,HH_rest_gas_aantal)</f>
        <v>2948</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2948</v>
      </c>
      <c r="C32" s="169">
        <f>IF(ISERROR(B32/SUM($B$32,$B$34,$B$35,$B$36,$B$38,$B$39)*100),0,B32/SUM($B$32,$B$34,$B$35,$B$36,$B$38,$B$39)*100)</f>
        <v>41.358024691358025</v>
      </c>
      <c r="D32" s="235"/>
      <c r="G32" s="15"/>
    </row>
    <row r="33" spans="1:7">
      <c r="A33" s="173" t="s">
        <v>72</v>
      </c>
      <c r="B33" s="34" t="s">
        <v>111</v>
      </c>
      <c r="C33" s="169"/>
      <c r="D33" s="235"/>
      <c r="G33" s="15"/>
    </row>
    <row r="34" spans="1:7">
      <c r="A34" s="173" t="s">
        <v>73</v>
      </c>
      <c r="B34" s="33">
        <f>IF((($B$28-$B$32-$B$39-$B$77-$B$38)*C20/100)&lt;0,0,($B$28-$B$32-$B$39-$B$77-$B$38)*C20/100)</f>
        <v>210.83596597812885</v>
      </c>
      <c r="C34" s="169">
        <f>IF(ISERROR(B34/SUM($B$32,$B$34,$B$35,$B$36,$B$38,$B$39)*100),0,B34/SUM($B$32,$B$34,$B$35,$B$36,$B$38,$B$39)*100)</f>
        <v>2.9578558638906967</v>
      </c>
      <c r="D34" s="235"/>
      <c r="G34" s="15"/>
    </row>
    <row r="35" spans="1:7">
      <c r="A35" s="173" t="s">
        <v>74</v>
      </c>
      <c r="B35" s="33">
        <f>IF((($B$28-$B$32-$B$39-$B$77-$B$38)*C21/100)&lt;0,0,($B$28-$B$32-$B$39-$B$77-$B$38)*C21/100)</f>
        <v>1212.8286755771569</v>
      </c>
      <c r="C35" s="169">
        <f>IF(ISERROR(B35/SUM($B$32,$B$34,$B$35,$B$36,$B$38,$B$39)*100),0,B35/SUM($B$32,$B$34,$B$35,$B$36,$B$38,$B$39)*100)</f>
        <v>17.014992642777173</v>
      </c>
      <c r="D35" s="235"/>
      <c r="G35" s="15"/>
    </row>
    <row r="36" spans="1:7">
      <c r="A36" s="173" t="s">
        <v>75</v>
      </c>
      <c r="B36" s="33">
        <f>IF((($B$28-$B$32-$B$39-$B$77-$B$38)*C22/100)&lt;0,0,($B$28-$B$32-$B$39-$B$77-$B$38)*C22/100)</f>
        <v>294.33535844471453</v>
      </c>
      <c r="C36" s="169">
        <f>IF(ISERROR(B36/SUM($B$32,$B$34,$B$35,$B$36,$B$38,$B$39)*100),0,B36/SUM($B$32,$B$34,$B$35,$B$36,$B$38,$B$39)*100)</f>
        <v>4.1292839287979026</v>
      </c>
      <c r="D36" s="235"/>
      <c r="G36" s="15"/>
    </row>
    <row r="37" spans="1:7">
      <c r="A37" s="173" t="s">
        <v>76</v>
      </c>
      <c r="B37" s="34" t="s">
        <v>111</v>
      </c>
      <c r="C37" s="169"/>
      <c r="D37" s="175"/>
      <c r="G37" s="15"/>
    </row>
    <row r="38" spans="1:7">
      <c r="A38" s="173" t="s">
        <v>77</v>
      </c>
      <c r="B38" s="33">
        <f>IF((B24-(B29-B18)*0.1)&lt;0,0,B24-(B29-B18)*0.1)</f>
        <v>180.79999999999998</v>
      </c>
      <c r="C38" s="169">
        <f>IF(ISERROR(B38/SUM($B$32,$B$34,$B$35,$B$36,$B$38,$B$39)*100),0,B38/SUM($B$32,$B$34,$B$35,$B$36,$B$38,$B$39)*100)</f>
        <v>2.5364758698092031</v>
      </c>
      <c r="D38" s="236"/>
      <c r="G38" s="15"/>
    </row>
    <row r="39" spans="1:7">
      <c r="A39" s="173" t="s">
        <v>78</v>
      </c>
      <c r="B39" s="33">
        <f>IF((B25-(B29-B18))&lt;0,0,B25-(B29-B18)*0.9)</f>
        <v>2281.1999999999998</v>
      </c>
      <c r="C39" s="169">
        <f>IF(ISERROR(B39/SUM($B$32,$B$34,$B$35,$B$36,$B$38,$B$39)*100),0,B39/SUM($B$32,$B$34,$B$35,$B$36,$B$38,$B$39)*100)</f>
        <v>32.003367003367003</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2948</v>
      </c>
      <c r="C44" s="34" t="s">
        <v>111</v>
      </c>
      <c r="D44" s="176"/>
    </row>
    <row r="45" spans="1:7">
      <c r="A45" s="173" t="s">
        <v>72</v>
      </c>
      <c r="B45" s="33" t="str">
        <f t="shared" si="0"/>
        <v>-</v>
      </c>
      <c r="C45" s="34" t="s">
        <v>111</v>
      </c>
      <c r="D45" s="176"/>
    </row>
    <row r="46" spans="1:7">
      <c r="A46" s="173" t="s">
        <v>73</v>
      </c>
      <c r="B46" s="33">
        <f t="shared" si="0"/>
        <v>210.83596597812885</v>
      </c>
      <c r="C46" s="34" t="s">
        <v>111</v>
      </c>
      <c r="D46" s="176"/>
    </row>
    <row r="47" spans="1:7">
      <c r="A47" s="173" t="s">
        <v>74</v>
      </c>
      <c r="B47" s="33">
        <f t="shared" si="0"/>
        <v>1212.8286755771569</v>
      </c>
      <c r="C47" s="34" t="s">
        <v>111</v>
      </c>
      <c r="D47" s="176"/>
    </row>
    <row r="48" spans="1:7">
      <c r="A48" s="173" t="s">
        <v>75</v>
      </c>
      <c r="B48" s="33">
        <f t="shared" si="0"/>
        <v>294.33535844471453</v>
      </c>
      <c r="C48" s="33">
        <f>B48*10</f>
        <v>2943.3535844471453</v>
      </c>
      <c r="D48" s="236"/>
    </row>
    <row r="49" spans="1:6">
      <c r="A49" s="173" t="s">
        <v>76</v>
      </c>
      <c r="B49" s="33" t="str">
        <f t="shared" si="0"/>
        <v>-</v>
      </c>
      <c r="C49" s="34" t="s">
        <v>111</v>
      </c>
      <c r="D49" s="236"/>
    </row>
    <row r="50" spans="1:6">
      <c r="A50" s="173" t="s">
        <v>77</v>
      </c>
      <c r="B50" s="33">
        <f t="shared" si="0"/>
        <v>180.79999999999998</v>
      </c>
      <c r="C50" s="33">
        <f>B50*2</f>
        <v>361.59999999999997</v>
      </c>
      <c r="D50" s="236"/>
    </row>
    <row r="51" spans="1:6">
      <c r="A51" s="173" t="s">
        <v>78</v>
      </c>
      <c r="B51" s="33">
        <f t="shared" si="0"/>
        <v>2281.1999999999998</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145</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39</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10319.845218880453</v>
      </c>
      <c r="C5" s="17">
        <f>IF(ISERROR('Eigen informatie GS &amp; warmtenet'!B58),0,'Eigen informatie GS &amp; warmtenet'!B58)</f>
        <v>0</v>
      </c>
      <c r="D5" s="30">
        <f>SUM(D6:D12)</f>
        <v>9580.2670167490378</v>
      </c>
      <c r="E5" s="17">
        <f>SUM(E6:E12)</f>
        <v>146.11970564825765</v>
      </c>
      <c r="F5" s="17">
        <f>SUM(F6:F12)</f>
        <v>2077.6639287100497</v>
      </c>
      <c r="G5" s="18"/>
      <c r="H5" s="17"/>
      <c r="I5" s="17"/>
      <c r="J5" s="17">
        <f>SUM(J6:J12)</f>
        <v>0</v>
      </c>
      <c r="K5" s="17"/>
      <c r="L5" s="17"/>
      <c r="M5" s="17"/>
      <c r="N5" s="17">
        <f>SUM(N6:N12)</f>
        <v>915.05212633032249</v>
      </c>
      <c r="O5" s="17">
        <f>B38*B39*B40</f>
        <v>1.5633333333333335</v>
      </c>
      <c r="P5" s="17">
        <f>B46*B47*B48/1000-B46*B47*B48/1000/B49</f>
        <v>19.066666666666666</v>
      </c>
      <c r="R5" s="32"/>
    </row>
    <row r="6" spans="1:18">
      <c r="A6" s="32" t="s">
        <v>54</v>
      </c>
      <c r="B6" s="37">
        <f>B26</f>
        <v>1722.9780379015001</v>
      </c>
      <c r="C6" s="33"/>
      <c r="D6" s="37">
        <f>IF(ISERROR(TER_kantoor_gas_kWh/1000),0,TER_kantoor_gas_kWh/1000)*0.902</f>
        <v>4439.5842297644103</v>
      </c>
      <c r="E6" s="33">
        <f>$C$26*'E Balans VL '!I12/100/3.6*1000000</f>
        <v>6.694134452951551</v>
      </c>
      <c r="F6" s="33">
        <f>$C$26*('E Balans VL '!L12+'E Balans VL '!N12)/100/3.6*1000000</f>
        <v>262.04928171461995</v>
      </c>
      <c r="G6" s="34"/>
      <c r="H6" s="33"/>
      <c r="I6" s="33"/>
      <c r="J6" s="33">
        <f>$C$26*('E Balans VL '!D12+'E Balans VL '!E12)/100/3.6*1000000</f>
        <v>0</v>
      </c>
      <c r="K6" s="33"/>
      <c r="L6" s="33"/>
      <c r="M6" s="33"/>
      <c r="N6" s="33">
        <f>$C$26*'E Balans VL '!Y12/100/3.6*1000000</f>
        <v>0.94956730656947685</v>
      </c>
      <c r="O6" s="33"/>
      <c r="P6" s="33"/>
      <c r="R6" s="32"/>
    </row>
    <row r="7" spans="1:18">
      <c r="A7" s="32" t="s">
        <v>53</v>
      </c>
      <c r="B7" s="37">
        <f t="shared" ref="B7:B12" si="0">B27</f>
        <v>931.28790008822591</v>
      </c>
      <c r="C7" s="33"/>
      <c r="D7" s="37">
        <f>IF(ISERROR(TER_horeca_gas_kWh/1000),0,TER_horeca_gas_kWh/1000)*0.902</f>
        <v>629.84245722744117</v>
      </c>
      <c r="E7" s="33">
        <f>$C$27*'E Balans VL '!I9/100/3.6*1000000</f>
        <v>52.459696397101766</v>
      </c>
      <c r="F7" s="33">
        <f>$C$27*('E Balans VL '!L9+'E Balans VL '!N9)/100/3.6*1000000</f>
        <v>268.5276753170499</v>
      </c>
      <c r="G7" s="34"/>
      <c r="H7" s="33"/>
      <c r="I7" s="33"/>
      <c r="J7" s="33">
        <f>$C$27*('E Balans VL '!D9+'E Balans VL '!E9)/100/3.6*1000000</f>
        <v>0</v>
      </c>
      <c r="K7" s="33"/>
      <c r="L7" s="33"/>
      <c r="M7" s="33"/>
      <c r="N7" s="33">
        <f>$C$27*'E Balans VL '!Y9/100/3.6*1000000</f>
        <v>0.25712374978710345</v>
      </c>
      <c r="O7" s="33"/>
      <c r="P7" s="33"/>
      <c r="R7" s="32"/>
    </row>
    <row r="8" spans="1:18">
      <c r="A8" s="6" t="s">
        <v>52</v>
      </c>
      <c r="B8" s="37">
        <f t="shared" si="0"/>
        <v>4174.27072292504</v>
      </c>
      <c r="C8" s="33"/>
      <c r="D8" s="37">
        <f>IF(ISERROR(TER_handel_gas_kWh/1000),0,TER_handel_gas_kWh/1000)*0.902</f>
        <v>945.36688736976964</v>
      </c>
      <c r="E8" s="33">
        <f>$C$28*'E Balans VL '!I13/100/3.6*1000000</f>
        <v>60.165403009148953</v>
      </c>
      <c r="F8" s="33">
        <f>$C$28*('E Balans VL '!L13+'E Balans VL '!N13)/100/3.6*1000000</f>
        <v>725.16803677744849</v>
      </c>
      <c r="G8" s="34"/>
      <c r="H8" s="33"/>
      <c r="I8" s="33"/>
      <c r="J8" s="33">
        <f>$C$28*('E Balans VL '!D13+'E Balans VL '!E13)/100/3.6*1000000</f>
        <v>0</v>
      </c>
      <c r="K8" s="33"/>
      <c r="L8" s="33"/>
      <c r="M8" s="33"/>
      <c r="N8" s="33">
        <f>$C$28*'E Balans VL '!Y13/100/3.6*1000000</f>
        <v>12.50657977527297</v>
      </c>
      <c r="O8" s="33"/>
      <c r="P8" s="33"/>
      <c r="R8" s="32"/>
    </row>
    <row r="9" spans="1:18">
      <c r="A9" s="32" t="s">
        <v>51</v>
      </c>
      <c r="B9" s="37">
        <f t="shared" si="0"/>
        <v>432.06978212685596</v>
      </c>
      <c r="C9" s="33"/>
      <c r="D9" s="37">
        <f>IF(ISERROR(TER_gezond_gas_kWh/1000),0,TER_gezond_gas_kWh/1000)*0.902</f>
        <v>231.15877133283774</v>
      </c>
      <c r="E9" s="33">
        <f>$C$29*'E Balans VL '!I10/100/3.6*1000000</f>
        <v>0.46156251568636658</v>
      </c>
      <c r="F9" s="33">
        <f>$C$29*('E Balans VL '!L10+'E Balans VL '!N10)/100/3.6*1000000</f>
        <v>70.483712558316469</v>
      </c>
      <c r="G9" s="34"/>
      <c r="H9" s="33"/>
      <c r="I9" s="33"/>
      <c r="J9" s="33">
        <f>$C$29*('E Balans VL '!D10+'E Balans VL '!E10)/100/3.6*1000000</f>
        <v>0</v>
      </c>
      <c r="K9" s="33"/>
      <c r="L9" s="33"/>
      <c r="M9" s="33"/>
      <c r="N9" s="33">
        <f>$C$29*'E Balans VL '!Y10/100/3.6*1000000</f>
        <v>4.4479118728967313</v>
      </c>
      <c r="O9" s="33"/>
      <c r="P9" s="33"/>
      <c r="R9" s="32"/>
    </row>
    <row r="10" spans="1:18">
      <c r="A10" s="32" t="s">
        <v>50</v>
      </c>
      <c r="B10" s="37">
        <f t="shared" si="0"/>
        <v>1089.9991070508399</v>
      </c>
      <c r="C10" s="33"/>
      <c r="D10" s="37">
        <f>IF(ISERROR(TER_ander_gas_kWh/1000),0,TER_ander_gas_kWh/1000)*0.902</f>
        <v>203.90988523586879</v>
      </c>
      <c r="E10" s="33">
        <f>$C$30*'E Balans VL '!I14/100/3.6*1000000</f>
        <v>5.0127400921546066</v>
      </c>
      <c r="F10" s="33">
        <f>$C$30*('E Balans VL '!L14+'E Balans VL '!N14)/100/3.6*1000000</f>
        <v>326.70711404513838</v>
      </c>
      <c r="G10" s="34"/>
      <c r="H10" s="33"/>
      <c r="I10" s="33"/>
      <c r="J10" s="33">
        <f>$C$30*('E Balans VL '!D14+'E Balans VL '!E14)/100/3.6*1000000</f>
        <v>0</v>
      </c>
      <c r="K10" s="33"/>
      <c r="L10" s="33"/>
      <c r="M10" s="33"/>
      <c r="N10" s="33">
        <f>$C$30*'E Balans VL '!Y14/100/3.6*1000000</f>
        <v>758.71133018630769</v>
      </c>
      <c r="O10" s="33"/>
      <c r="P10" s="33"/>
      <c r="R10" s="32"/>
    </row>
    <row r="11" spans="1:18">
      <c r="A11" s="32" t="s">
        <v>55</v>
      </c>
      <c r="B11" s="37">
        <f t="shared" si="0"/>
        <v>228.50905211133301</v>
      </c>
      <c r="C11" s="33"/>
      <c r="D11" s="37">
        <f>IF(ISERROR(TER_onderwijs_gas_kWh/1000),0,TER_onderwijs_gas_kWh/1000)*0.902</f>
        <v>0</v>
      </c>
      <c r="E11" s="33">
        <f>$C$31*'E Balans VL '!I11/100/3.6*1000000</f>
        <v>0.21197219677951754</v>
      </c>
      <c r="F11" s="33">
        <f>$C$31*('E Balans VL '!L11+'E Balans VL '!N11)/100/3.6*1000000</f>
        <v>80.269978103740428</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1740.73061667666</v>
      </c>
      <c r="C12" s="33"/>
      <c r="D12" s="37">
        <f>IF(ISERROR(TER_rest_gas_kWh/1000),0,TER_rest_gas_kWh/1000)*0.902</f>
        <v>3130.4047858187096</v>
      </c>
      <c r="E12" s="33">
        <f>$C$32*'E Balans VL '!I8/100/3.6*1000000</f>
        <v>21.114196984434887</v>
      </c>
      <c r="F12" s="33">
        <f>$C$32*('E Balans VL '!L8+'E Balans VL '!N8)/100/3.6*1000000</f>
        <v>344.45813019373583</v>
      </c>
      <c r="G12" s="34"/>
      <c r="H12" s="33"/>
      <c r="I12" s="33"/>
      <c r="J12" s="33">
        <f>$C$32*('E Balans VL '!D8+'E Balans VL '!E8)/100/3.6*1000000</f>
        <v>0</v>
      </c>
      <c r="K12" s="33"/>
      <c r="L12" s="33"/>
      <c r="M12" s="33"/>
      <c r="N12" s="33">
        <f>$C$32*'E Balans VL '!Y8/100/3.6*1000000</f>
        <v>138.17961343948858</v>
      </c>
      <c r="O12" s="33"/>
      <c r="P12" s="33"/>
      <c r="R12" s="32"/>
    </row>
    <row r="13" spans="1:18">
      <c r="A13" s="16" t="s">
        <v>497</v>
      </c>
      <c r="B13" s="249">
        <f ca="1">'lokale energieproductie'!N90+'lokale energieproductie'!N59</f>
        <v>29.099999999999994</v>
      </c>
      <c r="C13" s="249">
        <f ca="1">'lokale energieproductie'!O90+'lokale energieproductie'!O59</f>
        <v>41.571428571428562</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-83.142857142857139</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10348.945218880453</v>
      </c>
      <c r="C16" s="21">
        <f t="shared" ca="1" si="1"/>
        <v>41.571428571428562</v>
      </c>
      <c r="D16" s="21">
        <f t="shared" ca="1" si="1"/>
        <v>9580.2670167490378</v>
      </c>
      <c r="E16" s="21">
        <f t="shared" si="1"/>
        <v>146.11970564825765</v>
      </c>
      <c r="F16" s="21">
        <f t="shared" ca="1" si="1"/>
        <v>2077.6639287100497</v>
      </c>
      <c r="G16" s="21">
        <f t="shared" si="1"/>
        <v>0</v>
      </c>
      <c r="H16" s="21">
        <f t="shared" si="1"/>
        <v>0</v>
      </c>
      <c r="I16" s="21">
        <f t="shared" si="1"/>
        <v>0</v>
      </c>
      <c r="J16" s="21">
        <f t="shared" si="1"/>
        <v>0</v>
      </c>
      <c r="K16" s="21">
        <f t="shared" si="1"/>
        <v>0</v>
      </c>
      <c r="L16" s="21">
        <f t="shared" ca="1" si="1"/>
        <v>0</v>
      </c>
      <c r="M16" s="21">
        <f t="shared" si="1"/>
        <v>0</v>
      </c>
      <c r="N16" s="21">
        <f t="shared" ca="1" si="1"/>
        <v>831.90926918746538</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0.20551439684900041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2126.8572346815631</v>
      </c>
      <c r="C20" s="23">
        <f t="shared" ref="C20:P20" ca="1" si="2">C16*C18</f>
        <v>0</v>
      </c>
      <c r="D20" s="23">
        <f t="shared" ca="1" si="2"/>
        <v>1935.2139373833058</v>
      </c>
      <c r="E20" s="23">
        <f t="shared" si="2"/>
        <v>33.169173182154488</v>
      </c>
      <c r="F20" s="23">
        <f t="shared" ca="1" si="2"/>
        <v>554.73626896558335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1722.9780379015001</v>
      </c>
      <c r="C26" s="39">
        <f>IF(ISERROR(B26*3.6/1000000/'E Balans VL '!Z12*100),0,B26*3.6/1000000/'E Balans VL '!Z12*100)</f>
        <v>3.6596906977400548E-2</v>
      </c>
      <c r="D26" s="239" t="s">
        <v>692</v>
      </c>
      <c r="F26" s="6"/>
    </row>
    <row r="27" spans="1:18">
      <c r="A27" s="233" t="s">
        <v>53</v>
      </c>
      <c r="B27" s="33">
        <f>IF(ISERROR(TER_horeca_ele_kWh/1000),0,TER_horeca_ele_kWh/1000)</f>
        <v>931.28790008822591</v>
      </c>
      <c r="C27" s="39">
        <f>IF(ISERROR(B27*3.6/1000000/'E Balans VL '!Z9*100),0,B27*3.6/1000000/'E Balans VL '!Z9*100)</f>
        <v>7.2413305848087028E-2</v>
      </c>
      <c r="D27" s="239" t="s">
        <v>692</v>
      </c>
      <c r="F27" s="6"/>
    </row>
    <row r="28" spans="1:18">
      <c r="A28" s="173" t="s">
        <v>52</v>
      </c>
      <c r="B28" s="33">
        <f>IF(ISERROR(TER_handel_ele_kWh/1000),0,TER_handel_ele_kWh/1000)</f>
        <v>4174.27072292504</v>
      </c>
      <c r="C28" s="39">
        <f>IF(ISERROR(B28*3.6/1000000/'E Balans VL '!Z13*100),0,B28*3.6/1000000/'E Balans VL '!Z13*100)</f>
        <v>0.11943079800809143</v>
      </c>
      <c r="D28" s="239" t="s">
        <v>692</v>
      </c>
      <c r="F28" s="6"/>
    </row>
    <row r="29" spans="1:18">
      <c r="A29" s="233" t="s">
        <v>51</v>
      </c>
      <c r="B29" s="33">
        <f>IF(ISERROR(TER_gezond_ele_kWh/1000),0,TER_gezond_ele_kWh/1000)</f>
        <v>432.06978212685596</v>
      </c>
      <c r="C29" s="39">
        <f>IF(ISERROR(B29*3.6/1000000/'E Balans VL '!Z10*100),0,B29*3.6/1000000/'E Balans VL '!Z10*100)</f>
        <v>4.7105646349436682E-2</v>
      </c>
      <c r="D29" s="239" t="s">
        <v>692</v>
      </c>
      <c r="F29" s="6"/>
    </row>
    <row r="30" spans="1:18">
      <c r="A30" s="233" t="s">
        <v>50</v>
      </c>
      <c r="B30" s="33">
        <f>IF(ISERROR(TER_ander_ele_kWh/1000),0,TER_ander_ele_kWh/1000)</f>
        <v>1089.9991070508399</v>
      </c>
      <c r="C30" s="39">
        <f>IF(ISERROR(B30*3.6/1000000/'E Balans VL '!Z14*100),0,B30*3.6/1000000/'E Balans VL '!Z14*100)</f>
        <v>7.9763662049620321E-2</v>
      </c>
      <c r="D30" s="239" t="s">
        <v>692</v>
      </c>
      <c r="F30" s="6"/>
    </row>
    <row r="31" spans="1:18">
      <c r="A31" s="233" t="s">
        <v>55</v>
      </c>
      <c r="B31" s="33">
        <f>IF(ISERROR(TER_onderwijs_ele_kWh/1000),0,TER_onderwijs_ele_kWh/1000)</f>
        <v>228.50905211133301</v>
      </c>
      <c r="C31" s="39">
        <f>IF(ISERROR(B31*3.6/1000000/'E Balans VL '!Z11*100),0,B31*3.6/1000000/'E Balans VL '!Z11*100)</f>
        <v>4.5896212802704249E-2</v>
      </c>
      <c r="D31" s="239" t="s">
        <v>692</v>
      </c>
    </row>
    <row r="32" spans="1:18">
      <c r="A32" s="233" t="s">
        <v>260</v>
      </c>
      <c r="B32" s="33">
        <f>IF(ISERROR(TER_rest_ele_kWh/1000),0,TER_rest_ele_kWh/1000)</f>
        <v>1740.73061667666</v>
      </c>
      <c r="C32" s="39">
        <f>IF(ISERROR(B32*3.6/1000000/'E Balans VL '!Z8*100),0,B32*3.6/1000000/'E Balans VL '!Z8*100)</f>
        <v>1.4185898130178131E-2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2922.9225075923587</v>
      </c>
      <c r="C5" s="17">
        <f>IF(ISERROR('Eigen informatie GS &amp; warmtenet'!B59),0,'Eigen informatie GS &amp; warmtenet'!B59)</f>
        <v>0</v>
      </c>
      <c r="D5" s="30">
        <f>SUM(D6:D15)</f>
        <v>1732.27466782992</v>
      </c>
      <c r="E5" s="17">
        <f>SUM(E6:E15)</f>
        <v>366.41780844942974</v>
      </c>
      <c r="F5" s="17">
        <f>SUM(F6:F15)</f>
        <v>1584.91570761565</v>
      </c>
      <c r="G5" s="18"/>
      <c r="H5" s="17"/>
      <c r="I5" s="17"/>
      <c r="J5" s="17">
        <f>SUM(J6:J15)</f>
        <v>3.8896567323496729</v>
      </c>
      <c r="K5" s="17"/>
      <c r="L5" s="17"/>
      <c r="M5" s="17"/>
      <c r="N5" s="17">
        <f>SUM(N6:N15)</f>
        <v>826.58726056283649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35.407096483594003</v>
      </c>
      <c r="C8" s="33"/>
      <c r="D8" s="37">
        <f>IF( ISERROR(IND_metaal_Gas_kWH/1000),0,IND_metaal_Gas_kWH/1000)*0.902</f>
        <v>0</v>
      </c>
      <c r="E8" s="33">
        <f>C30*'E Balans VL '!I18/100/3.6*1000000</f>
        <v>1.0170247129448013</v>
      </c>
      <c r="F8" s="33">
        <f>C30*'E Balans VL '!L18/100/3.6*1000000+C30*'E Balans VL '!N18/100/3.6*1000000</f>
        <v>9.0812392717124997</v>
      </c>
      <c r="G8" s="34"/>
      <c r="H8" s="33"/>
      <c r="I8" s="33"/>
      <c r="J8" s="40">
        <f>C30*'E Balans VL '!D18/100/3.6*1000000+C30*'E Balans VL '!E18/100/3.6*1000000</f>
        <v>0</v>
      </c>
      <c r="K8" s="33"/>
      <c r="L8" s="33"/>
      <c r="M8" s="33"/>
      <c r="N8" s="33">
        <f>C30*'E Balans VL '!Y18/100/3.6*1000000</f>
        <v>0.96137494565341675</v>
      </c>
      <c r="O8" s="33"/>
      <c r="P8" s="33"/>
      <c r="R8" s="32"/>
    </row>
    <row r="9" spans="1:18">
      <c r="A9" s="6" t="s">
        <v>33</v>
      </c>
      <c r="B9" s="37">
        <f t="shared" si="0"/>
        <v>912.80039186353099</v>
      </c>
      <c r="C9" s="33"/>
      <c r="D9" s="37">
        <f>IF( ISERROR(IND_andere_gas_kWh/1000),0,IND_andere_gas_kWh/1000)*0.902</f>
        <v>476.83158347132917</v>
      </c>
      <c r="E9" s="33">
        <f>C31*'E Balans VL '!I19/100/3.6*1000000</f>
        <v>247.07262301730418</v>
      </c>
      <c r="F9" s="33">
        <f>C31*'E Balans VL '!L19/100/3.6*1000000+C31*'E Balans VL '!N19/100/3.6*1000000</f>
        <v>608.02165544021159</v>
      </c>
      <c r="G9" s="34"/>
      <c r="H9" s="33"/>
      <c r="I9" s="33"/>
      <c r="J9" s="40">
        <f>C31*'E Balans VL '!D19/100/3.6*1000000+C31*'E Balans VL '!E19/100/3.6*1000000</f>
        <v>0</v>
      </c>
      <c r="K9" s="33"/>
      <c r="L9" s="33"/>
      <c r="M9" s="33"/>
      <c r="N9" s="33">
        <f>C31*'E Balans VL '!Y19/100/3.6*1000000</f>
        <v>298.01416503082186</v>
      </c>
      <c r="O9" s="33"/>
      <c r="P9" s="33"/>
      <c r="R9" s="32"/>
    </row>
    <row r="10" spans="1:18">
      <c r="A10" s="6" t="s">
        <v>41</v>
      </c>
      <c r="B10" s="37">
        <f t="shared" si="0"/>
        <v>407.55275496893199</v>
      </c>
      <c r="C10" s="33"/>
      <c r="D10" s="37">
        <f>IF( ISERROR(IND_voed_gas_kWh/1000),0,IND_voed_gas_kWh/1000)*0.902</f>
        <v>508.24517481081426</v>
      </c>
      <c r="E10" s="33">
        <f>C32*'E Balans VL '!I20/100/3.6*1000000</f>
        <v>33.240939023356106</v>
      </c>
      <c r="F10" s="33">
        <f>C32*'E Balans VL '!L20/100/3.6*1000000+C32*'E Balans VL '!N20/100/3.6*1000000</f>
        <v>607.69813408453035</v>
      </c>
      <c r="G10" s="34"/>
      <c r="H10" s="33"/>
      <c r="I10" s="33"/>
      <c r="J10" s="40">
        <f>C32*'E Balans VL '!D20/100/3.6*1000000+C32*'E Balans VL '!E20/100/3.6*1000000</f>
        <v>5.3914282455591045E-3</v>
      </c>
      <c r="K10" s="33"/>
      <c r="L10" s="33"/>
      <c r="M10" s="33"/>
      <c r="N10" s="33">
        <f>C32*'E Balans VL '!Y20/100/3.6*1000000</f>
        <v>119.7246184238203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51.684308204832</v>
      </c>
      <c r="C13" s="33"/>
      <c r="D13" s="37">
        <f>IF( ISERROR(IND_papier_gas_kWh/1000),0,IND_papier_gas_kWh/1000)*0.902</f>
        <v>0</v>
      </c>
      <c r="E13" s="33">
        <f>C35*'E Balans VL '!I23/100/3.6*1000000</f>
        <v>0.54148728576418126</v>
      </c>
      <c r="F13" s="33">
        <f>C35*'E Balans VL '!L23/100/3.6*1000000+C35*'E Balans VL '!N23/100/3.6*1000000</f>
        <v>3.8566922390831619</v>
      </c>
      <c r="G13" s="34"/>
      <c r="H13" s="33"/>
      <c r="I13" s="33"/>
      <c r="J13" s="40">
        <f>C35*'E Balans VL '!D23/100/3.6*1000000+C35*'E Balans VL '!E23/100/3.6*1000000</f>
        <v>0</v>
      </c>
      <c r="K13" s="33"/>
      <c r="L13" s="33"/>
      <c r="M13" s="33"/>
      <c r="N13" s="33">
        <f>C35*'E Balans VL '!Y23/100/3.6*1000000</f>
        <v>110.46981414364861</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1515.4779560714699</v>
      </c>
      <c r="C15" s="33"/>
      <c r="D15" s="37">
        <f>IF( ISERROR(IND_rest_gas_kWh/1000),0,IND_rest_gas_kWh/1000)*0.902</f>
        <v>747.19790954777659</v>
      </c>
      <c r="E15" s="33">
        <f>C37*'E Balans VL '!I15/100/3.6*1000000</f>
        <v>84.54573441006049</v>
      </c>
      <c r="F15" s="33">
        <f>C37*'E Balans VL '!L15/100/3.6*1000000+C37*'E Balans VL '!N15/100/3.6*1000000</f>
        <v>356.25798658011246</v>
      </c>
      <c r="G15" s="34"/>
      <c r="H15" s="33"/>
      <c r="I15" s="33"/>
      <c r="J15" s="40">
        <f>C37*'E Balans VL '!D15/100/3.6*1000000+C37*'E Balans VL '!E15/100/3.6*1000000</f>
        <v>3.884265304104114</v>
      </c>
      <c r="K15" s="33"/>
      <c r="L15" s="33"/>
      <c r="M15" s="33"/>
      <c r="N15" s="33">
        <f>C37*'E Balans VL '!Y15/100/3.6*1000000</f>
        <v>297.41728801889235</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2922.9225075923587</v>
      </c>
      <c r="C18" s="21">
        <f>C5+C16</f>
        <v>0</v>
      </c>
      <c r="D18" s="21">
        <f>MAX((D5+D16),0)</f>
        <v>1732.27466782992</v>
      </c>
      <c r="E18" s="21">
        <f>MAX((E5+E16),0)</f>
        <v>366.41780844942974</v>
      </c>
      <c r="F18" s="21">
        <f>MAX((F5+F16),0)</f>
        <v>1584.91570761565</v>
      </c>
      <c r="G18" s="21"/>
      <c r="H18" s="21"/>
      <c r="I18" s="21"/>
      <c r="J18" s="21">
        <f>MAX((J5+J16),0)</f>
        <v>3.8896567323496729</v>
      </c>
      <c r="K18" s="21"/>
      <c r="L18" s="21">
        <f>MAX((L5+L16),0)</f>
        <v>0</v>
      </c>
      <c r="M18" s="21"/>
      <c r="N18" s="21">
        <f>MAX((N5+N16),0)</f>
        <v>826.58726056283649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0.20551439684900041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600.70265618421138</v>
      </c>
      <c r="C22" s="23">
        <f ca="1">C18*C20</f>
        <v>0</v>
      </c>
      <c r="D22" s="23">
        <f>D18*D20</f>
        <v>349.91948290164385</v>
      </c>
      <c r="E22" s="23">
        <f>E18*E20</f>
        <v>83.17684251802055</v>
      </c>
      <c r="F22" s="23">
        <f>F18*F20</f>
        <v>423.17249393337858</v>
      </c>
      <c r="G22" s="23"/>
      <c r="H22" s="23"/>
      <c r="I22" s="23"/>
      <c r="J22" s="23">
        <f>J18*J20</f>
        <v>1.3769384832517841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35.407096483594003</v>
      </c>
      <c r="C30" s="39">
        <f>IF(ISERROR(B30*3.6/1000000/'E Balans VL '!Z18*100),0,B30*3.6/1000000/'E Balans VL '!Z18*100)</f>
        <v>3.4839679092965614E-3</v>
      </c>
      <c r="D30" s="239" t="s">
        <v>692</v>
      </c>
    </row>
    <row r="31" spans="1:18">
      <c r="A31" s="6" t="s">
        <v>33</v>
      </c>
      <c r="B31" s="37">
        <f>IF( ISERROR(IND_ander_ele_kWh/1000),0,IND_ander_ele_kWh/1000)</f>
        <v>912.80039186353099</v>
      </c>
      <c r="C31" s="39">
        <f>IF(ISERROR(B31*3.6/1000000/'E Balans VL '!Z19*100),0,B31*3.6/1000000/'E Balans VL '!Z19*100)</f>
        <v>3.9751728931956776E-2</v>
      </c>
      <c r="D31" s="239" t="s">
        <v>692</v>
      </c>
    </row>
    <row r="32" spans="1:18">
      <c r="A32" s="173" t="s">
        <v>41</v>
      </c>
      <c r="B32" s="37">
        <f>IF( ISERROR(IND_voed_ele_kWh/1000),0,IND_voed_ele_kWh/1000)</f>
        <v>407.55275496893199</v>
      </c>
      <c r="C32" s="39">
        <f>IF(ISERROR(B32*3.6/1000000/'E Balans VL '!Z20*100),0,B32*3.6/1000000/'E Balans VL '!Z20*100)</f>
        <v>7.7327257705227137E-2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51.684308204832</v>
      </c>
      <c r="C35" s="39">
        <f>IF(ISERROR(B35*3.6/1000000/'E Balans VL '!Z22*100),0,B35*3.6/1000000/'E Balans VL '!Z22*100)</f>
        <v>7.2673327312454067E-3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1515.4779560714699</v>
      </c>
      <c r="C37" s="39">
        <f>IF(ISERROR(B37*3.6/1000000/'E Balans VL '!Z15*100),0,B37*3.6/1000000/'E Balans VL '!Z15*100)</f>
        <v>1.1678619042146472E-2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1094.1028799005414</v>
      </c>
      <c r="C5" s="17">
        <f>'Eigen informatie GS &amp; warmtenet'!B60</f>
        <v>0</v>
      </c>
      <c r="D5" s="30">
        <f>IF(ISERROR(SUM(LB_lb_gas_kWh,LB_rest_gas_kWh,onbekend_gas_kWh)/1000),0,SUM(LB_lb_gas_kWh,LB_rest_gas_kWh,onbekend_gas_kWh)/1000)*0.902</f>
        <v>1188.5469333424621</v>
      </c>
      <c r="E5" s="17">
        <f>B17*'E Balans VL '!I25/3.6*1000000/100</f>
        <v>13.787105777834675</v>
      </c>
      <c r="F5" s="17">
        <f>B17*('E Balans VL '!L25/3.6*1000000+'E Balans VL '!N25/3.6*1000000)/100</f>
        <v>3774.9290248057819</v>
      </c>
      <c r="G5" s="18"/>
      <c r="H5" s="17"/>
      <c r="I5" s="17"/>
      <c r="J5" s="17">
        <f>('E Balans VL '!D25+'E Balans VL '!E25)/3.6*1000000*landbouw!B17/100</f>
        <v>164.54063581445669</v>
      </c>
      <c r="K5" s="17"/>
      <c r="L5" s="17">
        <f>L6*(-1)</f>
        <v>0</v>
      </c>
      <c r="M5" s="17"/>
      <c r="N5" s="17">
        <f>N6*(-1)</f>
        <v>124.71428571428569</v>
      </c>
      <c r="O5" s="17"/>
      <c r="P5" s="17"/>
      <c r="R5" s="32"/>
    </row>
    <row r="6" spans="1:18">
      <c r="A6" s="16" t="s">
        <v>497</v>
      </c>
      <c r="B6" s="17" t="s">
        <v>211</v>
      </c>
      <c r="C6" s="17">
        <f>'lokale energieproductie'!O91+'lokale energieproductie'!O60</f>
        <v>62.357142857142847</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-124.71428571428569</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1094.1028799005414</v>
      </c>
      <c r="C8" s="21">
        <f>C5+C6</f>
        <v>62.357142857142847</v>
      </c>
      <c r="D8" s="21">
        <f>MAX((D5+D6),0)</f>
        <v>1188.5469333424621</v>
      </c>
      <c r="E8" s="21">
        <f>MAX((E5+E6),0)</f>
        <v>13.787105777834675</v>
      </c>
      <c r="F8" s="21">
        <f>MAX((F5+F6),0)</f>
        <v>3774.9290248057819</v>
      </c>
      <c r="G8" s="21"/>
      <c r="H8" s="21"/>
      <c r="I8" s="21"/>
      <c r="J8" s="21">
        <f>MAX((J5+J6),0)</f>
        <v>164.54063581445669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0.20551439684900041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224.8538934535141</v>
      </c>
      <c r="C12" s="23">
        <f ca="1">C8*C10</f>
        <v>0</v>
      </c>
      <c r="D12" s="23">
        <f>D8*D10</f>
        <v>240.08648053517737</v>
      </c>
      <c r="E12" s="23">
        <f>E8*E10</f>
        <v>3.1296730115684714</v>
      </c>
      <c r="F12" s="23">
        <f>F8*F10</f>
        <v>1007.9060496231438</v>
      </c>
      <c r="G12" s="23"/>
      <c r="H12" s="23"/>
      <c r="I12" s="23"/>
      <c r="J12" s="23">
        <f>J8*J10</f>
        <v>58.247385078317663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0.15259286762502672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359.7479363403603</v>
      </c>
      <c r="C26" s="249">
        <f>B26*'GWP N2O_CH4'!B5</f>
        <v>7554.7066631475664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61.642996103237515</v>
      </c>
      <c r="C27" s="249">
        <f>B27*'GWP N2O_CH4'!B5</f>
        <v>1294.5029181679879</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4.7756834552604843</v>
      </c>
      <c r="C28" s="249">
        <f>B28*'GWP N2O_CH4'!B4</f>
        <v>1480.4618711307501</v>
      </c>
      <c r="D28" s="50"/>
    </row>
    <row r="29" spans="1:4">
      <c r="A29" s="41" t="s">
        <v>277</v>
      </c>
      <c r="B29" s="249">
        <f>B34*'ha_N2O bodem landbouw'!B4</f>
        <v>16.9465957229053</v>
      </c>
      <c r="C29" s="249">
        <f>B29*'GWP N2O_CH4'!B4</f>
        <v>5253.4446741006432</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4.2313956168988113E-3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1.664495348853794E-5</v>
      </c>
      <c r="C5" s="448" t="s">
        <v>211</v>
      </c>
      <c r="D5" s="433">
        <f>SUM(D6:D11)</f>
        <v>2.9710322688503748E-5</v>
      </c>
      <c r="E5" s="433">
        <f>SUM(E6:E11)</f>
        <v>8.9841903551611405E-4</v>
      </c>
      <c r="F5" s="446" t="s">
        <v>211</v>
      </c>
      <c r="G5" s="433">
        <f>SUM(G6:G11)</f>
        <v>0.22636142509029883</v>
      </c>
      <c r="H5" s="433">
        <f>SUM(H6:H11)</f>
        <v>4.4343147751049666E-2</v>
      </c>
      <c r="I5" s="448" t="s">
        <v>211</v>
      </c>
      <c r="J5" s="448" t="s">
        <v>211</v>
      </c>
      <c r="K5" s="448" t="s">
        <v>211</v>
      </c>
      <c r="L5" s="448" t="s">
        <v>211</v>
      </c>
      <c r="M5" s="433">
        <f>SUM(M6:M11)</f>
        <v>1.2109857683864005E-2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1.1099309723468491E-5</v>
      </c>
      <c r="C6" s="949"/>
      <c r="D6" s="949">
        <f>vkm_2011_GW_PW*SUMIFS(TableVerdeelsleutelVkm[CNG],TableVerdeelsleutelVkm[Voertuigtype],"Lichte voertuigen")*SUMIFS(TableECFTransport[EnergieConsumptieFactor (PJ per km)],TableECFTransport[Index],CONCATENATE($A6,"_CNG_CNG"))</f>
        <v>1.5718793378247025E-5</v>
      </c>
      <c r="E6" s="949">
        <f>vkm_2011_GW_PW*SUMIFS(TableVerdeelsleutelVkm[LPG],TableVerdeelsleutelVkm[Voertuigtype],"Lichte voertuigen")*SUMIFS(TableECFTransport[EnergieConsumptieFactor (PJ per km)],TableECFTransport[Index],CONCATENATE($A6,"_LPG_LPG"))</f>
        <v>4.9367555237678966E-4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8.8727014605454277E-2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2.3841756016371656E-2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5.0233174304981938E-3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5.6205051943691207E-2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2.0025042952909325E-5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2.5363001468365421E-3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5.5456437650694492E-6</v>
      </c>
      <c r="C8" s="949"/>
      <c r="D8" s="436">
        <f>vkm_2011_NGW_PW*SUMIFS(TableVerdeelsleutelVkm[CNG],TableVerdeelsleutelVkm[Voertuigtype],"Lichte voertuigen")*SUMIFS(TableECFTransport[EnergieConsumptieFactor (PJ per km)],TableECFTransport[Index],CONCATENATE($A8,"_CNG_CNG"))</f>
        <v>1.3991529310256723E-5</v>
      </c>
      <c r="E8" s="436">
        <f>vkm_2011_NGW_PW*SUMIFS(TableVerdeelsleutelVkm[LPG],TableVerdeelsleutelVkm[Voertuigtype],"Lichte voertuigen")*SUMIFS(TableECFTransport[EnergieConsumptieFactor (PJ per km)],TableECFTransport[Index],CONCATENATE($A8,"_LPG_LPG"))</f>
        <v>4.0474348313932439E-4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6.8607945188294092E-2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2.0477043955791585E-2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3.9716735714293789E-3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1.2821413352859242E-2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4.322735933518324E-6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5.7856653509989026E-4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4.6235981912605393</v>
      </c>
      <c r="C14" s="21"/>
      <c r="D14" s="21">
        <f t="shared" ref="D14:M14" si="0">((D5)*10^9/3600)+D12</f>
        <v>8.2528674134732629</v>
      </c>
      <c r="E14" s="21">
        <f t="shared" si="0"/>
        <v>249.56084319892059</v>
      </c>
      <c r="F14" s="21"/>
      <c r="G14" s="21">
        <f t="shared" si="0"/>
        <v>62878.173636194122</v>
      </c>
      <c r="H14" s="21">
        <f t="shared" si="0"/>
        <v>12317.54104195824</v>
      </c>
      <c r="I14" s="21"/>
      <c r="J14" s="21"/>
      <c r="K14" s="21"/>
      <c r="L14" s="21"/>
      <c r="M14" s="21">
        <f t="shared" si="0"/>
        <v>3363.8493566288903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0.20551439684900041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0.95021599354903896</v>
      </c>
      <c r="C18" s="23"/>
      <c r="D18" s="23">
        <f t="shared" ref="D18:M18" si="1">D14*D16</f>
        <v>1.6670792175215992</v>
      </c>
      <c r="E18" s="23">
        <f t="shared" si="1"/>
        <v>56.650311406154977</v>
      </c>
      <c r="F18" s="23"/>
      <c r="G18" s="23">
        <f t="shared" si="1"/>
        <v>16788.472360863831</v>
      </c>
      <c r="H18" s="23">
        <f t="shared" si="1"/>
        <v>3067.067719447602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3.1867331559805277E-3</v>
      </c>
      <c r="H50" s="323">
        <f t="shared" si="2"/>
        <v>0</v>
      </c>
      <c r="I50" s="323">
        <f t="shared" si="2"/>
        <v>0</v>
      </c>
      <c r="J50" s="323">
        <f t="shared" si="2"/>
        <v>0</v>
      </c>
      <c r="K50" s="323">
        <f t="shared" si="2"/>
        <v>0</v>
      </c>
      <c r="L50" s="323">
        <f t="shared" si="2"/>
        <v>0</v>
      </c>
      <c r="M50" s="323">
        <f t="shared" si="2"/>
        <v>1.4172181792927382E-4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3.1867331559805277E-3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1.4172181792927382E-4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885.20365443903552</v>
      </c>
      <c r="H54" s="21">
        <f t="shared" si="3"/>
        <v>0</v>
      </c>
      <c r="I54" s="21">
        <f t="shared" si="3"/>
        <v>0</v>
      </c>
      <c r="J54" s="21">
        <f t="shared" si="3"/>
        <v>0</v>
      </c>
      <c r="K54" s="21">
        <f t="shared" si="3"/>
        <v>0</v>
      </c>
      <c r="L54" s="21">
        <f t="shared" si="3"/>
        <v>0</v>
      </c>
      <c r="M54" s="21">
        <f t="shared" si="3"/>
        <v>39.367171647020506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0.20551439684900041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236.34937573522251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3415.279595140104</v>
      </c>
      <c r="C6" s="1142"/>
      <c r="D6" s="1145"/>
      <c r="E6" s="1145"/>
      <c r="F6" s="1148"/>
      <c r="G6" s="1151"/>
      <c r="H6" s="1139"/>
      <c r="I6" s="1145"/>
      <c r="J6" s="1145"/>
      <c r="K6" s="1145"/>
      <c r="L6" s="1175"/>
      <c r="M6" s="561"/>
      <c r="N6" s="1187"/>
      <c r="O6" s="1188"/>
      <c r="Q6" s="559"/>
      <c r="R6" s="1172"/>
      <c r="S6" s="1172"/>
    </row>
    <row r="7" spans="1:19" s="549" customFormat="1">
      <c r="A7" s="562" t="s">
        <v>252</v>
      </c>
      <c r="B7" s="563">
        <f>N57</f>
        <v>72.749999999999986</v>
      </c>
      <c r="C7" s="564">
        <f>B100</f>
        <v>0</v>
      </c>
      <c r="D7" s="565"/>
      <c r="E7" s="565">
        <f>E100</f>
        <v>0</v>
      </c>
      <c r="F7" s="566"/>
      <c r="G7" s="567"/>
      <c r="H7" s="565">
        <f>I100</f>
        <v>0</v>
      </c>
      <c r="I7" s="565">
        <f>G100+F100</f>
        <v>0</v>
      </c>
      <c r="J7" s="565">
        <f>H100+D100+C100</f>
        <v>85.588235294117638</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3488.029595140104</v>
      </c>
      <c r="C9" s="580">
        <f t="shared" ref="C9:L9" si="0">SUM(C7:C8)</f>
        <v>0</v>
      </c>
      <c r="D9" s="580">
        <f t="shared" si="0"/>
        <v>0</v>
      </c>
      <c r="E9" s="580">
        <f t="shared" si="0"/>
        <v>0</v>
      </c>
      <c r="F9" s="580">
        <f t="shared" si="0"/>
        <v>0</v>
      </c>
      <c r="G9" s="580">
        <f t="shared" si="0"/>
        <v>0</v>
      </c>
      <c r="H9" s="580">
        <f t="shared" si="0"/>
        <v>0</v>
      </c>
      <c r="I9" s="580">
        <f t="shared" si="0"/>
        <v>0</v>
      </c>
      <c r="J9" s="580">
        <f t="shared" si="0"/>
        <v>85.588235294117638</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103.92857142857142</v>
      </c>
      <c r="C16" s="596">
        <f>B101</f>
        <v>0</v>
      </c>
      <c r="D16" s="597"/>
      <c r="E16" s="597">
        <f>E101</f>
        <v>0</v>
      </c>
      <c r="F16" s="598"/>
      <c r="G16" s="599"/>
      <c r="H16" s="596">
        <f>I101</f>
        <v>0</v>
      </c>
      <c r="I16" s="597">
        <f>G101+F101</f>
        <v>0</v>
      </c>
      <c r="J16" s="597">
        <f>H101+D101+C101</f>
        <v>122.26890756302519</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103.92857142857142</v>
      </c>
      <c r="C19" s="579">
        <f>SUM(C16:C18)</f>
        <v>0</v>
      </c>
      <c r="D19" s="579">
        <f t="shared" ref="D19:M19" si="1">SUM(D16:D18)</f>
        <v>0</v>
      </c>
      <c r="E19" s="579">
        <f t="shared" si="1"/>
        <v>0</v>
      </c>
      <c r="F19" s="579">
        <f t="shared" si="1"/>
        <v>0</v>
      </c>
      <c r="G19" s="579">
        <f t="shared" si="1"/>
        <v>0</v>
      </c>
      <c r="H19" s="579">
        <f t="shared" si="1"/>
        <v>0</v>
      </c>
      <c r="I19" s="579">
        <f t="shared" si="1"/>
        <v>0</v>
      </c>
      <c r="J19" s="579">
        <f t="shared" si="1"/>
        <v>122.26890756302519</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41027</v>
      </c>
      <c r="C27" s="839">
        <v>9550</v>
      </c>
      <c r="D27" s="658" t="s">
        <v>840</v>
      </c>
      <c r="E27" s="657" t="s">
        <v>841</v>
      </c>
      <c r="F27" s="657" t="s">
        <v>842</v>
      </c>
      <c r="G27" s="657" t="s">
        <v>843</v>
      </c>
      <c r="H27" s="657" t="s">
        <v>844</v>
      </c>
      <c r="I27" s="657" t="s">
        <v>841</v>
      </c>
      <c r="J27" s="838">
        <v>40920</v>
      </c>
      <c r="K27" s="838">
        <v>41030</v>
      </c>
      <c r="L27" s="657" t="s">
        <v>845</v>
      </c>
      <c r="M27" s="657">
        <v>9.6999999999999993</v>
      </c>
      <c r="N27" s="657">
        <v>43.649999999999991</v>
      </c>
      <c r="O27" s="657">
        <v>62.357142857142847</v>
      </c>
      <c r="P27" s="657">
        <v>0</v>
      </c>
      <c r="Q27" s="657">
        <v>124.71428571428569</v>
      </c>
      <c r="R27" s="657">
        <v>0</v>
      </c>
      <c r="S27" s="657">
        <v>0</v>
      </c>
      <c r="T27" s="657">
        <v>0</v>
      </c>
      <c r="U27" s="657">
        <v>0</v>
      </c>
      <c r="V27" s="657">
        <v>0</v>
      </c>
      <c r="W27" s="657">
        <v>0</v>
      </c>
      <c r="X27" s="657">
        <v>10</v>
      </c>
      <c r="Y27" s="657" t="s">
        <v>112</v>
      </c>
      <c r="Z27" s="659" t="s">
        <v>112</v>
      </c>
    </row>
    <row r="28" spans="1:26" s="611" customFormat="1" ht="63.75">
      <c r="A28" s="610"/>
      <c r="B28" s="839">
        <v>41027</v>
      </c>
      <c r="C28" s="839">
        <v>9552</v>
      </c>
      <c r="D28" s="658" t="s">
        <v>846</v>
      </c>
      <c r="E28" s="657" t="s">
        <v>847</v>
      </c>
      <c r="F28" s="657" t="s">
        <v>848</v>
      </c>
      <c r="G28" s="657" t="s">
        <v>843</v>
      </c>
      <c r="H28" s="657" t="s">
        <v>844</v>
      </c>
      <c r="I28" s="657" t="s">
        <v>849</v>
      </c>
      <c r="J28" s="838">
        <v>41379</v>
      </c>
      <c r="K28" s="838">
        <v>41379</v>
      </c>
      <c r="L28" s="657" t="s">
        <v>845</v>
      </c>
      <c r="M28" s="657">
        <v>9.6999999999999993</v>
      </c>
      <c r="N28" s="657">
        <v>29.099999999999994</v>
      </c>
      <c r="O28" s="657">
        <v>41.571428571428562</v>
      </c>
      <c r="P28" s="657">
        <v>0</v>
      </c>
      <c r="Q28" s="657">
        <v>83.142857142857139</v>
      </c>
      <c r="R28" s="657">
        <v>0</v>
      </c>
      <c r="S28" s="657">
        <v>0</v>
      </c>
      <c r="T28" s="657">
        <v>0</v>
      </c>
      <c r="U28" s="657">
        <v>0</v>
      </c>
      <c r="V28" s="657">
        <v>0</v>
      </c>
      <c r="W28" s="657">
        <v>0</v>
      </c>
      <c r="X28" s="657">
        <v>1600</v>
      </c>
      <c r="Y28" s="657" t="s">
        <v>50</v>
      </c>
      <c r="Z28" s="659" t="s">
        <v>156</v>
      </c>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19.399999999999999</v>
      </c>
      <c r="N57" s="615">
        <f>SUM(N27:N56)</f>
        <v>72.749999999999986</v>
      </c>
      <c r="O57" s="615">
        <f t="shared" ref="O57:W57" si="2">SUM(O27:O56)</f>
        <v>103.92857142857142</v>
      </c>
      <c r="P57" s="615">
        <f t="shared" si="2"/>
        <v>0</v>
      </c>
      <c r="Q57" s="615">
        <f t="shared" si="2"/>
        <v>207.85714285714283</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9.6999999999999993</v>
      </c>
      <c r="N59" s="615">
        <f ca="1">SUMIF($Z$27:AB56,"tertiair",N27:N56)</f>
        <v>29.099999999999994</v>
      </c>
      <c r="O59" s="615">
        <f ca="1">SUMIF($Z$27:AC56,"tertiair",O27:O56)</f>
        <v>41.571428571428562</v>
      </c>
      <c r="P59" s="615">
        <f ca="1">SUMIF($Z$27:AD56,"tertiair",P27:P56)</f>
        <v>0</v>
      </c>
      <c r="Q59" s="615">
        <f ca="1">SUMIF($Z$27:AE56,"tertiair",Q27:Q56)</f>
        <v>83.142857142857139</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9.6999999999999993</v>
      </c>
      <c r="N60" s="620">
        <f t="shared" ref="N60:W60" si="4">SUMIF($Z$27:$Z$56,"landbouw",N27:N56)</f>
        <v>43.649999999999991</v>
      </c>
      <c r="O60" s="620">
        <f t="shared" si="4"/>
        <v>62.357142857142847</v>
      </c>
      <c r="P60" s="620">
        <f t="shared" si="4"/>
        <v>0</v>
      </c>
      <c r="Q60" s="620">
        <f t="shared" si="4"/>
        <v>124.71428571428569</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0.41176470588235298</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85.588235294117638</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122.26890756302519</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11783.853218880453</v>
      </c>
      <c r="D10" s="704">
        <f ca="1">tertiair!C16</f>
        <v>41.571428571428562</v>
      </c>
      <c r="E10" s="704">
        <f ca="1">tertiair!D16</f>
        <v>9580.2670167490378</v>
      </c>
      <c r="F10" s="704">
        <f>tertiair!E16</f>
        <v>146.11970564825765</v>
      </c>
      <c r="G10" s="704">
        <f ca="1">tertiair!F16</f>
        <v>2077.6639287100497</v>
      </c>
      <c r="H10" s="704">
        <f>tertiair!G16</f>
        <v>0</v>
      </c>
      <c r="I10" s="704">
        <f>tertiair!H16</f>
        <v>0</v>
      </c>
      <c r="J10" s="704">
        <f>tertiair!I16</f>
        <v>0</v>
      </c>
      <c r="K10" s="704">
        <f>tertiair!J16</f>
        <v>0</v>
      </c>
      <c r="L10" s="704">
        <f>tertiair!K16</f>
        <v>0</v>
      </c>
      <c r="M10" s="704">
        <f ca="1">tertiair!L16</f>
        <v>0</v>
      </c>
      <c r="N10" s="704">
        <f>tertiair!M16</f>
        <v>0</v>
      </c>
      <c r="O10" s="704">
        <f ca="1">tertiair!N16</f>
        <v>831.90926918746538</v>
      </c>
      <c r="P10" s="704">
        <f>tertiair!O16</f>
        <v>1.5633333333333335</v>
      </c>
      <c r="Q10" s="705">
        <f>tertiair!P16</f>
        <v>19.066666666666666</v>
      </c>
      <c r="R10" s="707">
        <f ca="1">SUM(C10:Q10)</f>
        <v>24482.01456774669</v>
      </c>
      <c r="S10" s="67"/>
    </row>
    <row r="11" spans="1:19" s="459" customFormat="1">
      <c r="A11" s="858" t="s">
        <v>225</v>
      </c>
      <c r="B11" s="863"/>
      <c r="C11" s="704">
        <f>huishoudens!B8</f>
        <v>33973.284776438755</v>
      </c>
      <c r="D11" s="704">
        <f>huishoudens!C8</f>
        <v>0</v>
      </c>
      <c r="E11" s="704">
        <f>huishoudens!D8</f>
        <v>48034.88285949688</v>
      </c>
      <c r="F11" s="704">
        <f>huishoudens!E8</f>
        <v>4393.3372806163461</v>
      </c>
      <c r="G11" s="704">
        <f>huishoudens!F8</f>
        <v>57684.429087078293</v>
      </c>
      <c r="H11" s="704">
        <f>huishoudens!G8</f>
        <v>0</v>
      </c>
      <c r="I11" s="704">
        <f>huishoudens!H8</f>
        <v>0</v>
      </c>
      <c r="J11" s="704">
        <f>huishoudens!I8</f>
        <v>0</v>
      </c>
      <c r="K11" s="704">
        <f>huishoudens!J8</f>
        <v>7355.4998784569107</v>
      </c>
      <c r="L11" s="704">
        <f>huishoudens!K8</f>
        <v>0</v>
      </c>
      <c r="M11" s="704">
        <f>huishoudens!L8</f>
        <v>0</v>
      </c>
      <c r="N11" s="704">
        <f>huishoudens!M8</f>
        <v>0</v>
      </c>
      <c r="O11" s="704">
        <f>huishoudens!N8</f>
        <v>22993.194426251939</v>
      </c>
      <c r="P11" s="704">
        <f>huishoudens!O8</f>
        <v>226.68333333333334</v>
      </c>
      <c r="Q11" s="705">
        <f>huishoudens!P8</f>
        <v>743.6</v>
      </c>
      <c r="R11" s="707">
        <f>SUM(C11:Q11)</f>
        <v>175404.91164167243</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2922.9225075923587</v>
      </c>
      <c r="D13" s="704">
        <f>industrie!C18</f>
        <v>0</v>
      </c>
      <c r="E13" s="704">
        <f>industrie!D18</f>
        <v>1732.27466782992</v>
      </c>
      <c r="F13" s="704">
        <f>industrie!E18</f>
        <v>366.41780844942974</v>
      </c>
      <c r="G13" s="704">
        <f>industrie!F18</f>
        <v>1584.91570761565</v>
      </c>
      <c r="H13" s="704">
        <f>industrie!G18</f>
        <v>0</v>
      </c>
      <c r="I13" s="704">
        <f>industrie!H18</f>
        <v>0</v>
      </c>
      <c r="J13" s="704">
        <f>industrie!I18</f>
        <v>0</v>
      </c>
      <c r="K13" s="704">
        <f>industrie!J18</f>
        <v>3.8896567323496729</v>
      </c>
      <c r="L13" s="704">
        <f>industrie!K18</f>
        <v>0</v>
      </c>
      <c r="M13" s="704">
        <f>industrie!L18</f>
        <v>0</v>
      </c>
      <c r="N13" s="704">
        <f>industrie!M18</f>
        <v>0</v>
      </c>
      <c r="O13" s="704">
        <f>industrie!N18</f>
        <v>826.58726056283649</v>
      </c>
      <c r="P13" s="704">
        <f>industrie!O18</f>
        <v>0</v>
      </c>
      <c r="Q13" s="705">
        <f>industrie!P18</f>
        <v>0</v>
      </c>
      <c r="R13" s="707">
        <f>SUM(C13:Q13)</f>
        <v>7437.0076087825446</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48680.060502911569</v>
      </c>
      <c r="D15" s="709">
        <f t="shared" ref="D15:Q15" ca="1" si="0">SUM(D9:D14)</f>
        <v>41.571428571428562</v>
      </c>
      <c r="E15" s="709">
        <f t="shared" ca="1" si="0"/>
        <v>59347.424544075839</v>
      </c>
      <c r="F15" s="709">
        <f t="shared" si="0"/>
        <v>4905.8747947140337</v>
      </c>
      <c r="G15" s="709">
        <f t="shared" ca="1" si="0"/>
        <v>61347.008723403989</v>
      </c>
      <c r="H15" s="709">
        <f t="shared" si="0"/>
        <v>0</v>
      </c>
      <c r="I15" s="709">
        <f t="shared" si="0"/>
        <v>0</v>
      </c>
      <c r="J15" s="709">
        <f t="shared" si="0"/>
        <v>0</v>
      </c>
      <c r="K15" s="709">
        <f t="shared" si="0"/>
        <v>7359.3895351892606</v>
      </c>
      <c r="L15" s="709">
        <f t="shared" si="0"/>
        <v>0</v>
      </c>
      <c r="M15" s="709">
        <f t="shared" ca="1" si="0"/>
        <v>0</v>
      </c>
      <c r="N15" s="709">
        <f t="shared" si="0"/>
        <v>0</v>
      </c>
      <c r="O15" s="709">
        <f t="shared" ca="1" si="0"/>
        <v>24651.69095600224</v>
      </c>
      <c r="P15" s="709">
        <f t="shared" si="0"/>
        <v>228.24666666666667</v>
      </c>
      <c r="Q15" s="710">
        <f t="shared" si="0"/>
        <v>762.66666666666674</v>
      </c>
      <c r="R15" s="711">
        <f ca="1">SUM(R9:R14)</f>
        <v>207323.93381820168</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885.20365443903552</v>
      </c>
      <c r="I18" s="704">
        <f>transport!H54</f>
        <v>0</v>
      </c>
      <c r="J18" s="704">
        <f>transport!I54</f>
        <v>0</v>
      </c>
      <c r="K18" s="704">
        <f>transport!J54</f>
        <v>0</v>
      </c>
      <c r="L18" s="704">
        <f>transport!K54</f>
        <v>0</v>
      </c>
      <c r="M18" s="704">
        <f>transport!L54</f>
        <v>0</v>
      </c>
      <c r="N18" s="704">
        <f>transport!M54</f>
        <v>39.367171647020506</v>
      </c>
      <c r="O18" s="704">
        <f>transport!N54</f>
        <v>0</v>
      </c>
      <c r="P18" s="704">
        <f>transport!O54</f>
        <v>0</v>
      </c>
      <c r="Q18" s="705">
        <f>transport!P54</f>
        <v>0</v>
      </c>
      <c r="R18" s="707">
        <f>SUM(C18:Q18)</f>
        <v>924.57082608605606</v>
      </c>
      <c r="S18" s="67"/>
    </row>
    <row r="19" spans="1:19" s="459" customFormat="1" ht="15" thickBot="1">
      <c r="A19" s="858" t="s">
        <v>307</v>
      </c>
      <c r="B19" s="863"/>
      <c r="C19" s="713">
        <f>transport!B14</f>
        <v>4.6235981912605393</v>
      </c>
      <c r="D19" s="713">
        <f>transport!C14</f>
        <v>0</v>
      </c>
      <c r="E19" s="713">
        <f>transport!D14</f>
        <v>8.2528674134732629</v>
      </c>
      <c r="F19" s="713">
        <f>transport!E14</f>
        <v>249.56084319892059</v>
      </c>
      <c r="G19" s="713">
        <f>transport!F14</f>
        <v>0</v>
      </c>
      <c r="H19" s="713">
        <f>transport!G14</f>
        <v>62878.173636194122</v>
      </c>
      <c r="I19" s="713">
        <f>transport!H14</f>
        <v>12317.54104195824</v>
      </c>
      <c r="J19" s="713">
        <f>transport!I14</f>
        <v>0</v>
      </c>
      <c r="K19" s="713">
        <f>transport!J14</f>
        <v>0</v>
      </c>
      <c r="L19" s="713">
        <f>transport!K14</f>
        <v>0</v>
      </c>
      <c r="M19" s="713">
        <f>transport!L14</f>
        <v>0</v>
      </c>
      <c r="N19" s="713">
        <f>transport!M14</f>
        <v>3363.8493566288903</v>
      </c>
      <c r="O19" s="713">
        <f>transport!N14</f>
        <v>0</v>
      </c>
      <c r="P19" s="713">
        <f>transport!O14</f>
        <v>0</v>
      </c>
      <c r="Q19" s="714">
        <f>transport!P14</f>
        <v>0</v>
      </c>
      <c r="R19" s="715">
        <f>SUM(C19:Q19)</f>
        <v>78822.001343584911</v>
      </c>
      <c r="S19" s="67"/>
    </row>
    <row r="20" spans="1:19" s="459" customFormat="1" ht="15.75" thickBot="1">
      <c r="A20" s="716" t="s">
        <v>230</v>
      </c>
      <c r="B20" s="866"/>
      <c r="C20" s="861">
        <f>SUM(C17:C19)</f>
        <v>4.6235981912605393</v>
      </c>
      <c r="D20" s="717">
        <f t="shared" ref="D20:R20" si="1">SUM(D17:D19)</f>
        <v>0</v>
      </c>
      <c r="E20" s="717">
        <f t="shared" si="1"/>
        <v>8.2528674134732629</v>
      </c>
      <c r="F20" s="717">
        <f t="shared" si="1"/>
        <v>249.56084319892059</v>
      </c>
      <c r="G20" s="717">
        <f t="shared" si="1"/>
        <v>0</v>
      </c>
      <c r="H20" s="717">
        <f t="shared" si="1"/>
        <v>63763.377290633158</v>
      </c>
      <c r="I20" s="717">
        <f t="shared" si="1"/>
        <v>12317.54104195824</v>
      </c>
      <c r="J20" s="717">
        <f t="shared" si="1"/>
        <v>0</v>
      </c>
      <c r="K20" s="717">
        <f t="shared" si="1"/>
        <v>0</v>
      </c>
      <c r="L20" s="717">
        <f t="shared" si="1"/>
        <v>0</v>
      </c>
      <c r="M20" s="717">
        <f t="shared" si="1"/>
        <v>0</v>
      </c>
      <c r="N20" s="717">
        <f t="shared" si="1"/>
        <v>3403.2165282759106</v>
      </c>
      <c r="O20" s="717">
        <f t="shared" si="1"/>
        <v>0</v>
      </c>
      <c r="P20" s="717">
        <f t="shared" si="1"/>
        <v>0</v>
      </c>
      <c r="Q20" s="718">
        <f t="shared" si="1"/>
        <v>0</v>
      </c>
      <c r="R20" s="719">
        <f t="shared" si="1"/>
        <v>79746.572169670966</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1094.1028799005414</v>
      </c>
      <c r="D22" s="713">
        <f>+landbouw!C8</f>
        <v>62.357142857142847</v>
      </c>
      <c r="E22" s="713">
        <f>+landbouw!D8</f>
        <v>1188.5469333424621</v>
      </c>
      <c r="F22" s="713">
        <f>+landbouw!E8</f>
        <v>13.787105777834675</v>
      </c>
      <c r="G22" s="713">
        <f>+landbouw!F8</f>
        <v>3774.9290248057819</v>
      </c>
      <c r="H22" s="713">
        <f>+landbouw!G8</f>
        <v>0</v>
      </c>
      <c r="I22" s="713">
        <f>+landbouw!H8</f>
        <v>0</v>
      </c>
      <c r="J22" s="713">
        <f>+landbouw!I8</f>
        <v>0</v>
      </c>
      <c r="K22" s="713">
        <f>+landbouw!J8</f>
        <v>164.54063581445669</v>
      </c>
      <c r="L22" s="713">
        <f>+landbouw!K8</f>
        <v>0</v>
      </c>
      <c r="M22" s="713">
        <f>+landbouw!L8</f>
        <v>0</v>
      </c>
      <c r="N22" s="713">
        <f>+landbouw!M8</f>
        <v>0</v>
      </c>
      <c r="O22" s="713">
        <f>+landbouw!N8</f>
        <v>0</v>
      </c>
      <c r="P22" s="713">
        <f>+landbouw!O8</f>
        <v>0</v>
      </c>
      <c r="Q22" s="714">
        <f>+landbouw!P8</f>
        <v>0</v>
      </c>
      <c r="R22" s="715">
        <f>SUM(C22:Q22)</f>
        <v>6298.26372249822</v>
      </c>
      <c r="S22" s="67"/>
    </row>
    <row r="23" spans="1:19" s="459" customFormat="1" ht="17.25" thickTop="1" thickBot="1">
      <c r="A23" s="720" t="s">
        <v>116</v>
      </c>
      <c r="B23" s="852"/>
      <c r="C23" s="721">
        <f ca="1">C20+C15+C22</f>
        <v>49778.786981003374</v>
      </c>
      <c r="D23" s="721">
        <f t="shared" ref="D23:Q23" ca="1" si="2">D20+D15+D22</f>
        <v>103.92857142857142</v>
      </c>
      <c r="E23" s="721">
        <f t="shared" ca="1" si="2"/>
        <v>60544.224344831775</v>
      </c>
      <c r="F23" s="721">
        <f t="shared" si="2"/>
        <v>5169.2227436907888</v>
      </c>
      <c r="G23" s="721">
        <f t="shared" ca="1" si="2"/>
        <v>65121.93774820977</v>
      </c>
      <c r="H23" s="721">
        <f t="shared" si="2"/>
        <v>63763.377290633158</v>
      </c>
      <c r="I23" s="721">
        <f t="shared" si="2"/>
        <v>12317.54104195824</v>
      </c>
      <c r="J23" s="721">
        <f t="shared" si="2"/>
        <v>0</v>
      </c>
      <c r="K23" s="721">
        <f t="shared" si="2"/>
        <v>7523.9301710037171</v>
      </c>
      <c r="L23" s="721">
        <f t="shared" si="2"/>
        <v>0</v>
      </c>
      <c r="M23" s="721">
        <f t="shared" ca="1" si="2"/>
        <v>0</v>
      </c>
      <c r="N23" s="721">
        <f t="shared" si="2"/>
        <v>3403.2165282759106</v>
      </c>
      <c r="O23" s="721">
        <f t="shared" ca="1" si="2"/>
        <v>24651.69095600224</v>
      </c>
      <c r="P23" s="721">
        <f t="shared" si="2"/>
        <v>228.24666666666667</v>
      </c>
      <c r="Q23" s="722">
        <f t="shared" si="2"/>
        <v>762.66666666666674</v>
      </c>
      <c r="R23" s="723">
        <f ca="1">R20+R15+R22</f>
        <v>293368.76971037086</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2421.7514868353687</v>
      </c>
      <c r="D36" s="704">
        <f ca="1">tertiair!C20</f>
        <v>0</v>
      </c>
      <c r="E36" s="704">
        <f ca="1">tertiair!D20</f>
        <v>1935.2139373833058</v>
      </c>
      <c r="F36" s="704">
        <f>tertiair!E20</f>
        <v>33.169173182154488</v>
      </c>
      <c r="G36" s="704">
        <f ca="1">tertiair!F20</f>
        <v>554.73626896558335</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4944.8708663664129</v>
      </c>
    </row>
    <row r="37" spans="1:18">
      <c r="A37" s="873" t="s">
        <v>225</v>
      </c>
      <c r="B37" s="880"/>
      <c r="C37" s="704">
        <f ca="1">huishoudens!B12</f>
        <v>6981.999129809139</v>
      </c>
      <c r="D37" s="704">
        <f ca="1">huishoudens!C12</f>
        <v>0</v>
      </c>
      <c r="E37" s="704">
        <f>huishoudens!D12</f>
        <v>9703.0463376183707</v>
      </c>
      <c r="F37" s="704">
        <f>huishoudens!E12</f>
        <v>997.28756269991061</v>
      </c>
      <c r="G37" s="704">
        <f>huishoudens!F12</f>
        <v>15401.742566249904</v>
      </c>
      <c r="H37" s="704">
        <f>huishoudens!G12</f>
        <v>0</v>
      </c>
      <c r="I37" s="704">
        <f>huishoudens!H12</f>
        <v>0</v>
      </c>
      <c r="J37" s="704">
        <f>huishoudens!I12</f>
        <v>0</v>
      </c>
      <c r="K37" s="704">
        <f>huishoudens!J12</f>
        <v>2603.8469569737463</v>
      </c>
      <c r="L37" s="704">
        <f>huishoudens!K12</f>
        <v>0</v>
      </c>
      <c r="M37" s="704">
        <f>huishoudens!L12</f>
        <v>0</v>
      </c>
      <c r="N37" s="704">
        <f>huishoudens!M12</f>
        <v>0</v>
      </c>
      <c r="O37" s="704">
        <f>huishoudens!N12</f>
        <v>0</v>
      </c>
      <c r="P37" s="704">
        <f>huishoudens!O12</f>
        <v>0</v>
      </c>
      <c r="Q37" s="814">
        <f>huishoudens!P12</f>
        <v>0</v>
      </c>
      <c r="R37" s="905">
        <f ca="1">SUM(C37:Q37)</f>
        <v>35687.922553351076</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600.70265618421138</v>
      </c>
      <c r="D39" s="704">
        <f ca="1">industrie!C22</f>
        <v>0</v>
      </c>
      <c r="E39" s="704">
        <f>industrie!D22</f>
        <v>349.91948290164385</v>
      </c>
      <c r="F39" s="704">
        <f>industrie!E22</f>
        <v>83.17684251802055</v>
      </c>
      <c r="G39" s="704">
        <f>industrie!F22</f>
        <v>423.17249393337858</v>
      </c>
      <c r="H39" s="704">
        <f>industrie!G22</f>
        <v>0</v>
      </c>
      <c r="I39" s="704">
        <f>industrie!H22</f>
        <v>0</v>
      </c>
      <c r="J39" s="704">
        <f>industrie!I22</f>
        <v>0</v>
      </c>
      <c r="K39" s="704">
        <f>industrie!J22</f>
        <v>1.3769384832517841</v>
      </c>
      <c r="L39" s="704">
        <f>industrie!K22</f>
        <v>0</v>
      </c>
      <c r="M39" s="704">
        <f>industrie!L22</f>
        <v>0</v>
      </c>
      <c r="N39" s="704">
        <f>industrie!M22</f>
        <v>0</v>
      </c>
      <c r="O39" s="704">
        <f>industrie!N22</f>
        <v>0</v>
      </c>
      <c r="P39" s="704">
        <f>industrie!O22</f>
        <v>0</v>
      </c>
      <c r="Q39" s="814">
        <f>industrie!P22</f>
        <v>0</v>
      </c>
      <c r="R39" s="906">
        <f ca="1">SUM(C39:Q39)</f>
        <v>1458.348414020506</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10004.453272828719</v>
      </c>
      <c r="D41" s="749">
        <f t="shared" ref="D41:R41" ca="1" si="4">SUM(D35:D40)</f>
        <v>0</v>
      </c>
      <c r="E41" s="749">
        <f t="shared" ca="1" si="4"/>
        <v>11988.179757903319</v>
      </c>
      <c r="F41" s="749">
        <f t="shared" si="4"/>
        <v>1113.6335784000855</v>
      </c>
      <c r="G41" s="749">
        <f t="shared" ca="1" si="4"/>
        <v>16379.651329148866</v>
      </c>
      <c r="H41" s="749">
        <f t="shared" si="4"/>
        <v>0</v>
      </c>
      <c r="I41" s="749">
        <f t="shared" si="4"/>
        <v>0</v>
      </c>
      <c r="J41" s="749">
        <f t="shared" si="4"/>
        <v>0</v>
      </c>
      <c r="K41" s="749">
        <f t="shared" si="4"/>
        <v>2605.223895456998</v>
      </c>
      <c r="L41" s="749">
        <f t="shared" si="4"/>
        <v>0</v>
      </c>
      <c r="M41" s="749">
        <f t="shared" ca="1" si="4"/>
        <v>0</v>
      </c>
      <c r="N41" s="749">
        <f t="shared" si="4"/>
        <v>0</v>
      </c>
      <c r="O41" s="749">
        <f t="shared" ca="1" si="4"/>
        <v>0</v>
      </c>
      <c r="P41" s="749">
        <f t="shared" si="4"/>
        <v>0</v>
      </c>
      <c r="Q41" s="750">
        <f t="shared" si="4"/>
        <v>0</v>
      </c>
      <c r="R41" s="751">
        <f t="shared" ca="1" si="4"/>
        <v>42091.141833737995</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236.34937573522251</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236.34937573522251</v>
      </c>
    </row>
    <row r="45" spans="1:18" ht="15" thickBot="1">
      <c r="A45" s="876" t="s">
        <v>307</v>
      </c>
      <c r="B45" s="886"/>
      <c r="C45" s="713">
        <f ca="1">transport!B18</f>
        <v>0.95021599354903896</v>
      </c>
      <c r="D45" s="713">
        <f>transport!C18</f>
        <v>0</v>
      </c>
      <c r="E45" s="713">
        <f>transport!D18</f>
        <v>1.6670792175215992</v>
      </c>
      <c r="F45" s="713">
        <f>transport!E18</f>
        <v>56.650311406154977</v>
      </c>
      <c r="G45" s="713">
        <f>transport!F18</f>
        <v>0</v>
      </c>
      <c r="H45" s="713">
        <f>transport!G18</f>
        <v>16788.472360863831</v>
      </c>
      <c r="I45" s="713">
        <f>transport!H18</f>
        <v>3067.067719447602</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19914.807686928656</v>
      </c>
    </row>
    <row r="46" spans="1:18" ht="15.75" thickBot="1">
      <c r="A46" s="874" t="s">
        <v>230</v>
      </c>
      <c r="B46" s="887"/>
      <c r="C46" s="749">
        <f t="shared" ref="C46:R46" ca="1" si="5">SUM(C43:C45)</f>
        <v>0.95021599354903896</v>
      </c>
      <c r="D46" s="749">
        <f t="shared" ca="1" si="5"/>
        <v>0</v>
      </c>
      <c r="E46" s="749">
        <f t="shared" si="5"/>
        <v>1.6670792175215992</v>
      </c>
      <c r="F46" s="749">
        <f t="shared" si="5"/>
        <v>56.650311406154977</v>
      </c>
      <c r="G46" s="749">
        <f t="shared" si="5"/>
        <v>0</v>
      </c>
      <c r="H46" s="749">
        <f t="shared" si="5"/>
        <v>17024.821736599053</v>
      </c>
      <c r="I46" s="749">
        <f t="shared" si="5"/>
        <v>3067.067719447602</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20151.157062663879</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224.8538934535141</v>
      </c>
      <c r="D48" s="704">
        <f ca="1">+landbouw!C12</f>
        <v>0</v>
      </c>
      <c r="E48" s="704">
        <f>+landbouw!D12</f>
        <v>240.08648053517737</v>
      </c>
      <c r="F48" s="704">
        <f>+landbouw!E12</f>
        <v>3.1296730115684714</v>
      </c>
      <c r="G48" s="704">
        <f>+landbouw!F12</f>
        <v>1007.9060496231438</v>
      </c>
      <c r="H48" s="704">
        <f>+landbouw!G12</f>
        <v>0</v>
      </c>
      <c r="I48" s="704">
        <f>+landbouw!H12</f>
        <v>0</v>
      </c>
      <c r="J48" s="704">
        <f>+landbouw!I12</f>
        <v>0</v>
      </c>
      <c r="K48" s="704">
        <f>+landbouw!J12</f>
        <v>58.247385078317663</v>
      </c>
      <c r="L48" s="704">
        <f>+landbouw!K12</f>
        <v>0</v>
      </c>
      <c r="M48" s="704">
        <f>+landbouw!L12</f>
        <v>0</v>
      </c>
      <c r="N48" s="704">
        <f>+landbouw!M12</f>
        <v>0</v>
      </c>
      <c r="O48" s="704">
        <f>+landbouw!N12</f>
        <v>0</v>
      </c>
      <c r="P48" s="704">
        <f>+landbouw!O12</f>
        <v>0</v>
      </c>
      <c r="Q48" s="705">
        <f>+landbouw!P12</f>
        <v>0</v>
      </c>
      <c r="R48" s="747">
        <f ca="1">SUM(C48:Q48)</f>
        <v>1534.2234817017213</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10230.257382275782</v>
      </c>
      <c r="D53" s="759">
        <f t="shared" ref="D53:Q53" ca="1" si="6">D41+D46+D48</f>
        <v>0</v>
      </c>
      <c r="E53" s="759">
        <f t="shared" ca="1" si="6"/>
        <v>12229.933317656018</v>
      </c>
      <c r="F53" s="759">
        <f t="shared" si="6"/>
        <v>1173.413562817809</v>
      </c>
      <c r="G53" s="759">
        <f t="shared" ca="1" si="6"/>
        <v>17387.55737877201</v>
      </c>
      <c r="H53" s="759">
        <f t="shared" si="6"/>
        <v>17024.821736599053</v>
      </c>
      <c r="I53" s="759">
        <f t="shared" si="6"/>
        <v>3067.067719447602</v>
      </c>
      <c r="J53" s="759">
        <f t="shared" si="6"/>
        <v>0</v>
      </c>
      <c r="K53" s="759">
        <f t="shared" si="6"/>
        <v>2663.4712805353156</v>
      </c>
      <c r="L53" s="759">
        <f t="shared" si="6"/>
        <v>0</v>
      </c>
      <c r="M53" s="759">
        <f t="shared" ca="1" si="6"/>
        <v>0</v>
      </c>
      <c r="N53" s="759">
        <f t="shared" si="6"/>
        <v>0</v>
      </c>
      <c r="O53" s="759">
        <f t="shared" ca="1" si="6"/>
        <v>0</v>
      </c>
      <c r="P53" s="759">
        <f>P41+P46+P48</f>
        <v>0</v>
      </c>
      <c r="Q53" s="760">
        <f t="shared" si="6"/>
        <v>0</v>
      </c>
      <c r="R53" s="761">
        <f ca="1">R41+R46+R48</f>
        <v>63776.522378103597</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0.20551439684900041</v>
      </c>
      <c r="D55" s="824">
        <f t="shared" ca="1" si="7"/>
        <v>0</v>
      </c>
      <c r="E55" s="824">
        <f t="shared" ca="1" si="7"/>
        <v>0.20199999999999999</v>
      </c>
      <c r="F55" s="824">
        <f t="shared" si="7"/>
        <v>0.22699999999999998</v>
      </c>
      <c r="G55" s="824">
        <f t="shared" ca="1" si="7"/>
        <v>0.26700000000000002</v>
      </c>
      <c r="H55" s="824">
        <f t="shared" si="7"/>
        <v>0.26700000000000002</v>
      </c>
      <c r="I55" s="824">
        <f t="shared" si="7"/>
        <v>0.24900000000000003</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3415.279595140104</v>
      </c>
      <c r="C66" s="781">
        <f>'lokale energieproductie'!B6</f>
        <v>3415.279595140104</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72.749999999999986</v>
      </c>
      <c r="C67" s="780">
        <f>B67*IFERROR(SUM(J67:L67)/SUM(D67:M67),0)</f>
        <v>72.749999999999986</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85.588235294117638</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3488.029595140104</v>
      </c>
      <c r="C69" s="789">
        <f>SUM(C64:C68)</f>
        <v>3488.029595140104</v>
      </c>
      <c r="D69" s="790">
        <f t="shared" ref="D69:M69" si="8">SUM(D67:D68)</f>
        <v>0</v>
      </c>
      <c r="E69" s="790">
        <f t="shared" si="8"/>
        <v>0</v>
      </c>
      <c r="F69" s="790">
        <f t="shared" si="8"/>
        <v>0</v>
      </c>
      <c r="G69" s="790">
        <f t="shared" si="8"/>
        <v>0</v>
      </c>
      <c r="H69" s="790">
        <f t="shared" si="8"/>
        <v>0</v>
      </c>
      <c r="I69" s="790">
        <f t="shared" si="8"/>
        <v>0</v>
      </c>
      <c r="J69" s="790">
        <f t="shared" si="8"/>
        <v>0</v>
      </c>
      <c r="K69" s="790">
        <f t="shared" si="8"/>
        <v>85.588235294117638</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103.92857142857142</v>
      </c>
      <c r="C78" s="803">
        <f>B78*IFERROR(SUM(I78:L78)/SUM(D78:M78),0)</f>
        <v>103.92857142857142</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122.26890756302519</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103.92857142857142</v>
      </c>
      <c r="C81" s="789">
        <f>SUM(C78:C80)</f>
        <v>103.92857142857142</v>
      </c>
      <c r="D81" s="789">
        <f t="shared" ref="D81:P81" si="9">SUM(D78:D80)</f>
        <v>0</v>
      </c>
      <c r="E81" s="789">
        <f t="shared" si="9"/>
        <v>0</v>
      </c>
      <c r="F81" s="789">
        <f t="shared" si="9"/>
        <v>0</v>
      </c>
      <c r="G81" s="789">
        <f t="shared" si="9"/>
        <v>0</v>
      </c>
      <c r="H81" s="789">
        <f t="shared" si="9"/>
        <v>0</v>
      </c>
      <c r="I81" s="789">
        <f t="shared" si="9"/>
        <v>0</v>
      </c>
      <c r="J81" s="789">
        <f t="shared" si="9"/>
        <v>0</v>
      </c>
      <c r="K81" s="789">
        <f t="shared" si="9"/>
        <v>122.26890756302519</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33973.284776438755</v>
      </c>
      <c r="C4" s="463">
        <f>huishoudens!C8</f>
        <v>0</v>
      </c>
      <c r="D4" s="463">
        <f>huishoudens!D8</f>
        <v>48034.88285949688</v>
      </c>
      <c r="E4" s="463">
        <f>huishoudens!E8</f>
        <v>4393.3372806163461</v>
      </c>
      <c r="F4" s="463">
        <f>huishoudens!F8</f>
        <v>57684.429087078293</v>
      </c>
      <c r="G4" s="463">
        <f>huishoudens!G8</f>
        <v>0</v>
      </c>
      <c r="H4" s="463">
        <f>huishoudens!H8</f>
        <v>0</v>
      </c>
      <c r="I4" s="463">
        <f>huishoudens!I8</f>
        <v>0</v>
      </c>
      <c r="J4" s="463">
        <f>huishoudens!J8</f>
        <v>7355.4998784569107</v>
      </c>
      <c r="K4" s="463">
        <f>huishoudens!K8</f>
        <v>0</v>
      </c>
      <c r="L4" s="463">
        <f>huishoudens!L8</f>
        <v>0</v>
      </c>
      <c r="M4" s="463">
        <f>huishoudens!M8</f>
        <v>0</v>
      </c>
      <c r="N4" s="463">
        <f>huishoudens!N8</f>
        <v>22993.194426251939</v>
      </c>
      <c r="O4" s="463">
        <f>huishoudens!O8</f>
        <v>226.68333333333334</v>
      </c>
      <c r="P4" s="464">
        <f>huishoudens!P8</f>
        <v>743.6</v>
      </c>
      <c r="Q4" s="465">
        <f>SUM(B4:P4)</f>
        <v>175404.91164167243</v>
      </c>
    </row>
    <row r="5" spans="1:17">
      <c r="A5" s="462" t="s">
        <v>156</v>
      </c>
      <c r="B5" s="463">
        <f ca="1">tertiair!B16</f>
        <v>10348.945218880453</v>
      </c>
      <c r="C5" s="463">
        <f ca="1">tertiair!C16</f>
        <v>41.571428571428562</v>
      </c>
      <c r="D5" s="463">
        <f ca="1">tertiair!D16</f>
        <v>9580.2670167490378</v>
      </c>
      <c r="E5" s="463">
        <f>tertiair!E16</f>
        <v>146.11970564825765</v>
      </c>
      <c r="F5" s="463">
        <f ca="1">tertiair!F16</f>
        <v>2077.6639287100497</v>
      </c>
      <c r="G5" s="463">
        <f>tertiair!G16</f>
        <v>0</v>
      </c>
      <c r="H5" s="463">
        <f>tertiair!H16</f>
        <v>0</v>
      </c>
      <c r="I5" s="463">
        <f>tertiair!I16</f>
        <v>0</v>
      </c>
      <c r="J5" s="463">
        <f>tertiair!J16</f>
        <v>0</v>
      </c>
      <c r="K5" s="463">
        <f>tertiair!K16</f>
        <v>0</v>
      </c>
      <c r="L5" s="463">
        <f ca="1">tertiair!L16</f>
        <v>0</v>
      </c>
      <c r="M5" s="463">
        <f>tertiair!M16</f>
        <v>0</v>
      </c>
      <c r="N5" s="463">
        <f ca="1">tertiair!N16</f>
        <v>831.90926918746538</v>
      </c>
      <c r="O5" s="463">
        <f>tertiair!O16</f>
        <v>1.5633333333333335</v>
      </c>
      <c r="P5" s="464">
        <f>tertiair!P16</f>
        <v>19.066666666666666</v>
      </c>
      <c r="Q5" s="462">
        <f t="shared" ref="Q5:Q13" ca="1" si="0">SUM(B5:P5)</f>
        <v>23047.106567746687</v>
      </c>
    </row>
    <row r="6" spans="1:17">
      <c r="A6" s="462" t="s">
        <v>194</v>
      </c>
      <c r="B6" s="463">
        <f>'openbare verlichting'!B8</f>
        <v>1434.9079999999999</v>
      </c>
      <c r="C6" s="463"/>
      <c r="D6" s="463"/>
      <c r="E6" s="463"/>
      <c r="F6" s="463"/>
      <c r="G6" s="463"/>
      <c r="H6" s="463"/>
      <c r="I6" s="463"/>
      <c r="J6" s="463"/>
      <c r="K6" s="463"/>
      <c r="L6" s="463"/>
      <c r="M6" s="463"/>
      <c r="N6" s="463"/>
      <c r="O6" s="463"/>
      <c r="P6" s="464"/>
      <c r="Q6" s="462">
        <f t="shared" si="0"/>
        <v>1434.9079999999999</v>
      </c>
    </row>
    <row r="7" spans="1:17">
      <c r="A7" s="462" t="s">
        <v>112</v>
      </c>
      <c r="B7" s="463">
        <f>landbouw!B8</f>
        <v>1094.1028799005414</v>
      </c>
      <c r="C7" s="463">
        <f>landbouw!C8</f>
        <v>62.357142857142847</v>
      </c>
      <c r="D7" s="463">
        <f>landbouw!D8</f>
        <v>1188.5469333424621</v>
      </c>
      <c r="E7" s="463">
        <f>landbouw!E8</f>
        <v>13.787105777834675</v>
      </c>
      <c r="F7" s="463">
        <f>landbouw!F8</f>
        <v>3774.9290248057819</v>
      </c>
      <c r="G7" s="463">
        <f>landbouw!G8</f>
        <v>0</v>
      </c>
      <c r="H7" s="463">
        <f>landbouw!H8</f>
        <v>0</v>
      </c>
      <c r="I7" s="463">
        <f>landbouw!I8</f>
        <v>0</v>
      </c>
      <c r="J7" s="463">
        <f>landbouw!J8</f>
        <v>164.54063581445669</v>
      </c>
      <c r="K7" s="463">
        <f>landbouw!K8</f>
        <v>0</v>
      </c>
      <c r="L7" s="463">
        <f>landbouw!L8</f>
        <v>0</v>
      </c>
      <c r="M7" s="463">
        <f>landbouw!M8</f>
        <v>0</v>
      </c>
      <c r="N7" s="463">
        <f>landbouw!N8</f>
        <v>0</v>
      </c>
      <c r="O7" s="463">
        <f>landbouw!O8</f>
        <v>0</v>
      </c>
      <c r="P7" s="464">
        <f>landbouw!P8</f>
        <v>0</v>
      </c>
      <c r="Q7" s="462">
        <f t="shared" si="0"/>
        <v>6298.26372249822</v>
      </c>
    </row>
    <row r="8" spans="1:17">
      <c r="A8" s="462" t="s">
        <v>657</v>
      </c>
      <c r="B8" s="463">
        <f>industrie!B18</f>
        <v>2922.9225075923587</v>
      </c>
      <c r="C8" s="463">
        <f>industrie!C18</f>
        <v>0</v>
      </c>
      <c r="D8" s="463">
        <f>industrie!D18</f>
        <v>1732.27466782992</v>
      </c>
      <c r="E8" s="463">
        <f>industrie!E18</f>
        <v>366.41780844942974</v>
      </c>
      <c r="F8" s="463">
        <f>industrie!F18</f>
        <v>1584.91570761565</v>
      </c>
      <c r="G8" s="463">
        <f>industrie!G18</f>
        <v>0</v>
      </c>
      <c r="H8" s="463">
        <f>industrie!H18</f>
        <v>0</v>
      </c>
      <c r="I8" s="463">
        <f>industrie!I18</f>
        <v>0</v>
      </c>
      <c r="J8" s="463">
        <f>industrie!J18</f>
        <v>3.8896567323496729</v>
      </c>
      <c r="K8" s="463">
        <f>industrie!K18</f>
        <v>0</v>
      </c>
      <c r="L8" s="463">
        <f>industrie!L18</f>
        <v>0</v>
      </c>
      <c r="M8" s="463">
        <f>industrie!M18</f>
        <v>0</v>
      </c>
      <c r="N8" s="463">
        <f>industrie!N18</f>
        <v>826.58726056283649</v>
      </c>
      <c r="O8" s="463">
        <f>industrie!O18</f>
        <v>0</v>
      </c>
      <c r="P8" s="464">
        <f>industrie!P18</f>
        <v>0</v>
      </c>
      <c r="Q8" s="462">
        <f t="shared" si="0"/>
        <v>7437.0076087825446</v>
      </c>
    </row>
    <row r="9" spans="1:17" s="468" customFormat="1">
      <c r="A9" s="466" t="s">
        <v>574</v>
      </c>
      <c r="B9" s="467">
        <f>transport!B14</f>
        <v>4.6235981912605393</v>
      </c>
      <c r="C9" s="467">
        <f>transport!C14</f>
        <v>0</v>
      </c>
      <c r="D9" s="467">
        <f>transport!D14</f>
        <v>8.2528674134732629</v>
      </c>
      <c r="E9" s="467">
        <f>transport!E14</f>
        <v>249.56084319892059</v>
      </c>
      <c r="F9" s="467">
        <f>transport!F14</f>
        <v>0</v>
      </c>
      <c r="G9" s="467">
        <f>transport!G14</f>
        <v>62878.173636194122</v>
      </c>
      <c r="H9" s="467">
        <f>transport!H14</f>
        <v>12317.54104195824</v>
      </c>
      <c r="I9" s="467">
        <f>transport!I14</f>
        <v>0</v>
      </c>
      <c r="J9" s="467">
        <f>transport!J14</f>
        <v>0</v>
      </c>
      <c r="K9" s="467">
        <f>transport!K14</f>
        <v>0</v>
      </c>
      <c r="L9" s="467">
        <f>transport!L14</f>
        <v>0</v>
      </c>
      <c r="M9" s="467">
        <f>transport!M14</f>
        <v>3363.8493566288903</v>
      </c>
      <c r="N9" s="467">
        <f>transport!N14</f>
        <v>0</v>
      </c>
      <c r="O9" s="467">
        <f>transport!O14</f>
        <v>0</v>
      </c>
      <c r="P9" s="467">
        <f>transport!P14</f>
        <v>0</v>
      </c>
      <c r="Q9" s="466">
        <f>SUM(B9:P9)</f>
        <v>78822.001343584911</v>
      </c>
    </row>
    <row r="10" spans="1:17">
      <c r="A10" s="462" t="s">
        <v>564</v>
      </c>
      <c r="B10" s="463">
        <f>transport!B54</f>
        <v>0</v>
      </c>
      <c r="C10" s="463">
        <f>transport!C54</f>
        <v>0</v>
      </c>
      <c r="D10" s="463">
        <f>transport!D54</f>
        <v>0</v>
      </c>
      <c r="E10" s="463">
        <f>transport!E54</f>
        <v>0</v>
      </c>
      <c r="F10" s="463">
        <f>transport!F54</f>
        <v>0</v>
      </c>
      <c r="G10" s="463">
        <f>transport!G54</f>
        <v>885.20365443903552</v>
      </c>
      <c r="H10" s="463">
        <f>transport!H54</f>
        <v>0</v>
      </c>
      <c r="I10" s="463">
        <f>transport!I54</f>
        <v>0</v>
      </c>
      <c r="J10" s="463">
        <f>transport!J54</f>
        <v>0</v>
      </c>
      <c r="K10" s="463">
        <f>transport!K54</f>
        <v>0</v>
      </c>
      <c r="L10" s="463">
        <f>transport!L54</f>
        <v>0</v>
      </c>
      <c r="M10" s="463">
        <f>transport!M54</f>
        <v>39.367171647020506</v>
      </c>
      <c r="N10" s="463">
        <f>transport!N54</f>
        <v>0</v>
      </c>
      <c r="O10" s="463">
        <f>transport!O54</f>
        <v>0</v>
      </c>
      <c r="P10" s="464">
        <f>transport!P54</f>
        <v>0</v>
      </c>
      <c r="Q10" s="462">
        <f t="shared" si="0"/>
        <v>924.57082608605606</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49778.786981003381</v>
      </c>
      <c r="C14" s="473">
        <f t="shared" ref="C14:Q14" ca="1" si="1">SUM(C4:C13)</f>
        <v>103.92857142857142</v>
      </c>
      <c r="D14" s="473">
        <f t="shared" ca="1" si="1"/>
        <v>60544.224344831775</v>
      </c>
      <c r="E14" s="473">
        <f t="shared" si="1"/>
        <v>5169.2227436907888</v>
      </c>
      <c r="F14" s="473">
        <f t="shared" ca="1" si="1"/>
        <v>65121.93774820977</v>
      </c>
      <c r="G14" s="473">
        <f t="shared" si="1"/>
        <v>63763.377290633158</v>
      </c>
      <c r="H14" s="473">
        <f t="shared" si="1"/>
        <v>12317.54104195824</v>
      </c>
      <c r="I14" s="473">
        <f t="shared" si="1"/>
        <v>0</v>
      </c>
      <c r="J14" s="473">
        <f t="shared" si="1"/>
        <v>7523.9301710037171</v>
      </c>
      <c r="K14" s="473">
        <f t="shared" si="1"/>
        <v>0</v>
      </c>
      <c r="L14" s="473">
        <f t="shared" ca="1" si="1"/>
        <v>0</v>
      </c>
      <c r="M14" s="473">
        <f t="shared" si="1"/>
        <v>3403.2165282759106</v>
      </c>
      <c r="N14" s="473">
        <f t="shared" ca="1" si="1"/>
        <v>24651.69095600224</v>
      </c>
      <c r="O14" s="473">
        <f t="shared" si="1"/>
        <v>228.24666666666667</v>
      </c>
      <c r="P14" s="474">
        <f t="shared" si="1"/>
        <v>762.66666666666674</v>
      </c>
      <c r="Q14" s="474">
        <f t="shared" ca="1" si="1"/>
        <v>293368.76971037086</v>
      </c>
    </row>
    <row r="16" spans="1:17">
      <c r="A16" s="476" t="s">
        <v>569</v>
      </c>
      <c r="B16" s="829">
        <f ca="1">huishoudens!B10</f>
        <v>0.20551439684900041</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6981.999129809139</v>
      </c>
      <c r="C21" s="463">
        <f t="shared" ref="C21:C30" ca="1" si="3">C4*$C$16</f>
        <v>0</v>
      </c>
      <c r="D21" s="463">
        <f t="shared" ref="D21:D30" si="4">D4*$D$16</f>
        <v>9703.0463376183707</v>
      </c>
      <c r="E21" s="463">
        <f t="shared" ref="E21:E30" si="5">E4*$E$16</f>
        <v>997.28756269991061</v>
      </c>
      <c r="F21" s="463">
        <f t="shared" ref="F21:F30" si="6">F4*$F$16</f>
        <v>15401.742566249904</v>
      </c>
      <c r="G21" s="463">
        <f t="shared" ref="G21:G30" si="7">G4*$G$16</f>
        <v>0</v>
      </c>
      <c r="H21" s="463">
        <f t="shared" ref="H21:H30" si="8">H4*$H$16</f>
        <v>0</v>
      </c>
      <c r="I21" s="463">
        <f t="shared" ref="I21:I30" si="9">I4*$I$16</f>
        <v>0</v>
      </c>
      <c r="J21" s="463">
        <f t="shared" ref="J21:J30" si="10">J4*$J$16</f>
        <v>2603.8469569737463</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35687.922553351076</v>
      </c>
    </row>
    <row r="22" spans="1:17">
      <c r="A22" s="462" t="s">
        <v>156</v>
      </c>
      <c r="B22" s="463">
        <f t="shared" ca="1" si="2"/>
        <v>2126.8572346815631</v>
      </c>
      <c r="C22" s="463">
        <f t="shared" ca="1" si="3"/>
        <v>0</v>
      </c>
      <c r="D22" s="463">
        <f t="shared" ca="1" si="4"/>
        <v>1935.2139373833058</v>
      </c>
      <c r="E22" s="463">
        <f t="shared" si="5"/>
        <v>33.169173182154488</v>
      </c>
      <c r="F22" s="463">
        <f t="shared" ca="1" si="6"/>
        <v>554.73626896558335</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4649.9766142126064</v>
      </c>
    </row>
    <row r="23" spans="1:17">
      <c r="A23" s="462" t="s">
        <v>194</v>
      </c>
      <c r="B23" s="463">
        <f t="shared" ca="1" si="2"/>
        <v>294.89425215380544</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294.89425215380544</v>
      </c>
    </row>
    <row r="24" spans="1:17">
      <c r="A24" s="462" t="s">
        <v>112</v>
      </c>
      <c r="B24" s="463">
        <f t="shared" ca="1" si="2"/>
        <v>224.8538934535141</v>
      </c>
      <c r="C24" s="463">
        <f t="shared" ca="1" si="3"/>
        <v>0</v>
      </c>
      <c r="D24" s="463">
        <f t="shared" si="4"/>
        <v>240.08648053517737</v>
      </c>
      <c r="E24" s="463">
        <f t="shared" si="5"/>
        <v>3.1296730115684714</v>
      </c>
      <c r="F24" s="463">
        <f t="shared" si="6"/>
        <v>1007.9060496231438</v>
      </c>
      <c r="G24" s="463">
        <f t="shared" si="7"/>
        <v>0</v>
      </c>
      <c r="H24" s="463">
        <f t="shared" si="8"/>
        <v>0</v>
      </c>
      <c r="I24" s="463">
        <f t="shared" si="9"/>
        <v>0</v>
      </c>
      <c r="J24" s="463">
        <f t="shared" si="10"/>
        <v>58.247385078317663</v>
      </c>
      <c r="K24" s="463">
        <f t="shared" si="11"/>
        <v>0</v>
      </c>
      <c r="L24" s="463">
        <f t="shared" si="12"/>
        <v>0</v>
      </c>
      <c r="M24" s="463">
        <f t="shared" si="13"/>
        <v>0</v>
      </c>
      <c r="N24" s="463">
        <f t="shared" si="14"/>
        <v>0</v>
      </c>
      <c r="O24" s="463">
        <f t="shared" si="15"/>
        <v>0</v>
      </c>
      <c r="P24" s="464">
        <f t="shared" si="16"/>
        <v>0</v>
      </c>
      <c r="Q24" s="462">
        <f t="shared" ca="1" si="17"/>
        <v>1534.2234817017213</v>
      </c>
    </row>
    <row r="25" spans="1:17">
      <c r="A25" s="462" t="s">
        <v>657</v>
      </c>
      <c r="B25" s="463">
        <f t="shared" ca="1" si="2"/>
        <v>600.70265618421138</v>
      </c>
      <c r="C25" s="463">
        <f t="shared" ca="1" si="3"/>
        <v>0</v>
      </c>
      <c r="D25" s="463">
        <f t="shared" si="4"/>
        <v>349.91948290164385</v>
      </c>
      <c r="E25" s="463">
        <f t="shared" si="5"/>
        <v>83.17684251802055</v>
      </c>
      <c r="F25" s="463">
        <f t="shared" si="6"/>
        <v>423.17249393337858</v>
      </c>
      <c r="G25" s="463">
        <f t="shared" si="7"/>
        <v>0</v>
      </c>
      <c r="H25" s="463">
        <f t="shared" si="8"/>
        <v>0</v>
      </c>
      <c r="I25" s="463">
        <f t="shared" si="9"/>
        <v>0</v>
      </c>
      <c r="J25" s="463">
        <f t="shared" si="10"/>
        <v>1.3769384832517841</v>
      </c>
      <c r="K25" s="463">
        <f t="shared" si="11"/>
        <v>0</v>
      </c>
      <c r="L25" s="463">
        <f t="shared" si="12"/>
        <v>0</v>
      </c>
      <c r="M25" s="463">
        <f t="shared" si="13"/>
        <v>0</v>
      </c>
      <c r="N25" s="463">
        <f t="shared" si="14"/>
        <v>0</v>
      </c>
      <c r="O25" s="463">
        <f t="shared" si="15"/>
        <v>0</v>
      </c>
      <c r="P25" s="464">
        <f t="shared" si="16"/>
        <v>0</v>
      </c>
      <c r="Q25" s="462">
        <f t="shared" ca="1" si="17"/>
        <v>1458.348414020506</v>
      </c>
    </row>
    <row r="26" spans="1:17" s="468" customFormat="1">
      <c r="A26" s="466" t="s">
        <v>574</v>
      </c>
      <c r="B26" s="823">
        <f t="shared" ca="1" si="2"/>
        <v>0.95021599354903896</v>
      </c>
      <c r="C26" s="467">
        <f t="shared" ca="1" si="3"/>
        <v>0</v>
      </c>
      <c r="D26" s="467">
        <f t="shared" si="4"/>
        <v>1.6670792175215992</v>
      </c>
      <c r="E26" s="467">
        <f t="shared" si="5"/>
        <v>56.650311406154977</v>
      </c>
      <c r="F26" s="467">
        <f t="shared" si="6"/>
        <v>0</v>
      </c>
      <c r="G26" s="467">
        <f t="shared" si="7"/>
        <v>16788.472360863831</v>
      </c>
      <c r="H26" s="467">
        <f t="shared" si="8"/>
        <v>3067.067719447602</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19914.807686928656</v>
      </c>
    </row>
    <row r="27" spans="1:17">
      <c r="A27" s="462" t="s">
        <v>564</v>
      </c>
      <c r="B27" s="463">
        <f t="shared" ca="1" si="2"/>
        <v>0</v>
      </c>
      <c r="C27" s="463">
        <f t="shared" ca="1" si="3"/>
        <v>0</v>
      </c>
      <c r="D27" s="463">
        <f t="shared" si="4"/>
        <v>0</v>
      </c>
      <c r="E27" s="463">
        <f t="shared" si="5"/>
        <v>0</v>
      </c>
      <c r="F27" s="463">
        <f t="shared" si="6"/>
        <v>0</v>
      </c>
      <c r="G27" s="463">
        <f t="shared" si="7"/>
        <v>236.34937573522251</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236.34937573522251</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10230.257382275782</v>
      </c>
      <c r="C31" s="473">
        <f t="shared" ca="1" si="18"/>
        <v>0</v>
      </c>
      <c r="D31" s="473">
        <f t="shared" ca="1" si="18"/>
        <v>12229.933317656018</v>
      </c>
      <c r="E31" s="473">
        <f t="shared" si="18"/>
        <v>1173.413562817809</v>
      </c>
      <c r="F31" s="473">
        <f t="shared" ca="1" si="18"/>
        <v>17387.557378772013</v>
      </c>
      <c r="G31" s="473">
        <f t="shared" si="18"/>
        <v>17024.821736599053</v>
      </c>
      <c r="H31" s="473">
        <f t="shared" si="18"/>
        <v>3067.067719447602</v>
      </c>
      <c r="I31" s="473">
        <f t="shared" si="18"/>
        <v>0</v>
      </c>
      <c r="J31" s="473">
        <f t="shared" si="18"/>
        <v>2663.4712805353156</v>
      </c>
      <c r="K31" s="473">
        <f t="shared" si="18"/>
        <v>0</v>
      </c>
      <c r="L31" s="473">
        <f t="shared" ca="1" si="18"/>
        <v>0</v>
      </c>
      <c r="M31" s="473">
        <f t="shared" si="18"/>
        <v>0</v>
      </c>
      <c r="N31" s="473">
        <f t="shared" ca="1" si="18"/>
        <v>0</v>
      </c>
      <c r="O31" s="473">
        <f t="shared" si="18"/>
        <v>0</v>
      </c>
      <c r="P31" s="474">
        <f t="shared" si="18"/>
        <v>0</v>
      </c>
      <c r="Q31" s="474">
        <f t="shared" ca="1" si="18"/>
        <v>63776.522378103582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0.20551439684900041</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0.20551439684900041</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0.20551439684900041</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2018-06-27T09:31:39Z</dcterms:modified>
</cp:coreProperties>
</file>