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<sst xmlns="http://schemas.openxmlformats.org/spreadsheetml/2006/main" count="1970" uniqueCount="846">
  <si>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</si>
  <si>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</si>
  <si>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</si>
  <si>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</si>
  <si>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</si>
  <si>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</si>
  <si>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</si>
  <si>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</si>
  <si>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</si>
  <si>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</si>
  <si>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</si>
  <si>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</si>
  <si>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</si>
  <si>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</si>
  <si>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</si>
  <si>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</si>
  <si>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</si>
  <si>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</si>
  <si>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</si>
  <si>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</si>
  <si>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</si>
  <si>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</si>
  <si>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</si>
  <si>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</si>
  <si>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</si>
  <si>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</si>
  <si>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</si>
  <si>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</si>
  <si>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</si>
  <si>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</si>
  <si>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</si>
  <si>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</si>
  <si>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</si>
  <si>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</si>
  <si>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</si>
  <si>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</si>
  <si>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</si>
  <si>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</si>
  <si>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</si>
  <si>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</si>
  <si>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</si>
  <si>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</si>
  <si>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</si>
  <si>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</si>
  <si>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</si>
  <si>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</si>
  <si>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</si>
  <si>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</si>
  <si>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</si>
  <si>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</si>
  <si>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</si>
  <si>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</si>
  <si>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</si>
  <si>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</si>
  <si>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</si>
  <si>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</si>
  <si>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</si>
  <si>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</si>
  <si>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</si>
  <si>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</si>
  <si>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</si>
  <si>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</si>
  <si>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</si>
  <si>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</si>
  <si>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</si>
  <si>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</si>
  <si>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</si>
  <si>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</si>
  <si>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</si>
  <si>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</si>
  <si>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</si>
  <si>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</si>
  <si>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</si>
  <si>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</si>
  <si>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</si>
  <si>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</si>
  <si>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</si>
  <si>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</si>
  <si>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</si>
  <si>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</si>
  <si>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</si>
  <si>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</si>
  <si>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</si>
  <si>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</si>
  <si>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</si>
  <si>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</si>
  <si>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</si>
  <si>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</si>
  <si>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</si>
  <si>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</si>
  <si>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</si>
  <si>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</si>
  <si>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</si>
  <si>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</si>
  <si>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</si>
  <si>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</si>
  <si>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</si>
  <si>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</si>
  <si>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</si>
  <si>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</si>
  <si>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</si>
  <si>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</si>
  <si>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</si>
  <si>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</si>
  <si>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</si>
  <si>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</si>
  <si>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</si>
  <si>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</si>
  <si>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</si>
  <si>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</si>
  <si>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</si>
  <si>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</si>
  <si>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</si>
  <si>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</si>
  <si>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</si>
  <si>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</si>
  <si>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</si>
  <si>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</si>
  <si>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</si>
  <si>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</si>
  <si>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</si>
  <si>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</si>
  <si>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</si>
  <si>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</si>
  <si>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</si>
  <si>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</si>
  <si>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</si>
  <si>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</si>
  <si>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</si>
  <si>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</si>
  <si>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</si>
  <si>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</si>
  <si>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</si>
  <si>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</si>
  <si>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</si>
  <si>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</si>
  <si>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</si>
  <si>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</si>
  <si>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</si>
  <si>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</si>
  <si>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</si>
  <si>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</si>
  <si>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</si>
  <si>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</si>
  <si>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</si>
  <si>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</si>
  <si>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</si>
  <si>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</si>
  <si>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</si>
  <si>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</si>
  <si>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</si>
  <si>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</si>
  <si>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</si>
  <si>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</si>
  <si>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</si>
  <si>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</si>
  <si>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</si>
  <si>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</si>
  <si>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</si>
  <si>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</si>
  <si>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</si>
  <si>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</si>
  <si>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</si>
  <si>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</si>
  <si>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</si>
  <si>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</si>
  <si>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</si>
  <si>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</si>
  <si>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</si>
  <si>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</si>
  <si>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</si>
  <si>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</si>
  <si>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</si>
  <si>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</si>
  <si>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</si>
  <si>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</si>
  <si>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</si>
  <si>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</si>
  <si>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</si>
  <si>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</si>
  <si>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</si>
  <si>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</si>
  <si>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</si>
  <si>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</si>
  <si>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</si>
  <si>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</si>
  <si>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</si>
  <si>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</si>
  <si>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</si>
  <si>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</si>
  <si>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</si>
  <si>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</si>
  <si>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</si>
  <si>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</si>
  <si>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</si>
  <si>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</si>
  <si>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</si>
  <si>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</si>
  <si>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</si>
  <si>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</si>
  <si>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</si>
  <si>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</si>
  <si>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</si>
  <si>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</si>
  <si>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</si>
  <si>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</si>
  <si>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</si>
  <si>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</si>
  <si>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</si>
  <si>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</si>
  <si>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</si>
  <si>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</si>
  <si>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</si>
  <si>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</si>
  <si>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</si>
  <si>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</si>
  <si>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</si>
  <si>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</si>
  <si>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</si>
  <si>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</si>
  <si>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</si>
  <si>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</si>
  <si>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</si>
  <si>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</si>
  <si>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</si>
  <si>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</si>
  <si>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</si>
  <si>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</si>
  <si>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</si>
  <si>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</si>
  <si>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</si>
  <si>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</si>
  <si>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</si>
  <si>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</si>
  <si>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</si>
  <si>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</si>
  <si>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</si>
  <si>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</si>
  <si>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</si>
  <si>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</si>
  <si>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</si>
  <si>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</si>
  <si>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</si>
  <si>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</si>
  <si>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</si>
  <si>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</si>
  <si>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</si>
  <si>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</si>
  <si>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</si>
  <si>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</si>
  <si>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</si>
  <si>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</si>
  <si>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</si>
  <si>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</si>
  <si>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</si>
  <si>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</si>
  <si>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</si>
  <si>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</si>
  <si>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</si>
  <si>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</si>
  <si>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</si>
  <si>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</si>
  <si>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</si>
  <si>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</si>
  <si>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</si>
  <si>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</si>
  <si>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</si>
  <si>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</si>
  <si>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</si>
  <si>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</si>
  <si>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</si>
  <si>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</si>
  <si>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</si>
  <si>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</si>
  <si>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</si>
  <si>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</si>
  <si>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</si>
  <si>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</si>
  <si>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</si>
  <si>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</si>
  <si>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</si>
  <si>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</si>
  <si>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</si>
  <si>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</si>
  <si>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</si>
  <si>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</si>
  <si>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</si>
  <si>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</si>
  <si>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</si>
  <si>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</si>
  <si>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</si>
  <si>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</si>
  <si>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</si>
  <si>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</si>
  <si>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</si>
  <si>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</si>
  <si>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</si>
  <si>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</si>
  <si>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</si>
  <si>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</si>
  <si>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</si>
  <si>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</si>
  <si>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</si>
  <si>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</si>
  <si>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</si>
  <si>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</si>
  <si>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</si>
  <si>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</si>
  <si>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</si>
  <si>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</si>
  <si>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</si>
  <si>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</si>
  <si>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</si>
  <si>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</si>
  <si>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</si>
  <si>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</si>
  <si>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</si>
  <si>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</si>
  <si>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</si>
  <si>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</si>
  <si>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</si>
  <si>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</si>
  <si>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</si>
  <si>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</si>
  <si>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</si>
  <si>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</si>
  <si>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</si>
  <si>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</si>
  <si>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</si>
  <si>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</si>
  <si>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</si>
  <si>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</si>
  <si>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</si>
  <si>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</si>
  <si>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</si>
  <si>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</si>
  <si>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</si>
  <si>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</si>
  <si>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</si>
  <si>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</si>
  <si>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</si>
  <si>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</si>
  <si>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</si>
  <si>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</si>
  <si>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</si>
  <si>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</si>
  <si>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</si>
  <si>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</si>
  <si>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</si>
  <si>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</si>
  <si>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</si>
  <si>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</si>
  <si>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</si>
  <si>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</si>
  <si>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</si>
  <si>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</si>
  <si>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</si>
  <si>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</si>
  <si>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</si>
  <si>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</si>
  <si>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</si>
  <si>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</si>
  <si>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</si>
  <si>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</si>
  <si>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</si>
  <si>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</si>
  <si>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</si>
  <si>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</si>
  <si>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</si>
  <si>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</si>
  <si>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</si>
  <si>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</si>
  <si>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</si>
  <si>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</si>
  <si>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</si>
  <si>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</si>
  <si>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</si>
  <si>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</si>
  <si>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</si>
  <si>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</si>
  <si>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</si>
  <si>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</si>
  <si>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</si>
  <si>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</si>
  <si>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</si>
  <si>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</si>
  <si>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</si>
  <si>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</si>
  <si>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</si>
  <si>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</si>
  <si>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</si>
  <si>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</si>
  <si>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</si>
  <si>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</si>
  <si>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</si>
  <si>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</si>
  <si>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</si>
  <si>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</si>
  <si>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</si>
  <si>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</si>
  <si>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</si>
  <si>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</si>
  <si>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</si>
  <si>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</si>
  <si>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</si>
  <si>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</si>
  <si>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</si>
  <si>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</si>
  <si>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</si>
  <si>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</si>
  <si>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</si>
  <si>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</si>
  <si>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</si>
  <si>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</si>
  <si>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</si>
  <si>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</si>
  <si>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</si>
  <si>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</si>
  <si>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</si>
  <si>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</si>
  <si>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</si>
  <si>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</si>
  <si>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</si>
  <si>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</si>
  <si>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</si>
  <si>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</si>
  <si>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</si>
  <si>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</si>
  <si>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</si>
  <si>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</si>
  <si>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</si>
  <si>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</si>
  <si>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</si>
  <si>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</si>
  <si>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</si>
  <si>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</si>
  <si>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</si>
  <si>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</si>
  <si>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</si>
  <si>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</si>
  <si>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</si>
  <si>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</si>
  <si>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</si>
  <si>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</si>
  <si>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</si>
  <si>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</si>
  <si>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</si>
  <si>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</si>
  <si>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</si>
  <si>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</si>
  <si>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</si>
  <si>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</si>
  <si>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</si>
  <si>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</si>
  <si>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</si>
  <si>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</si>
  <si>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</si>
  <si>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</si>
  <si>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</si>
  <si>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</si>
  <si>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</si>
  <si>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</si>
  <si>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</si>
  <si>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</si>
  <si>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</si>
  <si>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</si>
  <si>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</si>
  <si>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</si>
  <si>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</si>
  <si>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</si>
  <si>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</si>
  <si>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</si>
  <si>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</si>
  <si>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</si>
  <si>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</si>
  <si>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</si>
  <si>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</si>
  <si>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</si>
  <si>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</si>
  <si>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</si>
  <si>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</si>
  <si>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</si>
  <si>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</si>
  <si>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</si>
  <si>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</si>
  <si>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</si>
  <si>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</si>
  <si>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</si>
  <si>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</si>
  <si>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</si>
  <si>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</si>
  <si>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</si>
  <si>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</si>
  <si>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</si>
  <si>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</si>
  <si>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</si>
  <si>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</si>
  <si>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</si>
  <si>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</si>
  <si>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</si>
  <si>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</si>
  <si>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</si>
  <si>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</si>
  <si>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</si>
  <si>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</si>
  <si>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</si>
  <si>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</si>
  <si>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</si>
  <si>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</si>
  <si>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</si>
  <si>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</si>
  <si>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</si>
  <si>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</si>
  <si>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</si>
  <si>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</si>
  <si>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</si>
  <si>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</si>
  <si>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</si>
  <si>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</si>
  <si>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</si>
  <si>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</si>
  <si>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</si>
  <si>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</si>
  <si>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</si>
  <si>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</si>
  <si>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</si>
  <si>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</si>
  <si>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</si>
  <si>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</si>
  <si>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</si>
  <si>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</si>
  <si>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</si>
  <si>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</si>
  <si>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</si>
  <si>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</si>
  <si>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</si>
  <si>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</si>
  <si>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</si>
  <si>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</si>
  <si>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</si>
  <si>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</si>
  <si>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</si>
  <si>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</si>
  <si>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</si>
  <si>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</si>
  <si>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</si>
  <si>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</si>
  <si>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</si>
  <si>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</si>
  <si>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</si>
  <si>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</si>
  <si>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</si>
  <si>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</si>
  <si>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</si>
  <si>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</si>
  <si>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</si>
  <si>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</si>
  <si>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</si>
  <si>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</si>
  <si>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</si>
  <si>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</si>
  <si>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</si>
  <si>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</si>
  <si>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</si>
  <si>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</si>
  <si>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</si>
  <si>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</si>
  <si>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</si>
  <si>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</si>
  <si>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</si>
  <si>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</si>
  <si>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</si>
  <si>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</si>
  <si>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</si>
  <si>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</si>
  <si>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</si>
  <si>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</si>
  <si>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</si>
  <si>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</si>
  <si>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</si>
  <si>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</si>
  <si>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</si>
  <si>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</si>
  <si>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</si>
  <si>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</si>
  <si>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</si>
  <si>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</si>
  <si>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</si>
  <si>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</si>
  <si>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</si>
  <si>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</si>
  <si>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</si>
  <si>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</si>
  <si>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</si>
  <si>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</si>
  <si>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</si>
  <si>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</si>
  <si>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</si>
  <si>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</si>
  <si>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</si>
  <si>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</si>
  <si>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</si>
  <si>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</si>
  <si>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</si>
  <si>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</si>
  <si>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</si>
  <si>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</si>
  <si>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</si>
  <si>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</si>
  <si>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</si>
  <si>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</si>
  <si>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</si>
  <si>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</si>
  <si>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</si>
  <si>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</si>
  <si>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</si>
  <si>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</si>
  <si>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</si>
  <si>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</si>
  <si>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</si>
  <si>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</si>
  <si>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</si>
  <si>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</si>
  <si>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</si>
  <si>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</si>
  <si>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</si>
  <si>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</si>
  <si>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</si>
  <si>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</si>
  <si>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</si>
  <si>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</si>
  <si>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</si>
  <si>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</si>
  <si>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</si>
  <si>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</si>
  <si>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</si>
  <si>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</si>
  <si>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</si>
  <si>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</si>
  <si>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</si>
  <si>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</si>
  <si>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</si>
  <si>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</si>
  <si>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</si>
  <si>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</si>
  <si>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</si>
  <si>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</si>
  <si>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</si>
  <si>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</si>
  <si>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</si>
  <si>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</si>
  <si>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</si>
  <si>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</si>
  <si>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</si>
  <si>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</si>
  <si>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</si>
  <si>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</si>
  <si>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</si>
  <si>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</si>
  <si>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</si>
  <si>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</si>
  <si>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</si>
  <si>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</si>
  <si>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</si>
  <si>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</si>
  <si>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</si>
  <si>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</si>
  <si>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</si>
  <si>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</si>
  <si>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</si>
  <si>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</si>
  <si>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</si>
  <si>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</si>
  <si>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</si>
  <si>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</si>
  <si>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</si>
  <si>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</si>
  <si>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</si>
  <si>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</si>
  <si>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</si>
  <si>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</si>
  <si>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</si>
  <si>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</si>
  <si>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</si>
  <si>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</si>
  <si>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</si>
  <si>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</si>
  <si>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</si>
  <si>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</si>
  <si>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</si>
  <si>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</si>
  <si>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</si>
  <si>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</si>
  <si>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</si>
  <si>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</si>
  <si>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</si>
  <si>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</si>
  <si>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</si>
  <si>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</si>
  <si>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</si>
  <si>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</si>
  <si>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</si>
  <si>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</si>
  <si>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</si>
  <si>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</si>
  <si>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</si>
  <si>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</si>
  <si>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</si>
  <si>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</si>
  <si>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</si>
  <si>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</si>
  <si>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</si>
  <si>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</si>
  <si>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</si>
  <si>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</si>
  <si>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</si>
  <si>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</si>
  <si>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</si>
  <si>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</si>
  <si>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</si>
  <si>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</si>
  <si>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</si>
  <si>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</si>
  <si>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</si>
  <si>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</si>
  <si>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</si>
  <si>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</si>
  <si>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</si>
  <si>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</si>
  <si>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</si>
  <si>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</si>
  <si>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</si>
  <si>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</si>
  <si>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</si>
  <si>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</si>
  <si>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</si>
  <si>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</si>
  <si>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</si>
  <si>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</si>
  <si>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</si>
  <si>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</si>
  <si>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</si>
  <si>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</si>
  <si>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</si>
  <si>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</si>
  <si>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</si>
  <si>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</si>
  <si>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</si>
  <si>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</si>
  <si>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</si>
  <si>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</si>
  <si>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</si>
  <si>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</si>
  <si>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</si>
  <si>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</si>
  <si>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</si>
  <si>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</si>
  <si>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</si>
  <si>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</si>
  <si>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</si>
  <si>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</si>
  <si>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</si>
  <si>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</si>
  <si>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</si>
  <si>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</si>
  <si>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</si>
  <si>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</si>
  <si>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</si>
  <si>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</si>
  <si>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</si>
  <si>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</si>
  <si>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</si>
  <si>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</si>
  <si>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</si>
  <si>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</si>
  <si>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</si>
  <si>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</si>
  <si>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</si>
  <si>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</si>
  <si>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</si>
  <si>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</si>
  <si>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</si>
  <si>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</si>
  <si>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</si>
  <si>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</si>
  <si>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</si>
  <si>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</si>
  <si>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</si>
  <si>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</si>
  <si>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</si>
  <si>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</si>
  <si>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</si>
  <si>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</si>
  <si>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</si>
  <si>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</si>
  <si>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</si>
  <si>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</si>
  <si>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</si>
  <si>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</si>
  <si>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</si>
  <si>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</si>
  <si>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</si>
  <si>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</si>
  <si>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</si>
  <si>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</si>
  <si>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</si>
  <si>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</si>
  <si>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</si>
  <si>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</si>
  <si>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</si>
  <si>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</si>
  <si>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</si>
  <si>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</si>
  <si>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</si>
  <si>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</si>
  <si>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</si>
  <si>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</si>
  <si>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</si>
  <si>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</si>
  <si>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</si>
  <si>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</si>
  <si>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</si>
  <si>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</si>
  <si>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</si>
  <si>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</si>
  <si>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</si>
  <si>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</si>
  <si>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</si>
  <si>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</si>
  <si>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</si>
  <si>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</si>
  <si>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</si>
  <si>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</si>
  <si>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38014</t>
  </si>
  <si>
    <t>KOKSIJDE</t>
  </si>
  <si>
    <t>Cultuurgrond (ha)</t>
  </si>
  <si>
    <t>Paarden&amp;pony's 200 - 600 kg</t>
  </si>
  <si>
    <t>Paarden&amp;pony's &lt; 200 kg</t>
  </si>
  <si>
    <t>op basis van VEA (maart 2018) en Inventaris Hernieuwbare Energiebronnen (juni 2018)</t>
  </si>
  <si>
    <t>VEA (juni 2018)</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</si>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</sst>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203541.49596665215</c:v>
                </c:pt>
                <c:pt idx="1">
                  <c:v>141536.1475674657</c:v>
                </c:pt>
                <c:pt idx="2">
                  <c:v>3138.5709999999999</c:v>
                </c:pt>
                <c:pt idx="3">
                  <c:v>17012.271505741148</c:v>
                </c:pt>
                <c:pt idx="4">
                  <c:v>14260.833028686975</c:v>
                </c:pt>
                <c:pt idx="5">
                  <c:v>94823.36268438671</c:v>
                </c:pt>
                <c:pt idx="6">
                  <c:v>2644.4485820800724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203541.49596665215</c:v>
                </c:pt>
                <c:pt idx="1">
                  <c:v>141536.1475674657</c:v>
                </c:pt>
                <c:pt idx="2">
                  <c:v>3138.5709999999999</c:v>
                </c:pt>
                <c:pt idx="3">
                  <c:v>17012.271505741148</c:v>
                </c:pt>
                <c:pt idx="4">
                  <c:v>14260.833028686975</c:v>
                </c:pt>
                <c:pt idx="5">
                  <c:v>94823.36268438671</c:v>
                </c:pt>
                <c:pt idx="6">
                  <c:v>2644.4485820800724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41601.414393103718</c:v>
                </c:pt>
                <c:pt idx="1">
                  <c:v>28795.598351030629</c:v>
                </c:pt>
                <c:pt idx="2">
                  <c:v>675.55543194472602</c:v>
                </c:pt>
                <c:pt idx="3">
                  <c:v>3709.059105652108</c:v>
                </c:pt>
                <c:pt idx="4">
                  <c:v>2925.6746683540741</c:v>
                </c:pt>
                <c:pt idx="5">
                  <c:v>24010.537534127012</c:v>
                </c:pt>
                <c:pt idx="6">
                  <c:v>622.65302122117032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6720"/>
        <c:axId val="182456704"/>
      </c:barChart>
      <c:catAx>
        <c:axId val="182446720"/>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6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41601.414393103718</c:v>
                </c:pt>
                <c:pt idx="1">
                  <c:v>28795.598351030629</c:v>
                </c:pt>
                <c:pt idx="2">
                  <c:v>675.55543194472602</c:v>
                </c:pt>
                <c:pt idx="3">
                  <c:v>3709.059105652108</c:v>
                </c:pt>
                <c:pt idx="4">
                  <c:v>2925.6746683540741</c:v>
                </c:pt>
                <c:pt idx="5">
                  <c:v>24010.537534127012</c:v>
                </c:pt>
                <c:pt idx="6">
                  <c:v>622.65302122117032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38014</v>
      </c>
      <c r="B6" s="398"/>
      <c r="C6" s="399"/>
    </row>
    <row r="7" spans="1:7" s="396" customFormat="1" ht="15.75" customHeight="1">
      <c r="A7" s="400" t="str">
        <f>txtMunicipality</f>
        <v>KOKSIJDE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53265.95279962632</v>
      </c>
      <c r="D10" s="704">
        <f ca="1">tertiair!C16</f>
        <v>0</v>
      </c>
      <c r="E10" s="704">
        <f ca="1">tertiair!D16</f>
        <v>73295.368486954292</v>
      </c>
      <c r="F10" s="704">
        <f>tertiair!E16</f>
        <v>1030.2527977516179</v>
      </c>
      <c r="G10" s="704">
        <f ca="1">tertiair!F16</f>
        <v>11110.481586687491</v>
      </c>
      <c r="H10" s="704">
        <f>tertiair!G16</f>
        <v>0</v>
      </c>
      <c r="I10" s="704">
        <f>tertiair!H16</f>
        <v>0</v>
      </c>
      <c r="J10" s="704">
        <f>tertiair!I16</f>
        <v>0</v>
      </c>
      <c r="K10" s="704">
        <f>tertiair!J16</f>
        <v>0</v>
      </c>
      <c r="L10" s="704">
        <f>tertiair!K16</f>
        <v>0</v>
      </c>
      <c r="M10" s="704">
        <f ca="1">tertiair!L16</f>
        <v>0</v>
      </c>
      <c r="N10" s="704">
        <f>tertiair!M16</f>
        <v>0</v>
      </c>
      <c r="O10" s="704">
        <f ca="1">tertiair!N16</f>
        <v>5928.2762297793261</v>
      </c>
      <c r="P10" s="704">
        <f>tertiair!O16</f>
        <v>6.2533333333333339</v>
      </c>
      <c r="Q10" s="705">
        <f>tertiair!P16</f>
        <v>38.133333333333333</v>
      </c>
      <c r="R10" s="707">
        <f ca="1">SUM(C10:Q10)</f>
        <v>144674.71856746569</v>
      </c>
      <c r="S10" s="67"/>
    </row>
    <row r="11" spans="1:19" s="459" customFormat="1">
      <c r="A11" s="858" t="s">
        <v>225</v>
      </c>
      <c r="B11" s="863"/>
      <c r="C11" s="704">
        <f>huishoudens!B8</f>
        <v>59315.677536073672</v>
      </c>
      <c r="D11" s="704">
        <f>huishoudens!C8</f>
        <v>0</v>
      </c>
      <c r="E11" s="704">
        <f>huishoudens!D8</f>
        <v>142743.21843057848</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281.40000000000003</v>
      </c>
      <c r="Q11" s="705">
        <f>huishoudens!P8</f>
        <v>1201.2</v>
      </c>
      <c r="R11" s="707">
        <f>SUM(C11:Q11)</f>
        <v>203541.49596665215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4206.3054936184781</v>
      </c>
      <c r="D13" s="704">
        <f>industrie!C18</f>
        <v>0</v>
      </c>
      <c r="E13" s="704">
        <f>industrie!D18</f>
        <v>4319.4675192411687</v>
      </c>
      <c r="F13" s="704">
        <f>industrie!E18</f>
        <v>864.78797025005974</v>
      </c>
      <c r="G13" s="704">
        <f>industrie!F18</f>
        <v>3562.9392271413376</v>
      </c>
      <c r="H13" s="704">
        <f>industrie!G18</f>
        <v>0</v>
      </c>
      <c r="I13" s="704">
        <f>industrie!H18</f>
        <v>0</v>
      </c>
      <c r="J13" s="704">
        <f>industrie!I18</f>
        <v>0</v>
      </c>
      <c r="K13" s="704">
        <f>industrie!J18</f>
        <v>0.43158473212028658</v>
      </c>
      <c r="L13" s="704">
        <f>industrie!K18</f>
        <v>0</v>
      </c>
      <c r="M13" s="704">
        <f>industrie!L18</f>
        <v>0</v>
      </c>
      <c r="N13" s="704">
        <f>industrie!M18</f>
        <v>0</v>
      </c>
      <c r="O13" s="704">
        <f>industrie!N18</f>
        <v>1306.9012337038109</v>
      </c>
      <c r="P13" s="704">
        <f>industrie!O18</f>
        <v>0</v>
      </c>
      <c r="Q13" s="705">
        <f>industrie!P18</f>
        <v>0</v>
      </c>
      <c r="R13" s="707">
        <f>SUM(C13:Q13)</f>
        <v>14260.833028686975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116787.93582931848</v>
      </c>
      <c r="D15" s="709">
        <f t="shared" ref="D15:Q15" ca="1" si="0">SUM(D9:D14)</f>
        <v>0</v>
      </c>
      <c r="E15" s="709">
        <f t="shared" ca="1" si="0"/>
        <v>220358.05443677396</v>
      </c>
      <c r="F15" s="709">
        <f t="shared" si="0"/>
        <v>1895.0407680016776</v>
      </c>
      <c r="G15" s="709">
        <f t="shared" ca="1" si="0"/>
        <v>14673.420813828829</v>
      </c>
      <c r="H15" s="709">
        <f t="shared" si="0"/>
        <v>0</v>
      </c>
      <c r="I15" s="709">
        <f t="shared" si="0"/>
        <v>0</v>
      </c>
      <c r="J15" s="709">
        <f t="shared" si="0"/>
        <v>0</v>
      </c>
      <c r="K15" s="709">
        <f t="shared" si="0"/>
        <v>0.43158473212028658</v>
      </c>
      <c r="L15" s="709">
        <f t="shared" si="0"/>
        <v>0</v>
      </c>
      <c r="M15" s="709">
        <f t="shared" ca="1" si="0"/>
        <v>0</v>
      </c>
      <c r="N15" s="709">
        <f t="shared" si="0"/>
        <v>0</v>
      </c>
      <c r="O15" s="709">
        <f t="shared" ca="1" si="0"/>
        <v>7235.1774634831372</v>
      </c>
      <c r="P15" s="709">
        <f t="shared" si="0"/>
        <v>287.65333333333336</v>
      </c>
      <c r="Q15" s="710">
        <f t="shared" si="0"/>
        <v>1239.3333333333335</v>
      </c>
      <c r="R15" s="711">
        <f ca="1">SUM(R9:R14)</f>
        <v>362477.04756280483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1320.9517678567408</v>
      </c>
      <c r="D18" s="704">
        <f>transport!C54</f>
        <v>0</v>
      </c>
      <c r="E18" s="704">
        <f>transport!D54</f>
        <v>0</v>
      </c>
      <c r="F18" s="704">
        <f>transport!E54</f>
        <v>0</v>
      </c>
      <c r="G18" s="704">
        <f>transport!F54</f>
        <v>0</v>
      </c>
      <c r="H18" s="704">
        <f>transport!G54</f>
        <v>1267.1438288275269</v>
      </c>
      <c r="I18" s="704">
        <f>transport!H54</f>
        <v>0</v>
      </c>
      <c r="J18" s="704">
        <f>transport!I54</f>
        <v>0</v>
      </c>
      <c r="K18" s="704">
        <f>transport!J54</f>
        <v>0</v>
      </c>
      <c r="L18" s="704">
        <f>transport!K54</f>
        <v>0</v>
      </c>
      <c r="M18" s="704">
        <f>transport!L54</f>
        <v>0</v>
      </c>
      <c r="N18" s="704">
        <f>transport!M54</f>
        <v>56.352985395804822</v>
      </c>
      <c r="O18" s="704">
        <f>transport!N54</f>
        <v>0</v>
      </c>
      <c r="P18" s="704">
        <f>transport!O54</f>
        <v>0</v>
      </c>
      <c r="Q18" s="705">
        <f>transport!P54</f>
        <v>0</v>
      </c>
      <c r="R18" s="707">
        <f>SUM(C18:Q18)</f>
        <v>2644.4485820800724</v>
      </c>
      <c r="S18" s="67"/>
    </row>
    <row r="19" spans="1:19" s="459" customFormat="1" ht="15" thickBot="1">
      <c r="A19" s="858" t="s">
        <v>307</v>
      </c>
      <c r="B19" s="863"/>
      <c r="C19" s="713">
        <f>transport!B14</f>
        <v>5.2261221024858777</v>
      </c>
      <c r="D19" s="713">
        <f>transport!C14</f>
        <v>0</v>
      </c>
      <c r="E19" s="713">
        <f>transport!D14</f>
        <v>7.8012562847912532</v>
      </c>
      <c r="F19" s="713">
        <f>transport!E14</f>
        <v>251.34093057887358</v>
      </c>
      <c r="G19" s="713">
        <f>transport!F14</f>
        <v>0</v>
      </c>
      <c r="H19" s="713">
        <f>transport!G14</f>
        <v>78632.932216510846</v>
      </c>
      <c r="I19" s="713">
        <f>transport!H14</f>
        <v>11870.640566737537</v>
      </c>
      <c r="J19" s="713">
        <f>transport!I14</f>
        <v>0</v>
      </c>
      <c r="K19" s="713">
        <f>transport!J14</f>
        <v>0</v>
      </c>
      <c r="L19" s="713">
        <f>transport!K14</f>
        <v>0</v>
      </c>
      <c r="M19" s="713">
        <f>transport!L14</f>
        <v>0</v>
      </c>
      <c r="N19" s="713">
        <f>transport!M14</f>
        <v>4055.4215921721743</v>
      </c>
      <c r="O19" s="713">
        <f>transport!N14</f>
        <v>0</v>
      </c>
      <c r="P19" s="713">
        <f>transport!O14</f>
        <v>0</v>
      </c>
      <c r="Q19" s="714">
        <f>transport!P14</f>
        <v>0</v>
      </c>
      <c r="R19" s="715">
        <f>SUM(C19:Q19)</f>
        <v>94823.36268438671</v>
      </c>
      <c r="S19" s="67"/>
    </row>
    <row r="20" spans="1:19" s="459" customFormat="1" ht="15.75" thickBot="1">
      <c r="A20" s="716" t="s">
        <v>230</v>
      </c>
      <c r="B20" s="866"/>
      <c r="C20" s="861">
        <f>SUM(C17:C19)</f>
        <v>1326.1778899592268</v>
      </c>
      <c r="D20" s="717">
        <f t="shared" ref="D20:R20" si="1">SUM(D17:D19)</f>
        <v>0</v>
      </c>
      <c r="E20" s="717">
        <f t="shared" si="1"/>
        <v>7.8012562847912532</v>
      </c>
      <c r="F20" s="717">
        <f t="shared" si="1"/>
        <v>251.34093057887358</v>
      </c>
      <c r="G20" s="717">
        <f t="shared" si="1"/>
        <v>0</v>
      </c>
      <c r="H20" s="717">
        <f t="shared" si="1"/>
        <v>79900.07604533837</v>
      </c>
      <c r="I20" s="717">
        <f t="shared" si="1"/>
        <v>11870.640566737537</v>
      </c>
      <c r="J20" s="717">
        <f t="shared" si="1"/>
        <v>0</v>
      </c>
      <c r="K20" s="717">
        <f t="shared" si="1"/>
        <v>0</v>
      </c>
      <c r="L20" s="717">
        <f t="shared" si="1"/>
        <v>0</v>
      </c>
      <c r="M20" s="717">
        <f t="shared" si="1"/>
        <v>0</v>
      </c>
      <c r="N20" s="717">
        <f t="shared" si="1"/>
        <v>4111.7745775679796</v>
      </c>
      <c r="O20" s="717">
        <f t="shared" si="1"/>
        <v>0</v>
      </c>
      <c r="P20" s="717">
        <f t="shared" si="1"/>
        <v>0</v>
      </c>
      <c r="Q20" s="718">
        <f t="shared" si="1"/>
        <v>0</v>
      </c>
      <c r="R20" s="719">
        <f t="shared" si="1"/>
        <v>97467.811266466786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1040.8023601056</v>
      </c>
      <c r="D22" s="713">
        <f>+landbouw!C8</f>
        <v>35.357142857142861</v>
      </c>
      <c r="E22" s="713">
        <f>+landbouw!D8</f>
        <v>12175.442829743619</v>
      </c>
      <c r="F22" s="713">
        <f>+landbouw!E8</f>
        <v>13.115450563387903</v>
      </c>
      <c r="G22" s="713">
        <f>+landbouw!F8</f>
        <v>3591.0288789351757</v>
      </c>
      <c r="H22" s="713">
        <f>+landbouw!G8</f>
        <v>0</v>
      </c>
      <c r="I22" s="713">
        <f>+landbouw!H8</f>
        <v>0</v>
      </c>
      <c r="J22" s="713">
        <f>+landbouw!I8</f>
        <v>0</v>
      </c>
      <c r="K22" s="713">
        <f>+landbouw!J8</f>
        <v>156.52484353622236</v>
      </c>
      <c r="L22" s="713">
        <f>+landbouw!K8</f>
        <v>0</v>
      </c>
      <c r="M22" s="713">
        <f>+landbouw!L8</f>
        <v>0</v>
      </c>
      <c r="N22" s="713">
        <f>+landbouw!M8</f>
        <v>0</v>
      </c>
      <c r="O22" s="713">
        <f>+landbouw!N8</f>
        <v>0</v>
      </c>
      <c r="P22" s="713">
        <f>+landbouw!O8</f>
        <v>0</v>
      </c>
      <c r="Q22" s="714">
        <f>+landbouw!P8</f>
        <v>0</v>
      </c>
      <c r="R22" s="715">
        <f>SUM(C22:Q22)</f>
        <v>17012.271505741148</v>
      </c>
      <c r="S22" s="67"/>
    </row>
    <row r="23" spans="1:19" s="459" customFormat="1" ht="17.25" thickTop="1" thickBot="1">
      <c r="A23" s="720" t="s">
        <v>116</v>
      </c>
      <c r="B23" s="852"/>
      <c r="C23" s="721">
        <f ca="1">C20+C15+C22</f>
        <v>119154.91607938331</v>
      </c>
      <c r="D23" s="721">
        <f t="shared" ref="D23:Q23" ca="1" si="2">D20+D15+D22</f>
        <v>35.357142857142861</v>
      </c>
      <c r="E23" s="721">
        <f t="shared" ca="1" si="2"/>
        <v>232541.29852280236</v>
      </c>
      <c r="F23" s="721">
        <f t="shared" si="2"/>
        <v>2159.4971491439392</v>
      </c>
      <c r="G23" s="721">
        <f t="shared" ca="1" si="2"/>
        <v>18264.449692764003</v>
      </c>
      <c r="H23" s="721">
        <f t="shared" si="2"/>
        <v>79900.07604533837</v>
      </c>
      <c r="I23" s="721">
        <f t="shared" si="2"/>
        <v>11870.640566737537</v>
      </c>
      <c r="J23" s="721">
        <f t="shared" si="2"/>
        <v>0</v>
      </c>
      <c r="K23" s="721">
        <f t="shared" si="2"/>
        <v>156.95642826834265</v>
      </c>
      <c r="L23" s="721">
        <f t="shared" si="2"/>
        <v>0</v>
      </c>
      <c r="M23" s="721">
        <f t="shared" ca="1" si="2"/>
        <v>0</v>
      </c>
      <c r="N23" s="721">
        <f t="shared" si="2"/>
        <v>4111.7745775679796</v>
      </c>
      <c r="O23" s="721">
        <f t="shared" ca="1" si="2"/>
        <v>7235.1774634831372</v>
      </c>
      <c r="P23" s="721">
        <f t="shared" si="2"/>
        <v>287.65333333333336</v>
      </c>
      <c r="Q23" s="722">
        <f t="shared" si="2"/>
        <v>1239.3333333333335</v>
      </c>
      <c r="R23" s="723">
        <f ca="1">R20+R15+R22</f>
        <v>476957.1303350128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11465.123379875411</v>
      </c>
      <c r="D36" s="704">
        <f ca="1">tertiair!C20</f>
        <v>0</v>
      </c>
      <c r="E36" s="704">
        <f ca="1">tertiair!D20</f>
        <v>14805.664434364768</v>
      </c>
      <c r="F36" s="704">
        <f>tertiair!E20</f>
        <v>233.86738508961727</v>
      </c>
      <c r="G36" s="704">
        <f ca="1">tertiair!F20</f>
        <v>2966.4985836455603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29471.153782975354</v>
      </c>
    </row>
    <row r="37" spans="1:18">
      <c r="A37" s="873" t="s">
        <v>225</v>
      </c>
      <c r="B37" s="880"/>
      <c r="C37" s="704">
        <f ca="1">huishoudens!B12</f>
        <v>12767.284270126862</v>
      </c>
      <c r="D37" s="704">
        <f ca="1">huishoudens!C12</f>
        <v>0</v>
      </c>
      <c r="E37" s="704">
        <f>huishoudens!D12</f>
        <v>28834.130122976854</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41601.414393103718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905.37780557868689</v>
      </c>
      <c r="D39" s="704">
        <f ca="1">industrie!C22</f>
        <v>0</v>
      </c>
      <c r="E39" s="704">
        <f>industrie!D22</f>
        <v>872.53243888671614</v>
      </c>
      <c r="F39" s="704">
        <f>industrie!E22</f>
        <v>196.30686924676357</v>
      </c>
      <c r="G39" s="704">
        <f>industrie!F22</f>
        <v>951.3047736467372</v>
      </c>
      <c r="H39" s="704">
        <f>industrie!G22</f>
        <v>0</v>
      </c>
      <c r="I39" s="704">
        <f>industrie!H22</f>
        <v>0</v>
      </c>
      <c r="J39" s="704">
        <f>industrie!I22</f>
        <v>0</v>
      </c>
      <c r="K39" s="704">
        <f>industrie!J22</f>
        <v>0.15278099517058144</v>
      </c>
      <c r="L39" s="704">
        <f>industrie!K22</f>
        <v>0</v>
      </c>
      <c r="M39" s="704">
        <f>industrie!L22</f>
        <v>0</v>
      </c>
      <c r="N39" s="704">
        <f>industrie!M22</f>
        <v>0</v>
      </c>
      <c r="O39" s="704">
        <f>industrie!N22</f>
        <v>0</v>
      </c>
      <c r="P39" s="704">
        <f>industrie!O22</f>
        <v>0</v>
      </c>
      <c r="Q39" s="814">
        <f>industrie!P22</f>
        <v>0</v>
      </c>
      <c r="R39" s="906">
        <f ca="1">SUM(C39:Q39)</f>
        <v>2925.6746683540741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25137.785455580957</v>
      </c>
      <c r="D41" s="749">
        <f t="shared" ref="D41:R41" ca="1" si="4">SUM(D35:D40)</f>
        <v>0</v>
      </c>
      <c r="E41" s="749">
        <f t="shared" ca="1" si="4"/>
        <v>44512.326996228338</v>
      </c>
      <c r="F41" s="749">
        <f t="shared" si="4"/>
        <v>430.17425433638084</v>
      </c>
      <c r="G41" s="749">
        <f t="shared" ca="1" si="4"/>
        <v>3917.8033572922977</v>
      </c>
      <c r="H41" s="749">
        <f t="shared" si="4"/>
        <v>0</v>
      </c>
      <c r="I41" s="749">
        <f t="shared" si="4"/>
        <v>0</v>
      </c>
      <c r="J41" s="749">
        <f t="shared" si="4"/>
        <v>0</v>
      </c>
      <c r="K41" s="749">
        <f t="shared" si="4"/>
        <v>0.15278099517058144</v>
      </c>
      <c r="L41" s="749">
        <f t="shared" si="4"/>
        <v>0</v>
      </c>
      <c r="M41" s="749">
        <f t="shared" ca="1" si="4"/>
        <v>0</v>
      </c>
      <c r="N41" s="749">
        <f t="shared" si="4"/>
        <v>0</v>
      </c>
      <c r="O41" s="749">
        <f t="shared" ca="1" si="4"/>
        <v>0</v>
      </c>
      <c r="P41" s="749">
        <f t="shared" si="4"/>
        <v>0</v>
      </c>
      <c r="Q41" s="750">
        <f t="shared" si="4"/>
        <v>0</v>
      </c>
      <c r="R41" s="751">
        <f t="shared" ca="1" si="4"/>
        <v>73998.242844433145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284.32561892422063</v>
      </c>
      <c r="D44" s="704">
        <f ca="1">transport!C58</f>
        <v>0</v>
      </c>
      <c r="E44" s="704">
        <f>transport!D58</f>
        <v>0</v>
      </c>
      <c r="F44" s="704">
        <f>transport!E58</f>
        <v>0</v>
      </c>
      <c r="G44" s="704">
        <f>transport!F58</f>
        <v>0</v>
      </c>
      <c r="H44" s="704">
        <f>transport!G58</f>
        <v>338.32740229694969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622.65302122117032</v>
      </c>
    </row>
    <row r="45" spans="1:18" ht="15" thickBot="1">
      <c r="A45" s="876" t="s">
        <v>307</v>
      </c>
      <c r="B45" s="886"/>
      <c r="C45" s="713">
        <f ca="1">transport!B18</f>
        <v>1.1248861900338489</v>
      </c>
      <c r="D45" s="713">
        <f>transport!C18</f>
        <v>0</v>
      </c>
      <c r="E45" s="713">
        <f>transport!D18</f>
        <v>1.5758537695278332</v>
      </c>
      <c r="F45" s="713">
        <f>transport!E18</f>
        <v>57.054391241404304</v>
      </c>
      <c r="G45" s="713">
        <f>transport!F18</f>
        <v>0</v>
      </c>
      <c r="H45" s="713">
        <f>transport!G18</f>
        <v>20994.992901808397</v>
      </c>
      <c r="I45" s="713">
        <f>transport!H18</f>
        <v>2955.7895011176465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24010.537534127012</v>
      </c>
    </row>
    <row r="46" spans="1:18" ht="15.75" thickBot="1">
      <c r="A46" s="874" t="s">
        <v>230</v>
      </c>
      <c r="B46" s="887"/>
      <c r="C46" s="749">
        <f t="shared" ref="C46:R46" ca="1" si="5">SUM(C43:C45)</f>
        <v>285.4505051142545</v>
      </c>
      <c r="D46" s="749">
        <f t="shared" ca="1" si="5"/>
        <v>0</v>
      </c>
      <c r="E46" s="749">
        <f t="shared" si="5"/>
        <v>1.5758537695278332</v>
      </c>
      <c r="F46" s="749">
        <f t="shared" si="5"/>
        <v>57.054391241404304</v>
      </c>
      <c r="G46" s="749">
        <f t="shared" si="5"/>
        <v>0</v>
      </c>
      <c r="H46" s="749">
        <f t="shared" si="5"/>
        <v>21333.320304105346</v>
      </c>
      <c r="I46" s="749">
        <f t="shared" si="5"/>
        <v>2955.7895011176465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24633.190555348181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224.02542047008939</v>
      </c>
      <c r="D48" s="704">
        <f ca="1">+landbouw!C12</f>
        <v>8.4025210084033635</v>
      </c>
      <c r="E48" s="704">
        <f>+landbouw!D12</f>
        <v>2459.4394516082111</v>
      </c>
      <c r="F48" s="704">
        <f>+landbouw!E12</f>
        <v>2.9772072778890539</v>
      </c>
      <c r="G48" s="704">
        <f>+landbouw!F12</f>
        <v>958.80471067569192</v>
      </c>
      <c r="H48" s="704">
        <f>+landbouw!G12</f>
        <v>0</v>
      </c>
      <c r="I48" s="704">
        <f>+landbouw!H12</f>
        <v>0</v>
      </c>
      <c r="J48" s="704">
        <f>+landbouw!I12</f>
        <v>0</v>
      </c>
      <c r="K48" s="704">
        <f>+landbouw!J12</f>
        <v>55.409794611822711</v>
      </c>
      <c r="L48" s="704">
        <f>+landbouw!K12</f>
        <v>0</v>
      </c>
      <c r="M48" s="704">
        <f>+landbouw!L12</f>
        <v>0</v>
      </c>
      <c r="N48" s="704">
        <f>+landbouw!M12</f>
        <v>0</v>
      </c>
      <c r="O48" s="704">
        <f>+landbouw!N12</f>
        <v>0</v>
      </c>
      <c r="P48" s="704">
        <f>+landbouw!O12</f>
        <v>0</v>
      </c>
      <c r="Q48" s="705">
        <f>+landbouw!P12</f>
        <v>0</v>
      </c>
      <c r="R48" s="747">
        <f ca="1">SUM(C48:Q48)</f>
        <v>3709.059105652108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25647.261381165303</v>
      </c>
      <c r="D53" s="759">
        <f t="shared" ref="D53:Q53" ca="1" si="6">D41+D46+D48</f>
        <v>8.4025210084033635</v>
      </c>
      <c r="E53" s="759">
        <f t="shared" ca="1" si="6"/>
        <v>46973.342301606077</v>
      </c>
      <c r="F53" s="759">
        <f t="shared" si="6"/>
        <v>490.20585285567421</v>
      </c>
      <c r="G53" s="759">
        <f t="shared" ca="1" si="6"/>
        <v>4876.6080679679899</v>
      </c>
      <c r="H53" s="759">
        <f t="shared" si="6"/>
        <v>21333.320304105346</v>
      </c>
      <c r="I53" s="759">
        <f t="shared" si="6"/>
        <v>2955.7895011176465</v>
      </c>
      <c r="J53" s="759">
        <f t="shared" si="6"/>
        <v>0</v>
      </c>
      <c r="K53" s="759">
        <f t="shared" si="6"/>
        <v>55.562575606993292</v>
      </c>
      <c r="L53" s="759">
        <f t="shared" si="6"/>
        <v>0</v>
      </c>
      <c r="M53" s="759">
        <f t="shared" ca="1" si="6"/>
        <v>0</v>
      </c>
      <c r="N53" s="759">
        <f t="shared" si="6"/>
        <v>0</v>
      </c>
      <c r="O53" s="759">
        <f t="shared" ca="1" si="6"/>
        <v>0</v>
      </c>
      <c r="P53" s="759">
        <f>P41+P46+P48</f>
        <v>0</v>
      </c>
      <c r="Q53" s="760">
        <f t="shared" si="6"/>
        <v>0</v>
      </c>
      <c r="R53" s="761">
        <f ca="1">R41+R46+R48</f>
        <v>102340.49250543343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0.21524299814938899</v>
      </c>
      <c r="D55" s="824">
        <f t="shared" ca="1" si="7"/>
        <v>0.23764705882352943</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3105.8239234583189</v>
      </c>
      <c r="C66" s="781">
        <f>'lokale energieproductie'!B6</f>
        <v>3105.8239234583189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24.75</v>
      </c>
      <c r="C67" s="780">
        <f>B67*IFERROR(SUM(J67:L67)/SUM(D67:M67),0)</f>
        <v>0</v>
      </c>
      <c r="D67" s="812">
        <f>'lokale energieproductie'!C7</f>
        <v>29.117647058823533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5.8817647058823539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3130.5739234583189</v>
      </c>
      <c r="C69" s="789">
        <f>SUM(C64:C68)</f>
        <v>3105.8239234583189</v>
      </c>
      <c r="D69" s="790">
        <f t="shared" ref="D69:M69" si="8">SUM(D67:D68)</f>
        <v>29.117647058823533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5.8817647058823539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35.357142857142861</v>
      </c>
      <c r="C78" s="803">
        <f>B78*IFERROR(SUM(I78:L78)/SUM(D78:M78),0)</f>
        <v>0</v>
      </c>
      <c r="D78" s="818">
        <f>'lokale energieproductie'!C16</f>
        <v>41.596638655462193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35.357142857142861</v>
      </c>
      <c r="C81" s="789">
        <f>SUM(C78:C80)</f>
        <v>0</v>
      </c>
      <c r="D81" s="789">
        <f t="shared" ref="D81:P81" si="9">SUM(D78:D80)</f>
        <v>41.596638655462193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8.4025210084033635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59315.677536073672</v>
      </c>
      <c r="C4" s="463">
        <f>huishoudens!C8</f>
        <v>0</v>
      </c>
      <c r="D4" s="463">
        <f>huishoudens!D8</f>
        <v>142743.21843057848</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281.40000000000003</v>
      </c>
      <c r="P4" s="464">
        <f>huishoudens!P8</f>
        <v>1201.2</v>
      </c>
      <c r="Q4" s="465">
        <f>SUM(B4:P4)</f>
        <v>203541.49596665215</v>
      </c>
    </row>
    <row r="5" spans="1:17">
      <c r="A5" s="462" t="s">
        <v>156</v>
      </c>
      <c r="B5" s="463">
        <f ca="1">tertiair!B16</f>
        <v>50127.381799626324</v>
      </c>
      <c r="C5" s="463">
        <f ca="1">tertiair!C16</f>
        <v>0</v>
      </c>
      <c r="D5" s="463">
        <f ca="1">tertiair!D16</f>
        <v>73295.368486954292</v>
      </c>
      <c r="E5" s="463">
        <f>tertiair!E16</f>
        <v>1030.2527977516179</v>
      </c>
      <c r="F5" s="463">
        <f ca="1">tertiair!F16</f>
        <v>11110.481586687491</v>
      </c>
      <c r="G5" s="463">
        <f>tertiair!G16</f>
        <v>0</v>
      </c>
      <c r="H5" s="463">
        <f>tertiair!H16</f>
        <v>0</v>
      </c>
      <c r="I5" s="463">
        <f>tertiair!I16</f>
        <v>0</v>
      </c>
      <c r="J5" s="463">
        <f>tertiair!J16</f>
        <v>0</v>
      </c>
      <c r="K5" s="463">
        <f>tertiair!K16</f>
        <v>0</v>
      </c>
      <c r="L5" s="463">
        <f ca="1">tertiair!L16</f>
        <v>0</v>
      </c>
      <c r="M5" s="463">
        <f>tertiair!M16</f>
        <v>0</v>
      </c>
      <c r="N5" s="463">
        <f ca="1">tertiair!N16</f>
        <v>5928.2762297793261</v>
      </c>
      <c r="O5" s="463">
        <f>tertiair!O16</f>
        <v>6.2533333333333339</v>
      </c>
      <c r="P5" s="464">
        <f>tertiair!P16</f>
        <v>38.133333333333333</v>
      </c>
      <c r="Q5" s="462">
        <f t="shared" ref="Q5:Q13" ca="1" si="0">SUM(B5:P5)</f>
        <v>141536.1475674657</v>
      </c>
    </row>
    <row r="6" spans="1:17">
      <c r="A6" s="462" t="s">
        <v>194</v>
      </c>
      <c r="B6" s="463">
        <f>'openbare verlichting'!B8</f>
        <v>3138.5709999999999</v>
      </c>
      <c r="C6" s="463"/>
      <c r="D6" s="463"/>
      <c r="E6" s="463"/>
      <c r="F6" s="463"/>
      <c r="G6" s="463"/>
      <c r="H6" s="463"/>
      <c r="I6" s="463"/>
      <c r="J6" s="463"/>
      <c r="K6" s="463"/>
      <c r="L6" s="463"/>
      <c r="M6" s="463"/>
      <c r="N6" s="463"/>
      <c r="O6" s="463"/>
      <c r="P6" s="464"/>
      <c r="Q6" s="462">
        <f t="shared" si="0"/>
        <v>3138.5709999999999</v>
      </c>
    </row>
    <row r="7" spans="1:17">
      <c r="A7" s="462" t="s">
        <v>112</v>
      </c>
      <c r="B7" s="463">
        <f>landbouw!B8</f>
        <v>1040.8023601056</v>
      </c>
      <c r="C7" s="463">
        <f>landbouw!C8</f>
        <v>35.357142857142861</v>
      </c>
      <c r="D7" s="463">
        <f>landbouw!D8</f>
        <v>12175.442829743619</v>
      </c>
      <c r="E7" s="463">
        <f>landbouw!E8</f>
        <v>13.115450563387903</v>
      </c>
      <c r="F7" s="463">
        <f>landbouw!F8</f>
        <v>3591.0288789351757</v>
      </c>
      <c r="G7" s="463">
        <f>landbouw!G8</f>
        <v>0</v>
      </c>
      <c r="H7" s="463">
        <f>landbouw!H8</f>
        <v>0</v>
      </c>
      <c r="I7" s="463">
        <f>landbouw!I8</f>
        <v>0</v>
      </c>
      <c r="J7" s="463">
        <f>landbouw!J8</f>
        <v>156.52484353622236</v>
      </c>
      <c r="K7" s="463">
        <f>landbouw!K8</f>
        <v>0</v>
      </c>
      <c r="L7" s="463">
        <f>landbouw!L8</f>
        <v>0</v>
      </c>
      <c r="M7" s="463">
        <f>landbouw!M8</f>
        <v>0</v>
      </c>
      <c r="N7" s="463">
        <f>landbouw!N8</f>
        <v>0</v>
      </c>
      <c r="O7" s="463">
        <f>landbouw!O8</f>
        <v>0</v>
      </c>
      <c r="P7" s="464">
        <f>landbouw!P8</f>
        <v>0</v>
      </c>
      <c r="Q7" s="462">
        <f t="shared" si="0"/>
        <v>17012.271505741148</v>
      </c>
    </row>
    <row r="8" spans="1:17">
      <c r="A8" s="462" t="s">
        <v>657</v>
      </c>
      <c r="B8" s="463">
        <f>industrie!B18</f>
        <v>4206.3054936184781</v>
      </c>
      <c r="C8" s="463">
        <f>industrie!C18</f>
        <v>0</v>
      </c>
      <c r="D8" s="463">
        <f>industrie!D18</f>
        <v>4319.4675192411687</v>
      </c>
      <c r="E8" s="463">
        <f>industrie!E18</f>
        <v>864.78797025005974</v>
      </c>
      <c r="F8" s="463">
        <f>industrie!F18</f>
        <v>3562.9392271413376</v>
      </c>
      <c r="G8" s="463">
        <f>industrie!G18</f>
        <v>0</v>
      </c>
      <c r="H8" s="463">
        <f>industrie!H18</f>
        <v>0</v>
      </c>
      <c r="I8" s="463">
        <f>industrie!I18</f>
        <v>0</v>
      </c>
      <c r="J8" s="463">
        <f>industrie!J18</f>
        <v>0.43158473212028658</v>
      </c>
      <c r="K8" s="463">
        <f>industrie!K18</f>
        <v>0</v>
      </c>
      <c r="L8" s="463">
        <f>industrie!L18</f>
        <v>0</v>
      </c>
      <c r="M8" s="463">
        <f>industrie!M18</f>
        <v>0</v>
      </c>
      <c r="N8" s="463">
        <f>industrie!N18</f>
        <v>1306.9012337038109</v>
      </c>
      <c r="O8" s="463">
        <f>industrie!O18</f>
        <v>0</v>
      </c>
      <c r="P8" s="464">
        <f>industrie!P18</f>
        <v>0</v>
      </c>
      <c r="Q8" s="462">
        <f t="shared" si="0"/>
        <v>14260.833028686975</v>
      </c>
    </row>
    <row r="9" spans="1:17" s="468" customFormat="1">
      <c r="A9" s="466" t="s">
        <v>574</v>
      </c>
      <c r="B9" s="467">
        <f>transport!B14</f>
        <v>5.2261221024858777</v>
      </c>
      <c r="C9" s="467">
        <f>transport!C14</f>
        <v>0</v>
      </c>
      <c r="D9" s="467">
        <f>transport!D14</f>
        <v>7.8012562847912532</v>
      </c>
      <c r="E9" s="467">
        <f>transport!E14</f>
        <v>251.34093057887358</v>
      </c>
      <c r="F9" s="467">
        <f>transport!F14</f>
        <v>0</v>
      </c>
      <c r="G9" s="467">
        <f>transport!G14</f>
        <v>78632.932216510846</v>
      </c>
      <c r="H9" s="467">
        <f>transport!H14</f>
        <v>11870.640566737537</v>
      </c>
      <c r="I9" s="467">
        <f>transport!I14</f>
        <v>0</v>
      </c>
      <c r="J9" s="467">
        <f>transport!J14</f>
        <v>0</v>
      </c>
      <c r="K9" s="467">
        <f>transport!K14</f>
        <v>0</v>
      </c>
      <c r="L9" s="467">
        <f>transport!L14</f>
        <v>0</v>
      </c>
      <c r="M9" s="467">
        <f>transport!M14</f>
        <v>4055.4215921721743</v>
      </c>
      <c r="N9" s="467">
        <f>transport!N14</f>
        <v>0</v>
      </c>
      <c r="O9" s="467">
        <f>transport!O14</f>
        <v>0</v>
      </c>
      <c r="P9" s="467">
        <f>transport!P14</f>
        <v>0</v>
      </c>
      <c r="Q9" s="466">
        <f>SUM(B9:P9)</f>
        <v>94823.36268438671</v>
      </c>
    </row>
    <row r="10" spans="1:17">
      <c r="A10" s="462" t="s">
        <v>564</v>
      </c>
      <c r="B10" s="463">
        <f>transport!B54</f>
        <v>1320.9517678567408</v>
      </c>
      <c r="C10" s="463">
        <f>transport!C54</f>
        <v>0</v>
      </c>
      <c r="D10" s="463">
        <f>transport!D54</f>
        <v>0</v>
      </c>
      <c r="E10" s="463">
        <f>transport!E54</f>
        <v>0</v>
      </c>
      <c r="F10" s="463">
        <f>transport!F54</f>
        <v>0</v>
      </c>
      <c r="G10" s="463">
        <f>transport!G54</f>
        <v>1267.1438288275269</v>
      </c>
      <c r="H10" s="463">
        <f>transport!H54</f>
        <v>0</v>
      </c>
      <c r="I10" s="463">
        <f>transport!I54</f>
        <v>0</v>
      </c>
      <c r="J10" s="463">
        <f>transport!J54</f>
        <v>0</v>
      </c>
      <c r="K10" s="463">
        <f>transport!K54</f>
        <v>0</v>
      </c>
      <c r="L10" s="463">
        <f>transport!L54</f>
        <v>0</v>
      </c>
      <c r="M10" s="463">
        <f>transport!M54</f>
        <v>56.352985395804822</v>
      </c>
      <c r="N10" s="463">
        <f>transport!N54</f>
        <v>0</v>
      </c>
      <c r="O10" s="463">
        <f>transport!O54</f>
        <v>0</v>
      </c>
      <c r="P10" s="464">
        <f>transport!P54</f>
        <v>0</v>
      </c>
      <c r="Q10" s="462">
        <f t="shared" si="0"/>
        <v>2644.4485820800724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119154.9160793833</v>
      </c>
      <c r="C14" s="473">
        <f t="shared" ref="C14:Q14" ca="1" si="1">SUM(C4:C13)</f>
        <v>35.357142857142861</v>
      </c>
      <c r="D14" s="473">
        <f t="shared" ca="1" si="1"/>
        <v>232541.29852280236</v>
      </c>
      <c r="E14" s="473">
        <f t="shared" si="1"/>
        <v>2159.4971491439392</v>
      </c>
      <c r="F14" s="473">
        <f t="shared" ca="1" si="1"/>
        <v>18264.449692764003</v>
      </c>
      <c r="G14" s="473">
        <f t="shared" si="1"/>
        <v>79900.07604533837</v>
      </c>
      <c r="H14" s="473">
        <f t="shared" si="1"/>
        <v>11870.640566737537</v>
      </c>
      <c r="I14" s="473">
        <f t="shared" si="1"/>
        <v>0</v>
      </c>
      <c r="J14" s="473">
        <f t="shared" si="1"/>
        <v>156.95642826834265</v>
      </c>
      <c r="K14" s="473">
        <f t="shared" si="1"/>
        <v>0</v>
      </c>
      <c r="L14" s="473">
        <f t="shared" ca="1" si="1"/>
        <v>0</v>
      </c>
      <c r="M14" s="473">
        <f t="shared" si="1"/>
        <v>4111.7745775679796</v>
      </c>
      <c r="N14" s="473">
        <f t="shared" ca="1" si="1"/>
        <v>7235.1774634831372</v>
      </c>
      <c r="O14" s="473">
        <f t="shared" si="1"/>
        <v>287.65333333333336</v>
      </c>
      <c r="P14" s="474">
        <f t="shared" si="1"/>
        <v>1239.3333333333335</v>
      </c>
      <c r="Q14" s="474">
        <f t="shared" ca="1" si="1"/>
        <v>476957.1303350128</v>
      </c>
    </row>
    <row r="16" spans="1:17">
      <c r="A16" s="476" t="s">
        <v>569</v>
      </c>
      <c r="B16" s="829">
        <f ca="1">huishoudens!B10</f>
        <v>0.21524299814938902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12767.284270126862</v>
      </c>
      <c r="C21" s="463">
        <f t="shared" ref="C21:C30" ca="1" si="3">C4*$C$16</f>
        <v>0</v>
      </c>
      <c r="D21" s="463">
        <f t="shared" ref="D21:D30" si="4">D4*$D$16</f>
        <v>28834.130122976854</v>
      </c>
      <c r="E21" s="463">
        <f t="shared" ref="E21:E30" si="5">E4*$E$16</f>
        <v>0</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41601.414393103718</v>
      </c>
    </row>
    <row r="22" spans="1:17">
      <c r="A22" s="462" t="s">
        <v>156</v>
      </c>
      <c r="B22" s="463">
        <f t="shared" ca="1" si="2"/>
        <v>10789.567947930685</v>
      </c>
      <c r="C22" s="463">
        <f t="shared" ca="1" si="3"/>
        <v>0</v>
      </c>
      <c r="D22" s="463">
        <f t="shared" ca="1" si="4"/>
        <v>14805.664434364768</v>
      </c>
      <c r="E22" s="463">
        <f t="shared" si="5"/>
        <v>233.86738508961727</v>
      </c>
      <c r="F22" s="463">
        <f t="shared" ca="1" si="6"/>
        <v>2966.4985836455603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28795.598351030629</v>
      </c>
    </row>
    <row r="23" spans="1:17">
      <c r="A23" s="462" t="s">
        <v>194</v>
      </c>
      <c r="B23" s="463">
        <f t="shared" ca="1" si="2"/>
        <v>675.55543194472602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675.55543194472602</v>
      </c>
    </row>
    <row r="24" spans="1:17">
      <c r="A24" s="462" t="s">
        <v>112</v>
      </c>
      <c r="B24" s="463">
        <f t="shared" ca="1" si="2"/>
        <v>224.02542047008939</v>
      </c>
      <c r="C24" s="463">
        <f t="shared" ca="1" si="3"/>
        <v>8.4025210084033635</v>
      </c>
      <c r="D24" s="463">
        <f t="shared" si="4"/>
        <v>2459.4394516082111</v>
      </c>
      <c r="E24" s="463">
        <f t="shared" si="5"/>
        <v>2.9772072778890539</v>
      </c>
      <c r="F24" s="463">
        <f t="shared" si="6"/>
        <v>958.80471067569192</v>
      </c>
      <c r="G24" s="463">
        <f t="shared" si="7"/>
        <v>0</v>
      </c>
      <c r="H24" s="463">
        <f t="shared" si="8"/>
        <v>0</v>
      </c>
      <c r="I24" s="463">
        <f t="shared" si="9"/>
        <v>0</v>
      </c>
      <c r="J24" s="463">
        <f t="shared" si="10"/>
        <v>55.409794611822711</v>
      </c>
      <c r="K24" s="463">
        <f t="shared" si="11"/>
        <v>0</v>
      </c>
      <c r="L24" s="463">
        <f t="shared" si="12"/>
        <v>0</v>
      </c>
      <c r="M24" s="463">
        <f t="shared" si="13"/>
        <v>0</v>
      </c>
      <c r="N24" s="463">
        <f t="shared" si="14"/>
        <v>0</v>
      </c>
      <c r="O24" s="463">
        <f t="shared" si="15"/>
        <v>0</v>
      </c>
      <c r="P24" s="464">
        <f t="shared" si="16"/>
        <v>0</v>
      </c>
      <c r="Q24" s="462">
        <f t="shared" ca="1" si="17"/>
        <v>3709.059105652108</v>
      </c>
    </row>
    <row r="25" spans="1:17">
      <c r="A25" s="462" t="s">
        <v>657</v>
      </c>
      <c r="B25" s="463">
        <f t="shared" ca="1" si="2"/>
        <v>905.37780557868689</v>
      </c>
      <c r="C25" s="463">
        <f t="shared" ca="1" si="3"/>
        <v>0</v>
      </c>
      <c r="D25" s="463">
        <f t="shared" si="4"/>
        <v>872.53243888671614</v>
      </c>
      <c r="E25" s="463">
        <f t="shared" si="5"/>
        <v>196.30686924676357</v>
      </c>
      <c r="F25" s="463">
        <f t="shared" si="6"/>
        <v>951.3047736467372</v>
      </c>
      <c r="G25" s="463">
        <f t="shared" si="7"/>
        <v>0</v>
      </c>
      <c r="H25" s="463">
        <f t="shared" si="8"/>
        <v>0</v>
      </c>
      <c r="I25" s="463">
        <f t="shared" si="9"/>
        <v>0</v>
      </c>
      <c r="J25" s="463">
        <f t="shared" si="10"/>
        <v>0.15278099517058144</v>
      </c>
      <c r="K25" s="463">
        <f t="shared" si="11"/>
        <v>0</v>
      </c>
      <c r="L25" s="463">
        <f t="shared" si="12"/>
        <v>0</v>
      </c>
      <c r="M25" s="463">
        <f t="shared" si="13"/>
        <v>0</v>
      </c>
      <c r="N25" s="463">
        <f t="shared" si="14"/>
        <v>0</v>
      </c>
      <c r="O25" s="463">
        <f t="shared" si="15"/>
        <v>0</v>
      </c>
      <c r="P25" s="464">
        <f t="shared" si="16"/>
        <v>0</v>
      </c>
      <c r="Q25" s="462">
        <f t="shared" ca="1" si="17"/>
        <v>2925.6746683540741</v>
      </c>
    </row>
    <row r="26" spans="1:17" s="468" customFormat="1">
      <c r="A26" s="466" t="s">
        <v>574</v>
      </c>
      <c r="B26" s="823">
        <f t="shared" ca="1" si="2"/>
        <v>1.1248861900338489</v>
      </c>
      <c r="C26" s="467">
        <f t="shared" ca="1" si="3"/>
        <v>0</v>
      </c>
      <c r="D26" s="467">
        <f t="shared" si="4"/>
        <v>1.5758537695278332</v>
      </c>
      <c r="E26" s="467">
        <f t="shared" si="5"/>
        <v>57.054391241404304</v>
      </c>
      <c r="F26" s="467">
        <f t="shared" si="6"/>
        <v>0</v>
      </c>
      <c r="G26" s="467">
        <f t="shared" si="7"/>
        <v>20994.992901808397</v>
      </c>
      <c r="H26" s="467">
        <f t="shared" si="8"/>
        <v>2955.7895011176465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24010.537534127012</v>
      </c>
    </row>
    <row r="27" spans="1:17">
      <c r="A27" s="462" t="s">
        <v>564</v>
      </c>
      <c r="B27" s="463">
        <f t="shared" ca="1" si="2"/>
        <v>284.32561892422063</v>
      </c>
      <c r="C27" s="463">
        <f t="shared" ca="1" si="3"/>
        <v>0</v>
      </c>
      <c r="D27" s="463">
        <f t="shared" si="4"/>
        <v>0</v>
      </c>
      <c r="E27" s="463">
        <f t="shared" si="5"/>
        <v>0</v>
      </c>
      <c r="F27" s="463">
        <f t="shared" si="6"/>
        <v>0</v>
      </c>
      <c r="G27" s="463">
        <f t="shared" si="7"/>
        <v>338.32740229694969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622.65302122117032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25647.261381165303</v>
      </c>
      <c r="C31" s="473">
        <f t="shared" ca="1" si="18"/>
        <v>8.4025210084033635</v>
      </c>
      <c r="D31" s="473">
        <f t="shared" ca="1" si="18"/>
        <v>46973.342301606077</v>
      </c>
      <c r="E31" s="473">
        <f t="shared" si="18"/>
        <v>490.20585285567421</v>
      </c>
      <c r="F31" s="473">
        <f t="shared" ca="1" si="18"/>
        <v>4876.608067967989</v>
      </c>
      <c r="G31" s="473">
        <f t="shared" si="18"/>
        <v>21333.320304105346</v>
      </c>
      <c r="H31" s="473">
        <f t="shared" si="18"/>
        <v>2955.7895011176465</v>
      </c>
      <c r="I31" s="473">
        <f t="shared" si="18"/>
        <v>0</v>
      </c>
      <c r="J31" s="473">
        <f t="shared" si="18"/>
        <v>55.562575606993292</v>
      </c>
      <c r="K31" s="473">
        <f t="shared" si="18"/>
        <v>0</v>
      </c>
      <c r="L31" s="473">
        <f t="shared" ca="1" si="18"/>
        <v>0</v>
      </c>
      <c r="M31" s="473">
        <f t="shared" si="18"/>
        <v>0</v>
      </c>
      <c r="N31" s="473">
        <f t="shared" ca="1" si="18"/>
        <v>0</v>
      </c>
      <c r="O31" s="473">
        <f t="shared" si="18"/>
        <v>0</v>
      </c>
      <c r="P31" s="474">
        <f t="shared" si="18"/>
        <v>0</v>
      </c>
      <c r="Q31" s="474">
        <f t="shared" ca="1" si="18"/>
        <v>102340.49250543343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0.21524299814938902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0.21524299814938902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0.21524299814938902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38014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11075</v>
      </c>
      <c r="C9" s="338">
        <v>11661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2180</v>
      </c>
    </row>
    <row r="15" spans="1:6">
      <c r="A15" s="1212" t="s">
        <v>184</v>
      </c>
      <c r="B15" s="335">
        <v>6</v>
      </c>
    </row>
    <row r="16" spans="1:6">
      <c r="A16" s="1212" t="s">
        <v>6</v>
      </c>
      <c r="B16" s="335">
        <v>233</v>
      </c>
    </row>
    <row r="17" spans="1:6">
      <c r="A17" s="1212" t="s">
        <v>7</v>
      </c>
      <c r="B17" s="335">
        <v>164</v>
      </c>
    </row>
    <row r="18" spans="1:6">
      <c r="A18" s="1212" t="s">
        <v>8</v>
      </c>
      <c r="B18" s="335">
        <v>246</v>
      </c>
    </row>
    <row r="19" spans="1:6">
      <c r="A19" s="1212" t="s">
        <v>9</v>
      </c>
      <c r="B19" s="335">
        <v>263</v>
      </c>
    </row>
    <row r="20" spans="1:6">
      <c r="A20" s="1212" t="s">
        <v>10</v>
      </c>
      <c r="B20" s="335">
        <v>459</v>
      </c>
    </row>
    <row r="21" spans="1:6">
      <c r="A21" s="1212" t="s">
        <v>11</v>
      </c>
      <c r="B21" s="335">
        <v>5044</v>
      </c>
    </row>
    <row r="22" spans="1:6">
      <c r="A22" s="1212" t="s">
        <v>12</v>
      </c>
      <c r="B22" s="335">
        <v>7445</v>
      </c>
    </row>
    <row r="23" spans="1:6">
      <c r="A23" s="1212" t="s">
        <v>13</v>
      </c>
      <c r="B23" s="335">
        <v>205</v>
      </c>
    </row>
    <row r="24" spans="1:6">
      <c r="A24" s="1212" t="s">
        <v>14</v>
      </c>
      <c r="B24" s="335">
        <v>85</v>
      </c>
    </row>
    <row r="25" spans="1:6">
      <c r="A25" s="1212" t="s">
        <v>15</v>
      </c>
      <c r="B25" s="335">
        <v>1163</v>
      </c>
    </row>
    <row r="26" spans="1:6">
      <c r="A26" s="1212" t="s">
        <v>16</v>
      </c>
      <c r="B26" s="335">
        <v>75</v>
      </c>
    </row>
    <row r="27" spans="1:6">
      <c r="A27" s="1212" t="s">
        <v>17</v>
      </c>
      <c r="B27" s="335">
        <v>0</v>
      </c>
    </row>
    <row r="28" spans="1:6" s="341" customFormat="1">
      <c r="A28" s="1213" t="s">
        <v>18</v>
      </c>
      <c r="B28" s="1213">
        <v>197708</v>
      </c>
    </row>
    <row r="29" spans="1:6">
      <c r="A29" s="1213" t="s">
        <v>836</v>
      </c>
      <c r="B29" s="1213">
        <v>207</v>
      </c>
      <c r="C29" s="341"/>
      <c r="D29" s="341"/>
      <c r="E29" s="341"/>
      <c r="F29" s="341"/>
    </row>
    <row r="30" spans="1:6">
      <c r="A30" s="1208" t="s">
        <v>837</v>
      </c>
      <c r="B30" s="1208">
        <v>39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7</v>
      </c>
      <c r="D36" s="335">
        <v>1512399.33923053</v>
      </c>
      <c r="E36" s="335">
        <v>3</v>
      </c>
      <c r="F36" s="335">
        <v>9133</v>
      </c>
    </row>
    <row r="37" spans="1:6">
      <c r="A37" s="1212" t="s">
        <v>25</v>
      </c>
      <c r="B37" s="1212" t="s">
        <v>28</v>
      </c>
      <c r="C37" s="335">
        <v>0</v>
      </c>
      <c r="D37" s="335">
        <v>0</v>
      </c>
      <c r="E37" s="335">
        <v>0</v>
      </c>
      <c r="F37" s="335">
        <v>0</v>
      </c>
    </row>
    <row r="38" spans="1:6">
      <c r="A38" s="1212" t="s">
        <v>25</v>
      </c>
      <c r="B38" s="1212" t="s">
        <v>29</v>
      </c>
      <c r="C38" s="335">
        <v>1</v>
      </c>
      <c r="D38" s="335">
        <v>11157.3303458422</v>
      </c>
      <c r="E38" s="335">
        <v>2</v>
      </c>
      <c r="F38" s="335">
        <v>6121.6167609303002</v>
      </c>
    </row>
    <row r="39" spans="1:6">
      <c r="A39" s="1212" t="s">
        <v>30</v>
      </c>
      <c r="B39" s="1212" t="s">
        <v>31</v>
      </c>
      <c r="C39" s="335">
        <v>12606</v>
      </c>
      <c r="D39" s="335">
        <v>158251905.133679</v>
      </c>
      <c r="E39" s="335">
        <v>23431</v>
      </c>
      <c r="F39" s="335">
        <v>56759667.514551297</v>
      </c>
    </row>
    <row r="40" spans="1:6">
      <c r="A40" s="1212" t="s">
        <v>30</v>
      </c>
      <c r="B40" s="1212" t="s">
        <v>29</v>
      </c>
      <c r="C40" s="335">
        <v>0</v>
      </c>
      <c r="D40" s="335">
        <v>0</v>
      </c>
      <c r="E40" s="335">
        <v>0</v>
      </c>
      <c r="F40" s="335">
        <v>0</v>
      </c>
    </row>
    <row r="41" spans="1:6">
      <c r="A41" s="1212" t="s">
        <v>32</v>
      </c>
      <c r="B41" s="1212" t="s">
        <v>33</v>
      </c>
      <c r="C41" s="335">
        <v>140</v>
      </c>
      <c r="D41" s="335">
        <v>2570866.66983556</v>
      </c>
      <c r="E41" s="335">
        <v>363</v>
      </c>
      <c r="F41" s="335">
        <v>2822353.7395318998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116787.259308594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6</v>
      </c>
      <c r="D47" s="335">
        <v>122544.984064734</v>
      </c>
      <c r="E47" s="335">
        <v>6</v>
      </c>
      <c r="F47" s="335">
        <v>15180.764888444101</v>
      </c>
    </row>
    <row r="48" spans="1:6">
      <c r="A48" s="1212" t="s">
        <v>32</v>
      </c>
      <c r="B48" s="1212" t="s">
        <v>29</v>
      </c>
      <c r="C48" s="335">
        <v>30</v>
      </c>
      <c r="D48" s="335">
        <v>516472.96895304898</v>
      </c>
      <c r="E48" s="335">
        <v>34</v>
      </c>
      <c r="F48" s="335">
        <v>162801.87932936399</v>
      </c>
    </row>
    <row r="49" spans="1:6">
      <c r="A49" s="1212" t="s">
        <v>32</v>
      </c>
      <c r="B49" s="1212" t="s">
        <v>40</v>
      </c>
      <c r="C49" s="335">
        <v>0</v>
      </c>
      <c r="D49" s="335">
        <v>0</v>
      </c>
      <c r="E49" s="335">
        <v>3</v>
      </c>
      <c r="F49" s="335">
        <v>7202.2020295568</v>
      </c>
    </row>
    <row r="50" spans="1:6">
      <c r="A50" s="1212" t="s">
        <v>32</v>
      </c>
      <c r="B50" s="1212" t="s">
        <v>41</v>
      </c>
      <c r="C50" s="335">
        <v>23</v>
      </c>
      <c r="D50" s="335">
        <v>1578882.0281900801</v>
      </c>
      <c r="E50" s="335">
        <v>33</v>
      </c>
      <c r="F50" s="335">
        <v>1081979.6485306199</v>
      </c>
    </row>
    <row r="51" spans="1:6">
      <c r="A51" s="1212" t="s">
        <v>42</v>
      </c>
      <c r="B51" s="1212" t="s">
        <v>43</v>
      </c>
      <c r="C51" s="335">
        <v>10</v>
      </c>
      <c r="D51" s="335">
        <v>253643.19660048999</v>
      </c>
      <c r="E51" s="335">
        <v>61</v>
      </c>
      <c r="F51" s="335">
        <v>892860.15439968498</v>
      </c>
    </row>
    <row r="52" spans="1:6">
      <c r="A52" s="1212" t="s">
        <v>42</v>
      </c>
      <c r="B52" s="1212" t="s">
        <v>29</v>
      </c>
      <c r="C52" s="335">
        <v>6</v>
      </c>
      <c r="D52" s="335">
        <v>89164.829478137603</v>
      </c>
      <c r="E52" s="335">
        <v>11</v>
      </c>
      <c r="F52" s="335">
        <v>147942.205705915</v>
      </c>
    </row>
    <row r="53" spans="1:6">
      <c r="A53" s="1212" t="s">
        <v>44</v>
      </c>
      <c r="B53" s="1212" t="s">
        <v>45</v>
      </c>
      <c r="C53" s="335">
        <v>939</v>
      </c>
      <c r="D53" s="335">
        <v>13233862.8336308</v>
      </c>
      <c r="E53" s="335">
        <v>2553</v>
      </c>
      <c r="F53" s="335">
        <v>8795763.2361917607</v>
      </c>
    </row>
    <row r="54" spans="1:6">
      <c r="A54" s="1212" t="s">
        <v>46</v>
      </c>
      <c r="B54" s="1212" t="s">
        <v>47</v>
      </c>
      <c r="C54" s="335">
        <v>0</v>
      </c>
      <c r="D54" s="335">
        <v>0</v>
      </c>
      <c r="E54" s="335">
        <v>1</v>
      </c>
      <c r="F54" s="335">
        <v>3138571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62</v>
      </c>
      <c r="D57" s="335">
        <v>3044223.7770161298</v>
      </c>
      <c r="E57" s="335">
        <v>186</v>
      </c>
      <c r="F57" s="335">
        <v>8184212.3312406596</v>
      </c>
    </row>
    <row r="58" spans="1:6">
      <c r="A58" s="1212" t="s">
        <v>49</v>
      </c>
      <c r="B58" s="1212" t="s">
        <v>51</v>
      </c>
      <c r="C58" s="335">
        <v>66</v>
      </c>
      <c r="D58" s="335">
        <v>1197633.94334936</v>
      </c>
      <c r="E58" s="335">
        <v>123</v>
      </c>
      <c r="F58" s="335">
        <v>574220.67560387298</v>
      </c>
    </row>
    <row r="59" spans="1:6">
      <c r="A59" s="1212" t="s">
        <v>49</v>
      </c>
      <c r="B59" s="1212" t="s">
        <v>52</v>
      </c>
      <c r="C59" s="335">
        <v>279</v>
      </c>
      <c r="D59" s="335">
        <v>6989329.3305452699</v>
      </c>
      <c r="E59" s="335">
        <v>522</v>
      </c>
      <c r="F59" s="335">
        <v>10703142.0904647</v>
      </c>
    </row>
    <row r="60" spans="1:6">
      <c r="A60" s="1212" t="s">
        <v>49</v>
      </c>
      <c r="B60" s="1212" t="s">
        <v>53</v>
      </c>
      <c r="C60" s="335">
        <v>607</v>
      </c>
      <c r="D60" s="335">
        <v>28314201.316326</v>
      </c>
      <c r="E60" s="335">
        <v>597</v>
      </c>
      <c r="F60" s="335">
        <v>13373619.1002785</v>
      </c>
    </row>
    <row r="61" spans="1:6">
      <c r="A61" s="1212" t="s">
        <v>49</v>
      </c>
      <c r="B61" s="1212" t="s">
        <v>54</v>
      </c>
      <c r="C61" s="335">
        <v>797</v>
      </c>
      <c r="D61" s="335">
        <v>30070139.273394</v>
      </c>
      <c r="E61" s="335">
        <v>2729</v>
      </c>
      <c r="F61" s="335">
        <v>14431916.667234801</v>
      </c>
    </row>
    <row r="62" spans="1:6">
      <c r="A62" s="1212" t="s">
        <v>49</v>
      </c>
      <c r="B62" s="1212" t="s">
        <v>55</v>
      </c>
      <c r="C62" s="335">
        <v>9</v>
      </c>
      <c r="D62" s="335">
        <v>808813.67935214005</v>
      </c>
      <c r="E62" s="335">
        <v>20</v>
      </c>
      <c r="F62" s="335">
        <v>568781.00155776599</v>
      </c>
    </row>
    <row r="63" spans="1:6">
      <c r="A63" s="1212" t="s">
        <v>49</v>
      </c>
      <c r="B63" s="1212" t="s">
        <v>29</v>
      </c>
      <c r="C63" s="335">
        <v>105</v>
      </c>
      <c r="D63" s="335">
        <v>10834382.058015199</v>
      </c>
      <c r="E63" s="335">
        <v>106</v>
      </c>
      <c r="F63" s="335">
        <v>2291489.93324603</v>
      </c>
    </row>
    <row r="64" spans="1:6">
      <c r="A64" s="1212" t="s">
        <v>56</v>
      </c>
      <c r="B64" s="1212" t="s">
        <v>57</v>
      </c>
      <c r="C64" s="335">
        <v>0</v>
      </c>
      <c r="D64" s="335">
        <v>0</v>
      </c>
      <c r="E64" s="335">
        <v>0</v>
      </c>
      <c r="F64" s="335">
        <v>0</v>
      </c>
    </row>
    <row r="65" spans="1:6">
      <c r="A65" s="1212" t="s">
        <v>56</v>
      </c>
      <c r="B65" s="1212" t="s">
        <v>29</v>
      </c>
      <c r="C65" s="335">
        <v>2</v>
      </c>
      <c r="D65" s="335">
        <v>107380.400942412</v>
      </c>
      <c r="E65" s="335">
        <v>2</v>
      </c>
      <c r="F65" s="335">
        <v>33614.545400429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76652.965394815605</v>
      </c>
      <c r="E68" s="335">
        <v>8</v>
      </c>
      <c r="F68" s="335">
        <v>26401.202304026701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76633321</v>
      </c>
      <c r="E73" s="335">
        <v>91517359.836604685</v>
      </c>
    </row>
    <row r="74" spans="1:6">
      <c r="A74" s="1212" t="s">
        <v>64</v>
      </c>
      <c r="B74" s="1212" t="s">
        <v>727</v>
      </c>
      <c r="C74" s="1212" t="s">
        <v>728</v>
      </c>
      <c r="D74" s="335">
        <v>8664594.9621119685</v>
      </c>
      <c r="E74" s="335">
        <v>10488950.538261123</v>
      </c>
    </row>
    <row r="75" spans="1:6">
      <c r="A75" s="1212" t="s">
        <v>65</v>
      </c>
      <c r="B75" s="1212" t="s">
        <v>725</v>
      </c>
      <c r="C75" s="1212" t="s">
        <v>729</v>
      </c>
      <c r="D75" s="335">
        <v>5873794</v>
      </c>
      <c r="E75" s="335">
        <v>6737600.970772231</v>
      </c>
    </row>
    <row r="76" spans="1:6">
      <c r="A76" s="1212" t="s">
        <v>65</v>
      </c>
      <c r="B76" s="1212" t="s">
        <v>727</v>
      </c>
      <c r="C76" s="1212" t="s">
        <v>730</v>
      </c>
      <c r="D76" s="335">
        <v>82827.962111968984</v>
      </c>
      <c r="E76" s="335">
        <v>124725.40553353674</v>
      </c>
    </row>
    <row r="77" spans="1:6">
      <c r="A77" s="1212" t="s">
        <v>66</v>
      </c>
      <c r="B77" s="1212" t="s">
        <v>725</v>
      </c>
      <c r="C77" s="1212" t="s">
        <v>731</v>
      </c>
      <c r="D77" s="335">
        <v>13202490</v>
      </c>
      <c r="E77" s="335">
        <v>13985286.513891501</v>
      </c>
    </row>
    <row r="78" spans="1:6">
      <c r="A78" s="1208" t="s">
        <v>66</v>
      </c>
      <c r="B78" s="1208" t="s">
        <v>727</v>
      </c>
      <c r="C78" s="1208" t="s">
        <v>732</v>
      </c>
      <c r="D78" s="1208">
        <v>4560026</v>
      </c>
      <c r="E78" s="1208">
        <v>5373030.847144709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349652.07577606203</v>
      </c>
      <c r="C83" s="335">
        <v>351738.10482869518</v>
      </c>
    </row>
    <row r="84" spans="1:6">
      <c r="A84" s="1208" t="s">
        <v>337</v>
      </c>
      <c r="B84" s="338">
        <v>374738.09017212508</v>
      </c>
      <c r="C84" s="338">
        <v>385129.99932499946</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2556.0100215223706</v>
      </c>
    </row>
    <row r="92" spans="1:6">
      <c r="A92" s="1208" t="s">
        <v>69</v>
      </c>
      <c r="B92" s="338">
        <v>549.81390193594814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5266</v>
      </c>
    </row>
    <row r="98" spans="1:6">
      <c r="A98" s="1212" t="s">
        <v>72</v>
      </c>
      <c r="B98" s="335">
        <v>0</v>
      </c>
    </row>
    <row r="99" spans="1:6">
      <c r="A99" s="1212" t="s">
        <v>73</v>
      </c>
      <c r="B99" s="335">
        <v>87</v>
      </c>
    </row>
    <row r="100" spans="1:6">
      <c r="A100" s="1212" t="s">
        <v>74</v>
      </c>
      <c r="B100" s="335">
        <v>1499</v>
      </c>
    </row>
    <row r="101" spans="1:6">
      <c r="A101" s="1212" t="s">
        <v>75</v>
      </c>
      <c r="B101" s="335">
        <v>72</v>
      </c>
    </row>
    <row r="102" spans="1:6">
      <c r="A102" s="1212" t="s">
        <v>76</v>
      </c>
      <c r="B102" s="335">
        <v>190</v>
      </c>
    </row>
    <row r="103" spans="1:6">
      <c r="A103" s="1212" t="s">
        <v>77</v>
      </c>
      <c r="B103" s="335">
        <v>69</v>
      </c>
    </row>
    <row r="104" spans="1:6">
      <c r="A104" s="1212" t="s">
        <v>78</v>
      </c>
      <c r="B104" s="335">
        <v>1638</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45</v>
      </c>
      <c r="C123" s="335">
        <v>45</v>
      </c>
    </row>
    <row r="124" spans="1:6">
      <c r="A124" s="1208" t="s">
        <v>89</v>
      </c>
      <c r="B124" s="335">
        <v>11</v>
      </c>
      <c r="C124" s="335">
        <v>11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124</v>
      </c>
    </row>
    <row r="130" spans="1:6">
      <c r="A130" s="1212" t="s">
        <v>295</v>
      </c>
      <c r="B130" s="335">
        <v>4</v>
      </c>
    </row>
    <row r="131" spans="1:6">
      <c r="A131" s="1212" t="s">
        <v>296</v>
      </c>
      <c r="B131" s="335">
        <v>2</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119154.91607938331</v>
      </c>
      <c r="C3" s="43" t="s">
        <v>170</v>
      </c>
      <c r="D3" s="43"/>
      <c r="E3" s="156"/>
      <c r="F3" s="43"/>
      <c r="G3" s="43"/>
      <c r="H3" s="43"/>
      <c r="I3" s="43"/>
      <c r="J3" s="43"/>
      <c r="K3" s="96"/>
    </row>
    <row r="4" spans="1:11">
      <c r="A4" s="366" t="s">
        <v>171</v>
      </c>
      <c r="B4" s="49">
        <f>IF(ISERROR('SEAP template'!B69),0,'SEAP template'!B69)</f>
        <v>3130.5739234583189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5.8817647058823539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0.21524299814938902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8.4025210084033635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35.357142857142861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3138.5709999999999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0.21524299814938902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675.55543194472602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56759.6675145513</v>
      </c>
      <c r="C5" s="17">
        <f>IF(ISERROR('Eigen informatie GS &amp; warmtenet'!B57),0,'Eigen informatie GS &amp; warmtenet'!B57)</f>
        <v>0</v>
      </c>
      <c r="D5" s="30">
        <f>(SUM(HH_hh_gas_kWh,HH_rest_gas_kWh)/1000)*0.902</f>
        <v>142743.21843057848</v>
      </c>
      <c r="E5" s="17">
        <f>B46*B57</f>
        <v>0</v>
      </c>
      <c r="F5" s="17">
        <f>B51*B62</f>
        <v>0</v>
      </c>
      <c r="G5" s="18"/>
      <c r="H5" s="17"/>
      <c r="I5" s="17"/>
      <c r="J5" s="17">
        <f>B50*B61+C50*C61</f>
        <v>0</v>
      </c>
      <c r="K5" s="17"/>
      <c r="L5" s="17"/>
      <c r="M5" s="17"/>
      <c r="N5" s="17">
        <f>B48*B59+C48*C59</f>
        <v>0</v>
      </c>
      <c r="O5" s="17">
        <f>B69*B70*B71</f>
        <v>281.40000000000003</v>
      </c>
      <c r="P5" s="17">
        <f>B77*B78*B79/1000-B77*B78*B79/1000/B80</f>
        <v>1201.2</v>
      </c>
    </row>
    <row r="6" spans="1:16">
      <c r="A6" s="16" t="s">
        <v>634</v>
      </c>
      <c r="B6" s="831">
        <f>kWh_PV_kleiner_dan_10kW</f>
        <v>2556.0100215223706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59315.677536073672</v>
      </c>
      <c r="C8" s="21">
        <f>C5</f>
        <v>0</v>
      </c>
      <c r="D8" s="21">
        <f>D5</f>
        <v>142743.21843057848</v>
      </c>
      <c r="E8" s="21">
        <f>E5</f>
        <v>0</v>
      </c>
      <c r="F8" s="21">
        <f>F5</f>
        <v>0</v>
      </c>
      <c r="G8" s="21"/>
      <c r="H8" s="21"/>
      <c r="I8" s="21"/>
      <c r="J8" s="21">
        <f>J5</f>
        <v>0</v>
      </c>
      <c r="K8" s="21"/>
      <c r="L8" s="21">
        <f>L5</f>
        <v>0</v>
      </c>
      <c r="M8" s="21">
        <f>M5</f>
        <v>0</v>
      </c>
      <c r="N8" s="21">
        <f>N5</f>
        <v>0</v>
      </c>
      <c r="O8" s="21">
        <f>O5</f>
        <v>281.40000000000003</v>
      </c>
      <c r="P8" s="21">
        <f>P5</f>
        <v>1201.2</v>
      </c>
    </row>
    <row r="9" spans="1:16">
      <c r="B9" s="19"/>
      <c r="C9" s="19"/>
      <c r="D9" s="261"/>
      <c r="E9" s="19"/>
      <c r="F9" s="19"/>
      <c r="G9" s="19"/>
      <c r="H9" s="19"/>
      <c r="I9" s="19"/>
      <c r="J9" s="19"/>
      <c r="K9" s="19"/>
      <c r="L9" s="19"/>
      <c r="M9" s="19"/>
      <c r="N9" s="19"/>
      <c r="O9" s="19"/>
      <c r="P9" s="19"/>
    </row>
    <row r="10" spans="1:16">
      <c r="A10" s="24" t="s">
        <v>214</v>
      </c>
      <c r="B10" s="25">
        <f ca="1">'EF ele_warmte'!B12</f>
        <v>0.21524299814938902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12767.284270126862</v>
      </c>
      <c r="C12" s="23">
        <f ca="1">C10*C8</f>
        <v>0</v>
      </c>
      <c r="D12" s="23">
        <f>D8*D10</f>
        <v>28834.130122976854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5266</v>
      </c>
      <c r="C18" s="168" t="s">
        <v>111</v>
      </c>
      <c r="D18" s="230"/>
      <c r="E18" s="15"/>
    </row>
    <row r="19" spans="1:7">
      <c r="A19" s="173" t="s">
        <v>72</v>
      </c>
      <c r="B19" s="37">
        <f>aantalw2001_ander</f>
        <v>0</v>
      </c>
      <c r="C19" s="168" t="s">
        <v>111</v>
      </c>
      <c r="D19" s="231"/>
      <c r="E19" s="15"/>
    </row>
    <row r="20" spans="1:7">
      <c r="A20" s="173" t="s">
        <v>73</v>
      </c>
      <c r="B20" s="37">
        <f>aantalw2001_propaan</f>
        <v>87</v>
      </c>
      <c r="C20" s="169">
        <f>IF(ISERROR(B20/SUM($B$20,$B$21,$B$22)*100),0,B20/SUM($B$20,$B$21,$B$22)*100)</f>
        <v>5.2472858866103742</v>
      </c>
      <c r="D20" s="231"/>
      <c r="E20" s="15"/>
    </row>
    <row r="21" spans="1:7">
      <c r="A21" s="173" t="s">
        <v>74</v>
      </c>
      <c r="B21" s="37">
        <f>aantalw2001_elektriciteit</f>
        <v>1499</v>
      </c>
      <c r="C21" s="169">
        <f>IF(ISERROR(B21/SUM($B$20,$B$21,$B$22)*100),0,B21/SUM($B$20,$B$21,$B$22)*100)</f>
        <v>90.410132689987933</v>
      </c>
      <c r="D21" s="231"/>
      <c r="E21" s="15"/>
    </row>
    <row r="22" spans="1:7">
      <c r="A22" s="173" t="s">
        <v>75</v>
      </c>
      <c r="B22" s="37">
        <f>aantalw2001_hout</f>
        <v>72</v>
      </c>
      <c r="C22" s="169">
        <f>IF(ISERROR(B22/SUM($B$20,$B$21,$B$22)*100),0,B22/SUM($B$20,$B$21,$B$22)*100)</f>
        <v>4.3425814234016888</v>
      </c>
      <c r="D22" s="231"/>
      <c r="E22" s="15"/>
    </row>
    <row r="23" spans="1:7">
      <c r="A23" s="173" t="s">
        <v>76</v>
      </c>
      <c r="B23" s="37">
        <f>aantalw2001_niet_gespec</f>
        <v>190</v>
      </c>
      <c r="C23" s="168" t="s">
        <v>111</v>
      </c>
      <c r="D23" s="230"/>
      <c r="E23" s="15"/>
    </row>
    <row r="24" spans="1:7">
      <c r="A24" s="173" t="s">
        <v>77</v>
      </c>
      <c r="B24" s="37">
        <f>aantalw2001_steenkool</f>
        <v>69</v>
      </c>
      <c r="C24" s="168" t="s">
        <v>111</v>
      </c>
      <c r="D24" s="231"/>
      <c r="E24" s="15"/>
    </row>
    <row r="25" spans="1:7">
      <c r="A25" s="173" t="s">
        <v>78</v>
      </c>
      <c r="B25" s="37">
        <f>aantalw2001_stookolie</f>
        <v>1638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11075</v>
      </c>
      <c r="C28" s="36"/>
      <c r="D28" s="230"/>
    </row>
    <row r="29" spans="1:7" s="15" customFormat="1">
      <c r="A29" s="232" t="s">
        <v>746</v>
      </c>
      <c r="B29" s="37">
        <f>SUM(HH_hh_gas_aantal,HH_rest_gas_aantal)</f>
        <v>12606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12606</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12606</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50127.381799626324</v>
      </c>
      <c r="C5" s="17">
        <f>IF(ISERROR('Eigen informatie GS &amp; warmtenet'!B58),0,'Eigen informatie GS &amp; warmtenet'!B58)</f>
        <v>0</v>
      </c>
      <c r="D5" s="30">
        <f>SUM(D6:D12)</f>
        <v>73295.368486954292</v>
      </c>
      <c r="E5" s="17">
        <f>SUM(E6:E12)</f>
        <v>1030.2527977516179</v>
      </c>
      <c r="F5" s="17">
        <f>SUM(F6:F12)</f>
        <v>11110.481586687491</v>
      </c>
      <c r="G5" s="18"/>
      <c r="H5" s="17"/>
      <c r="I5" s="17"/>
      <c r="J5" s="17">
        <f>SUM(J6:J12)</f>
        <v>0</v>
      </c>
      <c r="K5" s="17"/>
      <c r="L5" s="17"/>
      <c r="M5" s="17"/>
      <c r="N5" s="17">
        <f>SUM(N6:N12)</f>
        <v>5928.2762297793261</v>
      </c>
      <c r="O5" s="17">
        <f>B38*B39*B40</f>
        <v>6.2533333333333339</v>
      </c>
      <c r="P5" s="17">
        <f>B46*B47*B48/1000-B46*B47*B48/1000/B49</f>
        <v>38.133333333333333</v>
      </c>
      <c r="R5" s="32"/>
    </row>
    <row r="6" spans="1:18">
      <c r="A6" s="32" t="s">
        <v>54</v>
      </c>
      <c r="B6" s="37">
        <f>B26</f>
        <v>14431.9166672348</v>
      </c>
      <c r="C6" s="33"/>
      <c r="D6" s="37">
        <f>IF(ISERROR(TER_kantoor_gas_kWh/1000),0,TER_kantoor_gas_kWh/1000)*0.902</f>
        <v>27123.26562460139</v>
      </c>
      <c r="E6" s="33">
        <f>$C$26*'E Balans VL '!I12/100/3.6*1000000</f>
        <v>56.071051666988907</v>
      </c>
      <c r="F6" s="33">
        <f>$C$26*('E Balans VL '!L12+'E Balans VL '!N12)/100/3.6*1000000</f>
        <v>2194.9632051144777</v>
      </c>
      <c r="G6" s="34"/>
      <c r="H6" s="33"/>
      <c r="I6" s="33"/>
      <c r="J6" s="33">
        <f>$C$26*('E Balans VL '!D12+'E Balans VL '!E12)/100/3.6*1000000</f>
        <v>0</v>
      </c>
      <c r="K6" s="33"/>
      <c r="L6" s="33"/>
      <c r="M6" s="33"/>
      <c r="N6" s="33">
        <f>$C$26*'E Balans VL '!Y12/100/3.6*1000000</f>
        <v>7.9537149846855622</v>
      </c>
      <c r="O6" s="33"/>
      <c r="P6" s="33"/>
      <c r="R6" s="32"/>
    </row>
    <row r="7" spans="1:18">
      <c r="A7" s="32" t="s">
        <v>53</v>
      </c>
      <c r="B7" s="37">
        <f t="shared" ref="B7:B12" si="0">B27</f>
        <v>13373.6191002785</v>
      </c>
      <c r="C7" s="33"/>
      <c r="D7" s="37">
        <f>IF(ISERROR(TER_horeca_gas_kWh/1000),0,TER_horeca_gas_kWh/1000)*0.902</f>
        <v>25539.409587326052</v>
      </c>
      <c r="E7" s="33">
        <f>$C$27*'E Balans VL '!I9/100/3.6*1000000</f>
        <v>753.33953943203539</v>
      </c>
      <c r="F7" s="33">
        <f>$C$27*('E Balans VL '!L9+'E Balans VL '!N9)/100/3.6*1000000</f>
        <v>3856.1510862895025</v>
      </c>
      <c r="G7" s="34"/>
      <c r="H7" s="33"/>
      <c r="I7" s="33"/>
      <c r="J7" s="33">
        <f>$C$27*('E Balans VL '!D9+'E Balans VL '!E9)/100/3.6*1000000</f>
        <v>0</v>
      </c>
      <c r="K7" s="33"/>
      <c r="L7" s="33"/>
      <c r="M7" s="33"/>
      <c r="N7" s="33">
        <f>$C$27*'E Balans VL '!Y9/100/3.6*1000000</f>
        <v>3.6923867377233965</v>
      </c>
      <c r="O7" s="33"/>
      <c r="P7" s="33"/>
      <c r="R7" s="32"/>
    </row>
    <row r="8" spans="1:18">
      <c r="A8" s="6" t="s">
        <v>52</v>
      </c>
      <c r="B8" s="37">
        <f t="shared" si="0"/>
        <v>10703.1420904647</v>
      </c>
      <c r="C8" s="33"/>
      <c r="D8" s="37">
        <f>IF(ISERROR(TER_handel_gas_kWh/1000),0,TER_handel_gas_kWh/1000)*0.902</f>
        <v>6304.3750561518336</v>
      </c>
      <c r="E8" s="33">
        <f>$C$28*'E Balans VL '!I13/100/3.6*1000000</f>
        <v>154.26858967253369</v>
      </c>
      <c r="F8" s="33">
        <f>$C$28*('E Balans VL '!L13+'E Balans VL '!N13)/100/3.6*1000000</f>
        <v>1859.3850404732696</v>
      </c>
      <c r="G8" s="34"/>
      <c r="H8" s="33"/>
      <c r="I8" s="33"/>
      <c r="J8" s="33">
        <f>$C$28*('E Balans VL '!D13+'E Balans VL '!E13)/100/3.6*1000000</f>
        <v>0</v>
      </c>
      <c r="K8" s="33"/>
      <c r="L8" s="33"/>
      <c r="M8" s="33"/>
      <c r="N8" s="33">
        <f>$C$28*'E Balans VL '!Y13/100/3.6*1000000</f>
        <v>32.067805201354794</v>
      </c>
      <c r="O8" s="33"/>
      <c r="P8" s="33"/>
      <c r="R8" s="32"/>
    </row>
    <row r="9" spans="1:18">
      <c r="A9" s="32" t="s">
        <v>51</v>
      </c>
      <c r="B9" s="37">
        <f t="shared" si="0"/>
        <v>574.22067560387302</v>
      </c>
      <c r="C9" s="33"/>
      <c r="D9" s="37">
        <f>IF(ISERROR(TER_gezond_gas_kWh/1000),0,TER_gezond_gas_kWh/1000)*0.902</f>
        <v>1080.2658169011227</v>
      </c>
      <c r="E9" s="33">
        <f>$C$29*'E Balans VL '!I10/100/3.6*1000000</f>
        <v>0.61341651407835129</v>
      </c>
      <c r="F9" s="33">
        <f>$C$29*('E Balans VL '!L10+'E Balans VL '!N10)/100/3.6*1000000</f>
        <v>93.672843412184548</v>
      </c>
      <c r="G9" s="34"/>
      <c r="H9" s="33"/>
      <c r="I9" s="33"/>
      <c r="J9" s="33">
        <f>$C$29*('E Balans VL '!D10+'E Balans VL '!E10)/100/3.6*1000000</f>
        <v>0</v>
      </c>
      <c r="K9" s="33"/>
      <c r="L9" s="33"/>
      <c r="M9" s="33"/>
      <c r="N9" s="33">
        <f>$C$29*'E Balans VL '!Y10/100/3.6*1000000</f>
        <v>5.9112742115609684</v>
      </c>
      <c r="O9" s="33"/>
      <c r="P9" s="33"/>
      <c r="R9" s="32"/>
    </row>
    <row r="10" spans="1:18">
      <c r="A10" s="32" t="s">
        <v>50</v>
      </c>
      <c r="B10" s="37">
        <f t="shared" si="0"/>
        <v>8184.2123312406593</v>
      </c>
      <c r="C10" s="33"/>
      <c r="D10" s="37">
        <f>IF(ISERROR(TER_ander_gas_kWh/1000),0,TER_ander_gas_kWh/1000)*0.902</f>
        <v>2745.8898468685488</v>
      </c>
      <c r="E10" s="33">
        <f>$C$30*'E Balans VL '!I14/100/3.6*1000000</f>
        <v>37.637947600265925</v>
      </c>
      <c r="F10" s="33">
        <f>$C$30*('E Balans VL '!L14+'E Balans VL '!N14)/100/3.6*1000000</f>
        <v>2453.0665889321281</v>
      </c>
      <c r="G10" s="34"/>
      <c r="H10" s="33"/>
      <c r="I10" s="33"/>
      <c r="J10" s="33">
        <f>$C$30*('E Balans VL '!D14+'E Balans VL '!E14)/100/3.6*1000000</f>
        <v>0</v>
      </c>
      <c r="K10" s="33"/>
      <c r="L10" s="33"/>
      <c r="M10" s="33"/>
      <c r="N10" s="33">
        <f>$C$30*'E Balans VL '!Y14/100/3.6*1000000</f>
        <v>5696.7520286905701</v>
      </c>
      <c r="O10" s="33"/>
      <c r="P10" s="33"/>
      <c r="R10" s="32"/>
    </row>
    <row r="11" spans="1:18">
      <c r="A11" s="32" t="s">
        <v>55</v>
      </c>
      <c r="B11" s="37">
        <f t="shared" si="0"/>
        <v>568.78100155776599</v>
      </c>
      <c r="C11" s="33"/>
      <c r="D11" s="37">
        <f>IF(ISERROR(TER_onderwijs_gas_kWh/1000),0,TER_onderwijs_gas_kWh/1000)*0.902</f>
        <v>729.54993877563038</v>
      </c>
      <c r="E11" s="33">
        <f>$C$31*'E Balans VL '!I11/100/3.6*1000000</f>
        <v>0.52761917863941965</v>
      </c>
      <c r="F11" s="33">
        <f>$C$31*('E Balans VL '!L11+'E Balans VL '!N11)/100/3.6*1000000</f>
        <v>199.799693355785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2291.48993324603</v>
      </c>
      <c r="C12" s="33"/>
      <c r="D12" s="37">
        <f>IF(ISERROR(TER_rest_gas_kWh/1000),0,TER_rest_gas_kWh/1000)*0.902</f>
        <v>9772.6126163297104</v>
      </c>
      <c r="E12" s="33">
        <f>$C$32*'E Balans VL '!I8/100/3.6*1000000</f>
        <v>27.794633687076313</v>
      </c>
      <c r="F12" s="33">
        <f>$C$32*('E Balans VL '!L8+'E Balans VL '!N8)/100/3.6*1000000</f>
        <v>453.44312911014441</v>
      </c>
      <c r="G12" s="34"/>
      <c r="H12" s="33"/>
      <c r="I12" s="33"/>
      <c r="J12" s="33">
        <f>$C$32*('E Balans VL '!D8+'E Balans VL '!E8)/100/3.6*1000000</f>
        <v>0</v>
      </c>
      <c r="K12" s="33"/>
      <c r="L12" s="33"/>
      <c r="M12" s="33"/>
      <c r="N12" s="33">
        <f>$C$32*'E Balans VL '!Y8/100/3.6*1000000</f>
        <v>181.89901995343089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50127.381799626324</v>
      </c>
      <c r="C16" s="21">
        <f t="shared" ca="1" si="1"/>
        <v>0</v>
      </c>
      <c r="D16" s="21">
        <f t="shared" ca="1" si="1"/>
        <v>73295.368486954292</v>
      </c>
      <c r="E16" s="21">
        <f t="shared" si="1"/>
        <v>1030.2527977516179</v>
      </c>
      <c r="F16" s="21">
        <f t="shared" ca="1" si="1"/>
        <v>11110.481586687491</v>
      </c>
      <c r="G16" s="21">
        <f t="shared" si="1"/>
        <v>0</v>
      </c>
      <c r="H16" s="21">
        <f t="shared" si="1"/>
        <v>0</v>
      </c>
      <c r="I16" s="21">
        <f t="shared" si="1"/>
        <v>0</v>
      </c>
      <c r="J16" s="21">
        <f t="shared" si="1"/>
        <v>0</v>
      </c>
      <c r="K16" s="21">
        <f t="shared" si="1"/>
        <v>0</v>
      </c>
      <c r="L16" s="21">
        <f t="shared" ca="1" si="1"/>
        <v>0</v>
      </c>
      <c r="M16" s="21">
        <f t="shared" si="1"/>
        <v>0</v>
      </c>
      <c r="N16" s="21">
        <f t="shared" ca="1" si="1"/>
        <v>5928.2762297793261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0.21524299814938902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10789.567947930685</v>
      </c>
      <c r="C20" s="23">
        <f t="shared" ref="C20:P20" ca="1" si="2">C16*C18</f>
        <v>0</v>
      </c>
      <c r="D20" s="23">
        <f t="shared" ca="1" si="2"/>
        <v>14805.664434364768</v>
      </c>
      <c r="E20" s="23">
        <f t="shared" si="2"/>
        <v>233.86738508961727</v>
      </c>
      <c r="F20" s="23">
        <f t="shared" ca="1" si="2"/>
        <v>2966.4985836455603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14431.9166672348</v>
      </c>
      <c r="C26" s="39">
        <f>IF(ISERROR(B26*3.6/1000000/'E Balans VL '!Z12*100),0,B26*3.6/1000000/'E Balans VL '!Z12*100)</f>
        <v>0.30654105865427328</v>
      </c>
      <c r="D26" s="239" t="s">
        <v>692</v>
      </c>
      <c r="F26" s="6"/>
    </row>
    <row r="27" spans="1:18">
      <c r="A27" s="233" t="s">
        <v>53</v>
      </c>
      <c r="B27" s="33">
        <f>IF(ISERROR(TER_horeca_ele_kWh/1000),0,TER_horeca_ele_kWh/1000)</f>
        <v>13373.6191002785</v>
      </c>
      <c r="C27" s="39">
        <f>IF(ISERROR(B27*3.6/1000000/'E Balans VL '!Z9*100),0,B27*3.6/1000000/'E Balans VL '!Z9*100)</f>
        <v>1.0398803314340721</v>
      </c>
      <c r="D27" s="239" t="s">
        <v>692</v>
      </c>
      <c r="F27" s="6"/>
    </row>
    <row r="28" spans="1:18">
      <c r="A28" s="173" t="s">
        <v>52</v>
      </c>
      <c r="B28" s="33">
        <f>IF(ISERROR(TER_handel_ele_kWh/1000),0,TER_handel_ele_kWh/1000)</f>
        <v>10703.1420904647</v>
      </c>
      <c r="C28" s="39">
        <f>IF(ISERROR(B28*3.6/1000000/'E Balans VL '!Z13*100),0,B28*3.6/1000000/'E Balans VL '!Z13*100)</f>
        <v>0.30622949154635981</v>
      </c>
      <c r="D28" s="239" t="s">
        <v>692</v>
      </c>
      <c r="F28" s="6"/>
    </row>
    <row r="29" spans="1:18">
      <c r="A29" s="233" t="s">
        <v>51</v>
      </c>
      <c r="B29" s="33">
        <f>IF(ISERROR(TER_gezond_ele_kWh/1000),0,TER_gezond_ele_kWh/1000)</f>
        <v>574.22067560387302</v>
      </c>
      <c r="C29" s="39">
        <f>IF(ISERROR(B29*3.6/1000000/'E Balans VL '!Z10*100),0,B29*3.6/1000000/'E Balans VL '!Z10*100)</f>
        <v>6.2603396929038282E-2</v>
      </c>
      <c r="D29" s="239" t="s">
        <v>692</v>
      </c>
      <c r="F29" s="6"/>
    </row>
    <row r="30" spans="1:18">
      <c r="A30" s="233" t="s">
        <v>50</v>
      </c>
      <c r="B30" s="33">
        <f>IF(ISERROR(TER_ander_ele_kWh/1000),0,TER_ander_ele_kWh/1000)</f>
        <v>8184.2123312406593</v>
      </c>
      <c r="C30" s="39">
        <f>IF(ISERROR(B30*3.6/1000000/'E Balans VL '!Z14*100),0,B30*3.6/1000000/'E Balans VL '!Z14*100)</f>
        <v>0.59890209295462016</v>
      </c>
      <c r="D30" s="239" t="s">
        <v>692</v>
      </c>
      <c r="F30" s="6"/>
    </row>
    <row r="31" spans="1:18">
      <c r="A31" s="233" t="s">
        <v>55</v>
      </c>
      <c r="B31" s="33">
        <f>IF(ISERROR(TER_onderwijs_ele_kWh/1000),0,TER_onderwijs_ele_kWh/1000)</f>
        <v>568.78100155776599</v>
      </c>
      <c r="C31" s="39">
        <f>IF(ISERROR(B31*3.6/1000000/'E Balans VL '!Z11*100),0,B31*3.6/1000000/'E Balans VL '!Z11*100)</f>
        <v>0.11424008652800238</v>
      </c>
      <c r="D31" s="239" t="s">
        <v>692</v>
      </c>
    </row>
    <row r="32" spans="1:18">
      <c r="A32" s="233" t="s">
        <v>260</v>
      </c>
      <c r="B32" s="33">
        <f>IF(ISERROR(TER_rest_ele_kWh/1000),0,TER_rest_ele_kWh/1000)</f>
        <v>2291.48993324603</v>
      </c>
      <c r="C32" s="39">
        <f>IF(ISERROR(B32*3.6/1000000/'E Balans VL '!Z8*100),0,B32*3.6/1000000/'E Balans VL '!Z8*100)</f>
        <v>1.8674252321371675E-2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4206.3054936184781</v>
      </c>
      <c r="C5" s="17">
        <f>IF(ISERROR('Eigen informatie GS &amp; warmtenet'!B59),0,'Eigen informatie GS &amp; warmtenet'!B59)</f>
        <v>0</v>
      </c>
      <c r="D5" s="30">
        <f>SUM(D6:D15)</f>
        <v>4319.4675192411687</v>
      </c>
      <c r="E5" s="17">
        <f>SUM(E6:E15)</f>
        <v>864.78797025005974</v>
      </c>
      <c r="F5" s="17">
        <f>SUM(F6:F15)</f>
        <v>3562.9392271413376</v>
      </c>
      <c r="G5" s="18"/>
      <c r="H5" s="17"/>
      <c r="I5" s="17"/>
      <c r="J5" s="17">
        <f>SUM(J6:J15)</f>
        <v>0.43158473212028658</v>
      </c>
      <c r="K5" s="17"/>
      <c r="L5" s="17"/>
      <c r="M5" s="17"/>
      <c r="N5" s="17">
        <f>SUM(N6:N15)</f>
        <v>1306.9012337038109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116.787259308594</v>
      </c>
      <c r="C8" s="33"/>
      <c r="D8" s="37">
        <f>IF( ISERROR(IND_metaal_Gas_kWH/1000),0,IND_metaal_Gas_kWH/1000)*0.902</f>
        <v>0</v>
      </c>
      <c r="E8" s="33">
        <f>C30*'E Balans VL '!I18/100/3.6*1000000</f>
        <v>3.3545684529362054</v>
      </c>
      <c r="F8" s="33">
        <f>C30*'E Balans VL '!L18/100/3.6*1000000+C30*'E Balans VL '!N18/100/3.6*1000000</f>
        <v>29.953685870861936</v>
      </c>
      <c r="G8" s="34"/>
      <c r="H8" s="33"/>
      <c r="I8" s="33"/>
      <c r="J8" s="40">
        <f>C30*'E Balans VL '!D18/100/3.6*1000000+C30*'E Balans VL '!E18/100/3.6*1000000</f>
        <v>0</v>
      </c>
      <c r="K8" s="33"/>
      <c r="L8" s="33"/>
      <c r="M8" s="33"/>
      <c r="N8" s="33">
        <f>C30*'E Balans VL '!Y18/100/3.6*1000000</f>
        <v>3.1710124868000591</v>
      </c>
      <c r="O8" s="33"/>
      <c r="P8" s="33"/>
      <c r="R8" s="32"/>
    </row>
    <row r="9" spans="1:18">
      <c r="A9" s="6" t="s">
        <v>33</v>
      </c>
      <c r="B9" s="37">
        <f t="shared" si="0"/>
        <v>2822.3537395318999</v>
      </c>
      <c r="C9" s="33"/>
      <c r="D9" s="37">
        <f>IF( ISERROR(IND_andere_gas_kWh/1000),0,IND_andere_gas_kWh/1000)*0.902</f>
        <v>2318.9217361916753</v>
      </c>
      <c r="E9" s="33">
        <f>C31*'E Balans VL '!I19/100/3.6*1000000</f>
        <v>763.94176396573914</v>
      </c>
      <c r="F9" s="33">
        <f>C31*'E Balans VL '!L19/100/3.6*1000000+C31*'E Balans VL '!N19/100/3.6*1000000</f>
        <v>1879.9862579425987</v>
      </c>
      <c r="G9" s="34"/>
      <c r="H9" s="33"/>
      <c r="I9" s="33"/>
      <c r="J9" s="40">
        <f>C31*'E Balans VL '!D19/100/3.6*1000000+C31*'E Balans VL '!E19/100/3.6*1000000</f>
        <v>0</v>
      </c>
      <c r="K9" s="33"/>
      <c r="L9" s="33"/>
      <c r="M9" s="33"/>
      <c r="N9" s="33">
        <f>C31*'E Balans VL '!Y19/100/3.6*1000000</f>
        <v>921.4516126478245</v>
      </c>
      <c r="O9" s="33"/>
      <c r="P9" s="33"/>
      <c r="R9" s="32"/>
    </row>
    <row r="10" spans="1:18">
      <c r="A10" s="6" t="s">
        <v>41</v>
      </c>
      <c r="B10" s="37">
        <f t="shared" si="0"/>
        <v>1081.9796485306199</v>
      </c>
      <c r="C10" s="33"/>
      <c r="D10" s="37">
        <f>IF( ISERROR(IND_voed_gas_kWh/1000),0,IND_voed_gas_kWh/1000)*0.902</f>
        <v>1424.1515894274523</v>
      </c>
      <c r="E10" s="33">
        <f>C32*'E Balans VL '!I20/100/3.6*1000000</f>
        <v>88.248745917716406</v>
      </c>
      <c r="F10" s="33">
        <f>C32*'E Balans VL '!L20/100/3.6*1000000+C32*'E Balans VL '!N20/100/3.6*1000000</f>
        <v>1613.3298217542824</v>
      </c>
      <c r="G10" s="34"/>
      <c r="H10" s="33"/>
      <c r="I10" s="33"/>
      <c r="J10" s="40">
        <f>C32*'E Balans VL '!D20/100/3.6*1000000+C32*'E Balans VL '!E20/100/3.6*1000000</f>
        <v>1.4313277402953102E-2</v>
      </c>
      <c r="K10" s="33"/>
      <c r="L10" s="33"/>
      <c r="M10" s="33"/>
      <c r="N10" s="33">
        <f>C32*'E Balans VL '!Y20/100/3.6*1000000</f>
        <v>317.84744179325344</v>
      </c>
      <c r="O10" s="33"/>
      <c r="P10" s="33"/>
      <c r="R10" s="32"/>
    </row>
    <row r="11" spans="1:18">
      <c r="A11" s="6" t="s">
        <v>40</v>
      </c>
      <c r="B11" s="37">
        <f t="shared" si="0"/>
        <v>7.2022020295568003</v>
      </c>
      <c r="C11" s="33"/>
      <c r="D11" s="37">
        <f>IF( ISERROR(IND_textiel_gas_kWh/1000),0,IND_textiel_gas_kWh/1000)*0.902</f>
        <v>0</v>
      </c>
      <c r="E11" s="33">
        <f>C33*'E Balans VL '!I21/100/3.6*1000000</f>
        <v>1.4276237972212203E-3</v>
      </c>
      <c r="F11" s="33">
        <f>C33*'E Balans VL '!L21/100/3.6*1000000+C33*'E Balans VL '!N21/100/3.6*1000000</f>
        <v>0.26526579023306518</v>
      </c>
      <c r="G11" s="34"/>
      <c r="H11" s="33"/>
      <c r="I11" s="33"/>
      <c r="J11" s="40">
        <f>C33*'E Balans VL '!D21/100/3.6*1000000+C33*'E Balans VL '!E21/100/3.6*1000000</f>
        <v>0</v>
      </c>
      <c r="K11" s="33"/>
      <c r="L11" s="33"/>
      <c r="M11" s="33"/>
      <c r="N11" s="33">
        <f>C33*'E Balans VL '!Y21/100/3.6*1000000</f>
        <v>3.3488421300258739E-2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15.1807648884441</v>
      </c>
      <c r="C13" s="33"/>
      <c r="D13" s="37">
        <f>IF( ISERROR(IND_papier_gas_kWh/1000),0,IND_papier_gas_kWh/1000)*0.902</f>
        <v>110.53557562639007</v>
      </c>
      <c r="E13" s="33">
        <f>C35*'E Balans VL '!I23/100/3.6*1000000</f>
        <v>0.15904616818493605</v>
      </c>
      <c r="F13" s="33">
        <f>C35*'E Balans VL '!L23/100/3.6*1000000+C35*'E Balans VL '!N23/100/3.6*1000000</f>
        <v>1.1327913667060532</v>
      </c>
      <c r="G13" s="34"/>
      <c r="H13" s="33"/>
      <c r="I13" s="33"/>
      <c r="J13" s="40">
        <f>C35*'E Balans VL '!D23/100/3.6*1000000+C35*'E Balans VL '!E23/100/3.6*1000000</f>
        <v>0</v>
      </c>
      <c r="K13" s="33"/>
      <c r="L13" s="33"/>
      <c r="M13" s="33"/>
      <c r="N13" s="33">
        <f>C35*'E Balans VL '!Y23/100/3.6*1000000</f>
        <v>32.447300428954193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162.801879329364</v>
      </c>
      <c r="C15" s="33"/>
      <c r="D15" s="37">
        <f>IF( ISERROR(IND_rest_gas_kWh/1000),0,IND_rest_gas_kWh/1000)*0.902</f>
        <v>465.85861799565015</v>
      </c>
      <c r="E15" s="33">
        <f>C37*'E Balans VL '!I15/100/3.6*1000000</f>
        <v>9.082418121685965</v>
      </c>
      <c r="F15" s="33">
        <f>C37*'E Balans VL '!L15/100/3.6*1000000+C37*'E Balans VL '!N15/100/3.6*1000000</f>
        <v>38.271404416655471</v>
      </c>
      <c r="G15" s="34"/>
      <c r="H15" s="33"/>
      <c r="I15" s="33"/>
      <c r="J15" s="40">
        <f>C37*'E Balans VL '!D15/100/3.6*1000000+C37*'E Balans VL '!E15/100/3.6*1000000</f>
        <v>0.41727145471733346</v>
      </c>
      <c r="K15" s="33"/>
      <c r="L15" s="33"/>
      <c r="M15" s="33"/>
      <c r="N15" s="33">
        <f>C37*'E Balans VL '!Y15/100/3.6*1000000</f>
        <v>31.950377925678595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4206.3054936184781</v>
      </c>
      <c r="C18" s="21">
        <f>C5+C16</f>
        <v>0</v>
      </c>
      <c r="D18" s="21">
        <f>MAX((D5+D16),0)</f>
        <v>4319.4675192411687</v>
      </c>
      <c r="E18" s="21">
        <f>MAX((E5+E16),0)</f>
        <v>864.78797025005974</v>
      </c>
      <c r="F18" s="21">
        <f>MAX((F5+F16),0)</f>
        <v>3562.9392271413376</v>
      </c>
      <c r="G18" s="21"/>
      <c r="H18" s="21"/>
      <c r="I18" s="21"/>
      <c r="J18" s="21">
        <f>MAX((J5+J16),0)</f>
        <v>0.43158473212028658</v>
      </c>
      <c r="K18" s="21"/>
      <c r="L18" s="21">
        <f>MAX((L5+L16),0)</f>
        <v>0</v>
      </c>
      <c r="M18" s="21"/>
      <c r="N18" s="21">
        <f>MAX((N5+N16),0)</f>
        <v>1306.9012337038109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0.21524299814938902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905.37780557868689</v>
      </c>
      <c r="C22" s="23">
        <f ca="1">C18*C20</f>
        <v>0</v>
      </c>
      <c r="D22" s="23">
        <f>D18*D20</f>
        <v>872.53243888671614</v>
      </c>
      <c r="E22" s="23">
        <f>E18*E20</f>
        <v>196.30686924676357</v>
      </c>
      <c r="F22" s="23">
        <f>F18*F20</f>
        <v>951.3047736467372</v>
      </c>
      <c r="G22" s="23"/>
      <c r="H22" s="23"/>
      <c r="I22" s="23"/>
      <c r="J22" s="23">
        <f>J18*J20</f>
        <v>0.15278099517058144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116.787259308594</v>
      </c>
      <c r="C30" s="39">
        <f>IF(ISERROR(B30*3.6/1000000/'E Balans VL '!Z18*100),0,B30*3.6/1000000/'E Balans VL '!Z18*100)</f>
        <v>1.1491568189850535E-2</v>
      </c>
      <c r="D30" s="239" t="s">
        <v>692</v>
      </c>
    </row>
    <row r="31" spans="1:18">
      <c r="A31" s="6" t="s">
        <v>33</v>
      </c>
      <c r="B31" s="37">
        <f>IF( ISERROR(IND_ander_ele_kWh/1000),0,IND_ander_ele_kWh/1000)</f>
        <v>2822.3537395318999</v>
      </c>
      <c r="C31" s="39">
        <f>IF(ISERROR(B31*3.6/1000000/'E Balans VL '!Z19*100),0,B31*3.6/1000000/'E Balans VL '!Z19*100)</f>
        <v>0.12291125398721367</v>
      </c>
      <c r="D31" s="239" t="s">
        <v>692</v>
      </c>
    </row>
    <row r="32" spans="1:18">
      <c r="A32" s="173" t="s">
        <v>41</v>
      </c>
      <c r="B32" s="37">
        <f>IF( ISERROR(IND_voed_ele_kWh/1000),0,IND_voed_ele_kWh/1000)</f>
        <v>1081.9796485306199</v>
      </c>
      <c r="C32" s="39">
        <f>IF(ISERROR(B32*3.6/1000000/'E Balans VL '!Z20*100),0,B32*3.6/1000000/'E Balans VL '!Z20*100)</f>
        <v>0.20529003446465791</v>
      </c>
      <c r="D32" s="239" t="s">
        <v>692</v>
      </c>
    </row>
    <row r="33" spans="1:5">
      <c r="A33" s="173" t="s">
        <v>40</v>
      </c>
      <c r="B33" s="37">
        <f>IF( ISERROR(IND_textiel_ele_kWh/1000),0,IND_textiel_ele_kWh/1000)</f>
        <v>7.2022020295568003</v>
      </c>
      <c r="C33" s="39">
        <f>IF(ISERROR(B33*3.6/1000000/'E Balans VL '!Z21*100),0,B33*3.6/1000000/'E Balans VL '!Z21*100)</f>
        <v>4.1120921168200927E-4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15.1807648884441</v>
      </c>
      <c r="C35" s="39">
        <f>IF(ISERROR(B35*3.6/1000000/'E Balans VL '!Z22*100),0,B35*3.6/1000000/'E Balans VL '!Z22*100)</f>
        <v>2.1345679838047364E-3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162.801879329364</v>
      </c>
      <c r="C37" s="39">
        <f>IF(ISERROR(B37*3.6/1000000/'E Balans VL '!Z15*100),0,B37*3.6/1000000/'E Balans VL '!Z15*100)</f>
        <v>1.2545884421584271E-3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1040.8023601056</v>
      </c>
      <c r="C5" s="17">
        <f>'Eigen informatie GS &amp; warmtenet'!B60</f>
        <v>0</v>
      </c>
      <c r="D5" s="30">
        <f>IF(ISERROR(SUM(LB_lb_gas_kWh,LB_rest_gas_kWh,onbekend_gas_kWh)/1000),0,SUM(LB_lb_gas_kWh,LB_rest_gas_kWh,onbekend_gas_kWh)/1000)*0.902</f>
        <v>12246.157115457905</v>
      </c>
      <c r="E5" s="17">
        <f>B17*'E Balans VL '!I25/3.6*1000000/100</f>
        <v>13.115450563387903</v>
      </c>
      <c r="F5" s="17">
        <f>B17*('E Balans VL '!L25/3.6*1000000+'E Balans VL '!N25/3.6*1000000)/100</f>
        <v>3591.0288789351757</v>
      </c>
      <c r="G5" s="18"/>
      <c r="H5" s="17"/>
      <c r="I5" s="17"/>
      <c r="J5" s="17">
        <f>('E Balans VL '!D25+'E Balans VL '!E25)/3.6*1000000*landbouw!B17/100</f>
        <v>156.52484353622236</v>
      </c>
      <c r="K5" s="17"/>
      <c r="L5" s="17">
        <f>L6*(-1)</f>
        <v>0</v>
      </c>
      <c r="M5" s="17"/>
      <c r="N5" s="17">
        <f>N6*(-1)</f>
        <v>0</v>
      </c>
      <c r="O5" s="17"/>
      <c r="P5" s="17"/>
      <c r="R5" s="32"/>
    </row>
    <row r="6" spans="1:18">
      <c r="A6" s="16" t="s">
        <v>497</v>
      </c>
      <c r="B6" s="17" t="s">
        <v>211</v>
      </c>
      <c r="C6" s="17">
        <f>'lokale energieproductie'!O91+'lokale energieproductie'!O60</f>
        <v>35.357142857142861</v>
      </c>
      <c r="D6" s="312">
        <f>('lokale energieproductie'!P60+'lokale energieproductie'!P91)*(-1)</f>
        <v>-70.714285714285722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1040.8023601056</v>
      </c>
      <c r="C8" s="21">
        <f>C5+C6</f>
        <v>35.357142857142861</v>
      </c>
      <c r="D8" s="21">
        <f>MAX((D5+D6),0)</f>
        <v>12175.442829743619</v>
      </c>
      <c r="E8" s="21">
        <f>MAX((E5+E6),0)</f>
        <v>13.115450563387903</v>
      </c>
      <c r="F8" s="21">
        <f>MAX((F5+F6),0)</f>
        <v>3591.0288789351757</v>
      </c>
      <c r="G8" s="21"/>
      <c r="H8" s="21"/>
      <c r="I8" s="21"/>
      <c r="J8" s="21">
        <f>MAX((J5+J6),0)</f>
        <v>156.52484353622236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0.21524299814938902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224.02542047008939</v>
      </c>
      <c r="C12" s="23">
        <f ca="1">C8*C10</f>
        <v>8.4025210084033635</v>
      </c>
      <c r="D12" s="23">
        <f>D8*D10</f>
        <v>2459.4394516082111</v>
      </c>
      <c r="E12" s="23">
        <f>E8*E10</f>
        <v>2.9772072778890539</v>
      </c>
      <c r="F12" s="23">
        <f>F8*F10</f>
        <v>958.80471067569192</v>
      </c>
      <c r="G12" s="23"/>
      <c r="H12" s="23"/>
      <c r="I12" s="23"/>
      <c r="J12" s="23">
        <f>J8*J10</f>
        <v>55.409794611822711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0.14515912504850231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116.50409673198321</v>
      </c>
      <c r="C26" s="249">
        <f>B26*'GWP N2O_CH4'!B5</f>
        <v>2446.5860313716476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78.671810079075257</v>
      </c>
      <c r="C27" s="249">
        <f>B27*'GWP N2O_CH4'!B5</f>
        <v>1652.1080116605804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1.9360822937703477</v>
      </c>
      <c r="C28" s="249">
        <f>B28*'GWP N2O_CH4'!B4</f>
        <v>600.18551106880773</v>
      </c>
      <c r="D28" s="50"/>
    </row>
    <row r="29" spans="1:4">
      <c r="A29" s="41" t="s">
        <v>277</v>
      </c>
      <c r="B29" s="249">
        <f>B34*'ha_N2O bodem landbouw'!B4</f>
        <v>12.985440659379105</v>
      </c>
      <c r="C29" s="249">
        <f>B29*'GWP N2O_CH4'!B4</f>
        <v>4025.4866044075225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3.2423347785024282E-3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1.8814039568949161E-5</v>
      </c>
      <c r="C5" s="448" t="s">
        <v>211</v>
      </c>
      <c r="D5" s="433">
        <f>SUM(D6:D11)</f>
        <v>2.8084522625248512E-5</v>
      </c>
      <c r="E5" s="433">
        <f>SUM(E6:E11)</f>
        <v>9.0482735008394488E-4</v>
      </c>
      <c r="F5" s="446" t="s">
        <v>211</v>
      </c>
      <c r="G5" s="433">
        <f>SUM(G6:G11)</f>
        <v>0.28307855597943904</v>
      </c>
      <c r="H5" s="433">
        <f>SUM(H6:H11)</f>
        <v>4.2734306040255132E-2</v>
      </c>
      <c r="I5" s="448" t="s">
        <v>211</v>
      </c>
      <c r="J5" s="448" t="s">
        <v>211</v>
      </c>
      <c r="K5" s="448" t="s">
        <v>211</v>
      </c>
      <c r="L5" s="448" t="s">
        <v>211</v>
      </c>
      <c r="M5" s="433">
        <f>SUM(M6:M11)</f>
        <v>1.4599517731819826E-2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1.5064134196290775E-5</v>
      </c>
      <c r="C6" s="949"/>
      <c r="D6" s="949">
        <f>vkm_2011_GW_PW*SUMIFS(TableVerdeelsleutelVkm[CNG],TableVerdeelsleutelVkm[Voertuigtype],"Lichte voertuigen")*SUMIFS(TableECFTransport[EnergieConsumptieFactor (PJ per km)],TableECFTransport[Index],CONCATENATE($A6,"_CNG_CNG"))</f>
        <v>2.1333760274569941E-5</v>
      </c>
      <c r="E6" s="949">
        <f>vkm_2011_GW_PW*SUMIFS(TableVerdeelsleutelVkm[LPG],TableVerdeelsleutelVkm[Voertuigtype],"Lichte voertuigen")*SUMIFS(TableECFTransport[EnergieConsumptieFactor (PJ per km)],TableECFTransport[Index],CONCATENATE($A6,"_LPG_LPG"))</f>
        <v>6.7002317763126317E-4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0.12042151162127708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3.235835570444924E-2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6.8177147740629187E-3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8.1791596140809206E-2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2.9141156697935631E-5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3.6909144307839172E-3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1.1546363892720709E-6</v>
      </c>
      <c r="C8" s="949"/>
      <c r="D8" s="436">
        <f>vkm_2011_NGW_PW*SUMIFS(TableVerdeelsleutelVkm[CNG],TableVerdeelsleutelVkm[Voertuigtype],"Lichte voertuigen")*SUMIFS(TableECFTransport[EnergieConsumptieFactor (PJ per km)],TableECFTransport[Index],CONCATENATE($A8,"_CNG_CNG"))</f>
        <v>2.9131205622954137E-6</v>
      </c>
      <c r="E8" s="436">
        <f>vkm_2011_NGW_PW*SUMIFS(TableVerdeelsleutelVkm[LPG],TableVerdeelsleutelVkm[Voertuigtype],"Lichte voertuigen")*SUMIFS(TableECFTransport[EnergieConsumptieFactor (PJ per km)],TableECFTransport[Index],CONCATENATE($A8,"_LPG_LPG"))</f>
        <v>8.427002774628066E-5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1.4284586869166846E-2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4.2634437222609069E-3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8.2692632742974235E-4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9.9738703219084024E-4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3.3626875953695613E-7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4.5007109862777415E-5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2.5952689833863129E-6</v>
      </c>
      <c r="C10" s="949"/>
      <c r="D10" s="436">
        <f>vkm_2011_SW_PW*SUMIFS(TableVerdeelsleutelVkm[CNG],TableVerdeelsleutelVkm[Voertuigtype],"Lichte voertuigen")*SUMIFS(TableECFTransport[EnergieConsumptieFactor (PJ per km)],TableECFTransport[Index],CONCATENATE($A10,"_CNG_CNG"))</f>
        <v>3.8376417883831569E-6</v>
      </c>
      <c r="E10" s="436">
        <f>vkm_2011_SW_PW*SUMIFS(TableVerdeelsleutelVkm[LPG],TableVerdeelsleutelVkm[Voertuigtype],"Lichte voertuigen")*SUMIFS(TableECFTransport[EnergieConsumptieFactor (PJ per km)],TableECFTransport[Index],CONCATENATE($A10,"_LPG_LPG"))</f>
        <v>1.505341447064011E-4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2.4502533325566692E-2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6.0672451575678136E-3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1.3650940146517662E-3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4.1080940990428381E-2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1.5784030519696166E-5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1.8538610750287031E-3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5.2261221024858777</v>
      </c>
      <c r="C14" s="21"/>
      <c r="D14" s="21">
        <f t="shared" ref="D14:M14" si="0">((D5)*10^9/3600)+D12</f>
        <v>7.8012562847912532</v>
      </c>
      <c r="E14" s="21">
        <f t="shared" si="0"/>
        <v>251.34093057887358</v>
      </c>
      <c r="F14" s="21"/>
      <c r="G14" s="21">
        <f t="shared" si="0"/>
        <v>78632.932216510846</v>
      </c>
      <c r="H14" s="21">
        <f t="shared" si="0"/>
        <v>11870.640566737537</v>
      </c>
      <c r="I14" s="21"/>
      <c r="J14" s="21"/>
      <c r="K14" s="21"/>
      <c r="L14" s="21"/>
      <c r="M14" s="21">
        <f t="shared" si="0"/>
        <v>4055.4215921721743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0.21524299814938902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1.1248861900338489</v>
      </c>
      <c r="C18" s="23"/>
      <c r="D18" s="23">
        <f t="shared" ref="D18:M18" si="1">D14*D16</f>
        <v>1.5758537695278332</v>
      </c>
      <c r="E18" s="23">
        <f t="shared" si="1"/>
        <v>57.054391241404304</v>
      </c>
      <c r="F18" s="23"/>
      <c r="G18" s="23">
        <f t="shared" si="1"/>
        <v>20994.992901808397</v>
      </c>
      <c r="H18" s="23">
        <f t="shared" si="1"/>
        <v>2955.7895011176465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4.7554263642842669E-3</v>
      </c>
      <c r="C50" s="323">
        <f t="shared" ref="C50:P50" si="2">SUM(C51:C52)</f>
        <v>0</v>
      </c>
      <c r="D50" s="323">
        <f t="shared" si="2"/>
        <v>0</v>
      </c>
      <c r="E50" s="323">
        <f t="shared" si="2"/>
        <v>0</v>
      </c>
      <c r="F50" s="323">
        <f t="shared" si="2"/>
        <v>0</v>
      </c>
      <c r="G50" s="323">
        <f t="shared" si="2"/>
        <v>4.561717783779097E-3</v>
      </c>
      <c r="H50" s="323">
        <f t="shared" si="2"/>
        <v>0</v>
      </c>
      <c r="I50" s="323">
        <f t="shared" si="2"/>
        <v>0</v>
      </c>
      <c r="J50" s="323">
        <f t="shared" si="2"/>
        <v>0</v>
      </c>
      <c r="K50" s="323">
        <f t="shared" si="2"/>
        <v>0</v>
      </c>
      <c r="L50" s="323">
        <f t="shared" si="2"/>
        <v>0</v>
      </c>
      <c r="M50" s="323">
        <f t="shared" si="2"/>
        <v>2.0287074742489735E-4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4.561717783779097E-3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2.0287074742489735E-4</v>
      </c>
      <c r="N51" s="325"/>
      <c r="O51" s="325"/>
      <c r="P51" s="328"/>
    </row>
    <row r="52" spans="1:18">
      <c r="A52" s="4" t="s">
        <v>330</v>
      </c>
      <c r="B52" s="329">
        <f>vkm_2011_tram*SUMIFS(TableECFTransport[EnergieConsumptieFactor (PJ per km)],TableECFTransport[Index],"Tram_gemiddeld_Electric_Electric")</f>
        <v>4.7554263642842669E-3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1320.9517678567408</v>
      </c>
      <c r="C54" s="21">
        <f t="shared" ref="C54:P54" si="3">(C50)*10^9/3600</f>
        <v>0</v>
      </c>
      <c r="D54" s="21">
        <f t="shared" si="3"/>
        <v>0</v>
      </c>
      <c r="E54" s="21">
        <f t="shared" si="3"/>
        <v>0</v>
      </c>
      <c r="F54" s="21">
        <f t="shared" si="3"/>
        <v>0</v>
      </c>
      <c r="G54" s="21">
        <f t="shared" si="3"/>
        <v>1267.1438288275269</v>
      </c>
      <c r="H54" s="21">
        <f t="shared" si="3"/>
        <v>0</v>
      </c>
      <c r="I54" s="21">
        <f t="shared" si="3"/>
        <v>0</v>
      </c>
      <c r="J54" s="21">
        <f t="shared" si="3"/>
        <v>0</v>
      </c>
      <c r="K54" s="21">
        <f t="shared" si="3"/>
        <v>0</v>
      </c>
      <c r="L54" s="21">
        <f t="shared" si="3"/>
        <v>0</v>
      </c>
      <c r="M54" s="21">
        <f t="shared" si="3"/>
        <v>56.352985395804822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0.21524299814938902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284.32561892422063</v>
      </c>
      <c r="C58" s="23">
        <f t="shared" ref="C58:P58" ca="1" si="4">C54*C56</f>
        <v>0</v>
      </c>
      <c r="D58" s="23">
        <f t="shared" si="4"/>
        <v>0</v>
      </c>
      <c r="E58" s="23">
        <f t="shared" si="4"/>
        <v>0</v>
      </c>
      <c r="F58" s="23">
        <f t="shared" si="4"/>
        <v>0</v>
      </c>
      <c r="G58" s="23">
        <f t="shared" si="4"/>
        <v>338.32740229694969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3105.8239234583189</v>
      </c>
      <c r="C6" s="1142"/>
      <c r="D6" s="1145"/>
      <c r="E6" s="1145"/>
      <c r="F6" s="1148"/>
      <c r="G6" s="1151"/>
      <c r="H6" s="1139"/>
      <c r="I6" s="1145"/>
      <c r="J6" s="1145"/>
      <c r="K6" s="1145"/>
      <c r="L6" s="1175"/>
      <c r="M6" s="561"/>
      <c r="N6" s="1187"/>
      <c r="O6" s="1188"/>
      <c r="Q6" s="559"/>
      <c r="R6" s="1172"/>
      <c r="S6" s="1172"/>
    </row>
    <row r="7" spans="1:19" s="549" customFormat="1">
      <c r="A7" s="562" t="s">
        <v>252</v>
      </c>
      <c r="B7" s="563">
        <f>N57</f>
        <v>24.75</v>
      </c>
      <c r="C7" s="564">
        <f>B100</f>
        <v>29.117647058823533</v>
      </c>
      <c r="D7" s="565"/>
      <c r="E7" s="565">
        <f>E100</f>
        <v>0</v>
      </c>
      <c r="F7" s="566"/>
      <c r="G7" s="567"/>
      <c r="H7" s="565">
        <f>I100</f>
        <v>0</v>
      </c>
      <c r="I7" s="565">
        <f>G100+F100</f>
        <v>0</v>
      </c>
      <c r="J7" s="565">
        <f>H100+D100+C100</f>
        <v>0</v>
      </c>
      <c r="K7" s="565"/>
      <c r="L7" s="568"/>
      <c r="M7" s="569">
        <f>C7*$C$11+D7*$D$11+E7*$E$11+F7*$F$11+G7*$G$11+H7*$H$11+I7*$I$11+J7*$J$11</f>
        <v>5.8817647058823539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3130.5739234583189</v>
      </c>
      <c r="C9" s="580">
        <f t="shared" ref="C9:L9" si="0">SUM(C7:C8)</f>
        <v>29.117647058823533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5.8817647058823539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35.357142857142861</v>
      </c>
      <c r="C16" s="596">
        <f>B101</f>
        <v>41.596638655462193</v>
      </c>
      <c r="D16" s="597"/>
      <c r="E16" s="597">
        <f>E101</f>
        <v>0</v>
      </c>
      <c r="F16" s="598"/>
      <c r="G16" s="599"/>
      <c r="H16" s="596">
        <f>I101</f>
        <v>0</v>
      </c>
      <c r="I16" s="597">
        <f>G101+F101</f>
        <v>0</v>
      </c>
      <c r="J16" s="597">
        <f>H101+D101+C101</f>
        <v>0</v>
      </c>
      <c r="K16" s="597"/>
      <c r="L16" s="600"/>
      <c r="M16" s="601">
        <f>C16*$C$21+E16*$E$21+H16*$H$21+I16*$I$21+J16*$J$21+D16*$D$21+F16*$F$21+G16*$G$21+K16*$K$21+L16*$L$21</f>
        <v>8.4025210084033635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35.357142857142861</v>
      </c>
      <c r="C19" s="579">
        <f>SUM(C16:C18)</f>
        <v>41.596638655462193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8.4025210084033635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38014</v>
      </c>
      <c r="C27" s="839">
        <v>8670</v>
      </c>
      <c r="D27" s="658" t="s">
        <v>840</v>
      </c>
      <c r="E27" s="657" t="s">
        <v>841</v>
      </c>
      <c r="F27" s="657" t="s">
        <v>842</v>
      </c>
      <c r="G27" s="657" t="s">
        <v>843</v>
      </c>
      <c r="H27" s="657" t="s">
        <v>844</v>
      </c>
      <c r="I27" s="657" t="s">
        <v>841</v>
      </c>
      <c r="J27" s="838">
        <v>41074</v>
      </c>
      <c r="K27" s="838">
        <v>41183</v>
      </c>
      <c r="L27" s="657" t="s">
        <v>845</v>
      </c>
      <c r="M27" s="657">
        <v>5.5</v>
      </c>
      <c r="N27" s="657">
        <v>24.75</v>
      </c>
      <c r="O27" s="657">
        <v>35.357142857142861</v>
      </c>
      <c r="P27" s="657">
        <v>70.714285714285722</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5.5</v>
      </c>
      <c r="N57" s="615">
        <f>SUM(N27:N56)</f>
        <v>24.75</v>
      </c>
      <c r="O57" s="615">
        <f t="shared" ref="O57:W57" si="2">SUM(O27:O56)</f>
        <v>35.357142857142861</v>
      </c>
      <c r="P57" s="615">
        <f t="shared" si="2"/>
        <v>70.714285714285722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5.5</v>
      </c>
      <c r="N60" s="620">
        <f t="shared" ref="N60:W60" si="4">SUMIF($Z$27:$Z$56,"landbouw",N27:N56)</f>
        <v>24.75</v>
      </c>
      <c r="O60" s="620">
        <f t="shared" si="4"/>
        <v>35.357142857142861</v>
      </c>
      <c r="P60" s="620">
        <f t="shared" si="4"/>
        <v>70.714285714285722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29.117647058823533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41.596638655462193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2018-06-27T09:31:33Z</dcterms:modified>
</cp:coreProperties>
</file>