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<sst xmlns="http://schemas.openxmlformats.org/spreadsheetml/2006/main" count="1961" uniqueCount="840">
  <si>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</si>
  <si>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</si>
  <si>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</si>
  <si>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</si>
  <si>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</si>
  <si>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</si>
  <si>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</si>
  <si>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</si>
  <si>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</si>
  <si>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</si>
  <si>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</si>
  <si>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</si>
  <si>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</si>
  <si>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</si>
  <si>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</si>
  <si>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</si>
  <si>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</si>
  <si>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</si>
  <si>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</si>
  <si>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</si>
  <si>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</si>
  <si>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</si>
  <si>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</si>
  <si>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</si>
  <si>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</si>
  <si>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</si>
  <si>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</si>
  <si>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</si>
  <si>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</si>
  <si>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</si>
  <si>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</si>
  <si>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</si>
  <si>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</si>
  <si>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</si>
  <si>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</si>
  <si>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</si>
  <si>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</si>
  <si>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</si>
  <si>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</si>
  <si>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</si>
  <si>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</si>
  <si>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</si>
  <si>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</si>
  <si>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</si>
  <si>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</si>
  <si>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</si>
  <si>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</si>
  <si>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</si>
  <si>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</si>
  <si>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</si>
  <si>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</si>
  <si>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</si>
  <si>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</si>
  <si>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</si>
  <si>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</si>
  <si>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</si>
  <si>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</si>
  <si>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</si>
  <si>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</si>
  <si>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</si>
  <si>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</si>
  <si>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</si>
  <si>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</si>
  <si>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</si>
  <si>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</si>
  <si>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</si>
  <si>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</si>
  <si>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</si>
  <si>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</si>
  <si>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</si>
  <si>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</si>
  <si>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</si>
  <si>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</si>
  <si>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</si>
  <si>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</si>
  <si>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</si>
  <si>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</si>
  <si>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</si>
  <si>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</si>
  <si>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</si>
  <si>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</si>
  <si>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</si>
  <si>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</si>
  <si>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</si>
  <si>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</si>
  <si>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</si>
  <si>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</si>
  <si>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</si>
  <si>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</si>
  <si>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</si>
  <si>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</si>
  <si>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</si>
  <si>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</si>
  <si>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</si>
  <si>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</si>
  <si>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</si>
  <si>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</si>
  <si>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</si>
  <si>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</si>
  <si>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</si>
  <si>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</si>
  <si>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</si>
  <si>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</si>
  <si>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</si>
  <si>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</si>
  <si>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</si>
  <si>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</si>
  <si>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</si>
  <si>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</si>
  <si>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</si>
  <si>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</si>
  <si>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</si>
  <si>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</si>
  <si>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</si>
  <si>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</si>
  <si>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</si>
  <si>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</si>
  <si>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</si>
  <si>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</si>
  <si>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</si>
  <si>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</si>
  <si>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</si>
  <si>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</si>
  <si>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</si>
  <si>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</si>
  <si>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</si>
  <si>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</si>
  <si>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</si>
  <si>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</si>
  <si>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</si>
  <si>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</si>
  <si>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</si>
  <si>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</si>
  <si>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</si>
  <si>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</si>
  <si>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</si>
  <si>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</si>
  <si>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</si>
  <si>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</si>
  <si>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</si>
  <si>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</si>
  <si>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</si>
  <si>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</si>
  <si>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</si>
  <si>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</si>
  <si>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</si>
  <si>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</si>
  <si>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</si>
  <si>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</si>
  <si>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</si>
  <si>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</si>
  <si>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</si>
  <si>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</si>
  <si>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</si>
  <si>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</si>
  <si>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</si>
  <si>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</si>
  <si>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</si>
  <si>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</si>
  <si>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</si>
  <si>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</si>
  <si>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</si>
  <si>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</si>
  <si>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</si>
  <si>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</si>
  <si>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</si>
  <si>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</si>
  <si>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</si>
  <si>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</si>
  <si>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</si>
  <si>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</si>
  <si>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</si>
  <si>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</si>
  <si>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</si>
  <si>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</si>
  <si>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</si>
  <si>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</si>
  <si>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</si>
  <si>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</si>
  <si>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</si>
  <si>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</si>
  <si>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</si>
  <si>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</si>
  <si>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</si>
  <si>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</si>
  <si>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</si>
  <si>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</si>
  <si>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</si>
  <si>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</si>
  <si>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</si>
  <si>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</si>
  <si>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</si>
  <si>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</si>
  <si>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</si>
  <si>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</si>
  <si>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</si>
  <si>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</si>
  <si>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</si>
  <si>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</si>
  <si>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</si>
  <si>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</si>
  <si>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</si>
  <si>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</si>
  <si>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</si>
  <si>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</si>
  <si>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</si>
  <si>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</si>
  <si>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</si>
  <si>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</si>
  <si>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</si>
  <si>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</si>
  <si>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</si>
  <si>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</si>
  <si>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</si>
  <si>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</si>
  <si>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</si>
  <si>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</si>
  <si>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</si>
  <si>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</si>
  <si>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</si>
  <si>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</si>
  <si>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</si>
  <si>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</si>
  <si>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</si>
  <si>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</si>
  <si>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</si>
  <si>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</si>
  <si>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</si>
  <si>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</si>
  <si>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</si>
  <si>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</si>
  <si>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</si>
  <si>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</si>
  <si>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</si>
  <si>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</si>
  <si>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</si>
  <si>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</si>
  <si>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</si>
  <si>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</si>
  <si>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</si>
  <si>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</si>
  <si>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</si>
  <si>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</si>
  <si>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</si>
  <si>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</si>
  <si>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</si>
  <si>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</si>
  <si>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</si>
  <si>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</si>
  <si>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</si>
  <si>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</si>
  <si>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</si>
  <si>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</si>
  <si>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</si>
  <si>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</si>
  <si>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</si>
  <si>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</si>
  <si>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</si>
  <si>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</si>
  <si>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</si>
  <si>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</si>
  <si>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</si>
  <si>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</si>
  <si>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</si>
  <si>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</si>
  <si>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</si>
  <si>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</si>
  <si>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</si>
  <si>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</si>
  <si>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</si>
  <si>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</si>
  <si>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</si>
  <si>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</si>
  <si>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</si>
  <si>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</si>
  <si>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</si>
  <si>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</si>
  <si>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</si>
  <si>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</si>
  <si>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</si>
  <si>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</si>
  <si>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</si>
  <si>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</si>
  <si>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</si>
  <si>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</si>
  <si>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</si>
  <si>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</si>
  <si>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</si>
  <si>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</si>
  <si>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</si>
  <si>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</si>
  <si>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</si>
  <si>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</si>
  <si>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</si>
  <si>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</si>
  <si>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</si>
  <si>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</si>
  <si>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</si>
  <si>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</si>
  <si>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</si>
  <si>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</si>
  <si>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</si>
  <si>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</si>
  <si>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</si>
  <si>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</si>
  <si>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</si>
  <si>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</si>
  <si>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</si>
  <si>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</si>
  <si>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</si>
  <si>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</si>
  <si>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</si>
  <si>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</si>
  <si>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</si>
  <si>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</si>
  <si>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</si>
  <si>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</si>
  <si>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</si>
  <si>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</si>
  <si>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</si>
  <si>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</si>
  <si>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</si>
  <si>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</si>
  <si>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</si>
  <si>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</si>
  <si>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</si>
  <si>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</si>
  <si>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</si>
  <si>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</si>
  <si>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</si>
  <si>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</si>
  <si>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</si>
  <si>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</si>
  <si>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</si>
  <si>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</si>
  <si>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</si>
  <si>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</si>
  <si>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</si>
  <si>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</si>
  <si>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</si>
  <si>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</si>
  <si>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</si>
  <si>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</si>
  <si>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</si>
  <si>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</si>
  <si>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</si>
  <si>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</si>
  <si>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</si>
  <si>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</si>
  <si>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</si>
  <si>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</si>
  <si>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</si>
  <si>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</si>
  <si>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</si>
  <si>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</si>
  <si>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</si>
  <si>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</si>
  <si>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</si>
  <si>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</si>
  <si>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</si>
  <si>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</si>
  <si>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</si>
  <si>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</si>
  <si>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</si>
  <si>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</si>
  <si>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</si>
  <si>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</si>
  <si>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</si>
  <si>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</si>
  <si>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</si>
  <si>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</si>
  <si>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</si>
  <si>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</si>
  <si>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</si>
  <si>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</si>
  <si>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</si>
  <si>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</si>
  <si>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</si>
  <si>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</si>
  <si>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</si>
  <si>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</si>
  <si>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</si>
  <si>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</si>
  <si>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</si>
  <si>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</si>
  <si>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</si>
  <si>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</si>
  <si>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</si>
  <si>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</si>
  <si>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</si>
  <si>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</si>
  <si>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</si>
  <si>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</si>
  <si>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</si>
  <si>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</si>
  <si>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</si>
  <si>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</si>
  <si>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</si>
  <si>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</si>
  <si>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</si>
  <si>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</si>
  <si>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</si>
  <si>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</si>
  <si>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</si>
  <si>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</si>
  <si>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</si>
  <si>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</si>
  <si>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</si>
  <si>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</si>
  <si>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</si>
  <si>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</si>
  <si>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</si>
  <si>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</si>
  <si>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</si>
  <si>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</si>
  <si>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</si>
  <si>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</si>
  <si>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</si>
  <si>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</si>
  <si>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</si>
  <si>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</si>
  <si>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</si>
  <si>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</si>
  <si>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</si>
  <si>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</si>
  <si>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</si>
  <si>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</si>
  <si>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</si>
  <si>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</si>
  <si>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</si>
  <si>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</si>
  <si>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</si>
  <si>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</si>
  <si>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</si>
  <si>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</si>
  <si>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</si>
  <si>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</si>
  <si>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</si>
  <si>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</si>
  <si>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</si>
  <si>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</si>
  <si>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</si>
  <si>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</si>
  <si>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</si>
  <si>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</si>
  <si>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</si>
  <si>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</si>
  <si>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</si>
  <si>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</si>
  <si>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</si>
  <si>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</si>
  <si>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</si>
  <si>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</si>
  <si>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</si>
  <si>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</si>
  <si>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</si>
  <si>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</si>
  <si>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</si>
  <si>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</si>
  <si>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</si>
  <si>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</si>
  <si>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</si>
  <si>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</si>
  <si>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</si>
  <si>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</si>
  <si>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</si>
  <si>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</si>
  <si>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</si>
  <si>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</si>
  <si>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</si>
  <si>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</si>
  <si>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</si>
  <si>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</si>
  <si>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</si>
  <si>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</si>
  <si>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</si>
  <si>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</si>
  <si>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</si>
  <si>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</si>
  <si>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</si>
  <si>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</si>
  <si>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</si>
  <si>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</si>
  <si>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</si>
  <si>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</si>
  <si>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</si>
  <si>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</si>
  <si>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</si>
  <si>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</si>
  <si>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</si>
  <si>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</si>
  <si>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</si>
  <si>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</si>
  <si>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</si>
  <si>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</si>
  <si>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</si>
  <si>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</si>
  <si>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</si>
  <si>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</si>
  <si>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</si>
  <si>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</si>
  <si>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</si>
  <si>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</si>
  <si>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</si>
  <si>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</si>
  <si>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</si>
  <si>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</si>
  <si>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</si>
  <si>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</si>
  <si>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</si>
  <si>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</si>
  <si>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</si>
  <si>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</si>
  <si>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</si>
  <si>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</si>
  <si>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</si>
  <si>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</si>
  <si>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</si>
  <si>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</si>
  <si>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</si>
  <si>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</si>
  <si>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</si>
  <si>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</si>
  <si>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</si>
  <si>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</si>
  <si>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</si>
  <si>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</si>
  <si>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</si>
  <si>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</si>
  <si>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</si>
  <si>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</si>
  <si>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</si>
  <si>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</si>
  <si>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</si>
  <si>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</si>
  <si>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</si>
  <si>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</si>
  <si>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</si>
  <si>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</si>
  <si>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</si>
  <si>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</si>
  <si>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</si>
  <si>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</si>
  <si>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</si>
  <si>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</si>
  <si>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</si>
  <si>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</si>
  <si>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</si>
  <si>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</si>
  <si>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</si>
  <si>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</si>
  <si>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</si>
  <si>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</si>
  <si>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</si>
  <si>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</si>
  <si>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</si>
  <si>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</si>
  <si>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</si>
  <si>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</si>
  <si>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</si>
  <si>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</si>
  <si>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</si>
  <si>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</si>
  <si>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</si>
  <si>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</si>
  <si>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</si>
  <si>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</si>
  <si>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</si>
  <si>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</si>
  <si>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</si>
  <si>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</si>
  <si>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</si>
  <si>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</si>
  <si>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</si>
  <si>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</si>
  <si>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</si>
  <si>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</si>
  <si>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</si>
  <si>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</si>
  <si>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</si>
  <si>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</si>
  <si>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</si>
  <si>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</si>
  <si>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</si>
  <si>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</si>
  <si>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</si>
  <si>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</si>
  <si>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</si>
  <si>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</si>
  <si>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</si>
  <si>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</si>
  <si>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</si>
  <si>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</si>
  <si>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</si>
  <si>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</si>
  <si>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</si>
  <si>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</si>
  <si>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</si>
  <si>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</si>
  <si>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</si>
  <si>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</si>
  <si>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</si>
  <si>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</si>
  <si>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</si>
  <si>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</si>
  <si>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</si>
  <si>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</si>
  <si>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</si>
  <si>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</si>
  <si>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</si>
  <si>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</si>
  <si>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</si>
  <si>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</si>
  <si>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</si>
  <si>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</si>
  <si>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</si>
  <si>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</si>
  <si>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</si>
  <si>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</si>
  <si>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</si>
  <si>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</si>
  <si>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</si>
  <si>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</si>
  <si>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</si>
  <si>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</si>
  <si>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</si>
  <si>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</si>
  <si>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</si>
  <si>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</si>
  <si>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</si>
  <si>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</si>
  <si>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</si>
  <si>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</si>
  <si>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</si>
  <si>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</si>
  <si>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</si>
  <si>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</si>
  <si>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</si>
  <si>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</si>
  <si>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</si>
  <si>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</si>
  <si>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</si>
  <si>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</si>
  <si>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</si>
  <si>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</si>
  <si>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</si>
  <si>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</si>
  <si>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</si>
  <si>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</si>
  <si>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</si>
  <si>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</si>
  <si>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</si>
  <si>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</si>
  <si>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</si>
  <si>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</si>
  <si>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</si>
  <si>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</si>
  <si>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</si>
  <si>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</si>
  <si>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</si>
  <si>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</si>
  <si>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</si>
  <si>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</si>
  <si>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</si>
  <si>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</si>
  <si>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</si>
  <si>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</si>
  <si>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</si>
  <si>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</si>
  <si>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</si>
  <si>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</si>
  <si>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</si>
  <si>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</si>
  <si>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</si>
  <si>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</si>
  <si>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</si>
  <si>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</si>
  <si>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</si>
  <si>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</si>
  <si>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</si>
  <si>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</si>
  <si>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</si>
  <si>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</si>
  <si>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</si>
  <si>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</si>
  <si>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</si>
  <si>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</si>
  <si>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</si>
  <si>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</si>
  <si>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</si>
  <si>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</si>
  <si>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</si>
  <si>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</si>
  <si>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</si>
  <si>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</si>
  <si>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</si>
  <si>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</si>
  <si>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</si>
  <si>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</si>
  <si>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</si>
  <si>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</si>
  <si>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</si>
  <si>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</si>
  <si>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</si>
  <si>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</si>
  <si>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</si>
  <si>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</si>
  <si>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</si>
  <si>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</si>
  <si>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</si>
  <si>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</si>
  <si>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</si>
  <si>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</si>
  <si>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</si>
  <si>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</si>
  <si>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</si>
  <si>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</si>
  <si>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</si>
  <si>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</si>
  <si>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</si>
  <si>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</si>
  <si>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</si>
  <si>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</si>
  <si>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</si>
  <si>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</si>
  <si>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</si>
  <si>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</si>
  <si>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</si>
  <si>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</si>
  <si>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</si>
  <si>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</si>
  <si>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</si>
  <si>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</si>
  <si>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</si>
  <si>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</si>
  <si>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</si>
  <si>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</si>
  <si>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</si>
  <si>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</si>
  <si>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</si>
  <si>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</si>
  <si>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</si>
  <si>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</si>
  <si>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</si>
  <si>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</si>
  <si>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</si>
  <si>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</si>
  <si>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</si>
  <si>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</si>
  <si>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</si>
  <si>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</si>
  <si>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</si>
  <si>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</si>
  <si>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</si>
  <si>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</si>
  <si>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</si>
  <si>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</si>
  <si>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</si>
  <si>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</si>
  <si>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</si>
  <si>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</si>
  <si>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</si>
  <si>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</si>
  <si>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</si>
  <si>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</si>
  <si>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</si>
  <si>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</si>
  <si>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</si>
  <si>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</si>
  <si>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</si>
  <si>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</si>
  <si>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</si>
  <si>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</si>
  <si>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</si>
  <si>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</si>
  <si>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</si>
  <si>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</si>
  <si>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</si>
  <si>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</si>
  <si>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</si>
  <si>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</si>
  <si>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</si>
  <si>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</si>
  <si>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</si>
  <si>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</si>
  <si>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</si>
  <si>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</si>
  <si>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</si>
  <si>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</si>
  <si>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</si>
  <si>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</si>
  <si>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</si>
  <si>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</si>
  <si>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</si>
  <si>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</si>
  <si>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</si>
  <si>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</si>
  <si>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</si>
  <si>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</si>
  <si>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</si>
  <si>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</si>
  <si>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</si>
  <si>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</si>
  <si>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</si>
  <si>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</si>
  <si>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</si>
  <si>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</si>
  <si>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</si>
  <si>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</si>
  <si>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</si>
  <si>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</si>
  <si>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</si>
  <si>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</si>
  <si>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</si>
  <si>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</si>
  <si>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</si>
  <si>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</si>
  <si>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</si>
  <si>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</si>
  <si>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</si>
  <si>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</si>
  <si>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</si>
  <si>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</si>
  <si>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</si>
  <si>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</si>
  <si>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</si>
  <si>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</si>
  <si>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</si>
  <si>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</si>
  <si>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</si>
  <si>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</si>
  <si>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</si>
  <si>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</si>
  <si>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38008</t>
  </si>
  <si>
    <t>DE PANNE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</si>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</sst>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97145.138528066949</c:v>
                </c:pt>
                <c:pt idx="1">
                  <c:v>67334.724499206073</c:v>
                </c:pt>
                <c:pt idx="2">
                  <c:v>1588.26</c:v>
                </c:pt>
                <c:pt idx="3">
                  <c:v>9887.0680083990865</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97145.138528066949</c:v>
                </c:pt>
                <c:pt idx="1">
                  <c:v>67334.724499206073</c:v>
                </c:pt>
                <c:pt idx="2">
                  <c:v>1588.26</c:v>
                </c:pt>
                <c:pt idx="3">
                  <c:v>9887.0680083990865</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19932.631805649198</c:v>
                </c:pt>
                <c:pt idx="1">
                  <c:v>14020.401044115826</c:v>
                </c:pt>
                <c:pt idx="2">
                  <c:v>342.86132369518259</c:v>
                </c:pt>
                <c:pt idx="3">
                  <c:v>2101.6760938311268</c:v>
                </c:pt>
                <c:pt idx="4">
                  <c:v>2120.9891828394275</c:v>
                </c:pt>
                <c:pt idx="5">
                  <c:v>20340.967260219277</c:v>
                </c:pt>
                <c:pt idx="6">
                  <c:v>209.51504012933495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19932.631805649198</c:v>
                </c:pt>
                <c:pt idx="1">
                  <c:v>14020.401044115826</c:v>
                </c:pt>
                <c:pt idx="2">
                  <c:v>342.86132369518259</c:v>
                </c:pt>
                <c:pt idx="3">
                  <c:v>2101.6760938311268</c:v>
                </c:pt>
                <c:pt idx="4">
                  <c:v>2120.9891828394275</c:v>
                </c:pt>
                <c:pt idx="5">
                  <c:v>20340.967260219277</c:v>
                </c:pt>
                <c:pt idx="6">
                  <c:v>209.51504012933495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38008</v>
      </c>
      <c r="B6" s="398"/>
      <c r="C6" s="399"/>
    </row>
    <row r="7" spans="1:7" s="396" customFormat="1" ht="15.75" customHeight="1">
      <c r="A7" s="400" t="str">
        <f>txtMunicipality</f>
        <v>DE PANNE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5334</v>
      </c>
      <c r="C9" s="338">
        <v>5606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1276</v>
      </c>
    </row>
    <row r="15" spans="1:6">
      <c r="A15" s="1212" t="s">
        <v>184</v>
      </c>
      <c r="B15" s="335">
        <v>12</v>
      </c>
    </row>
    <row r="16" spans="1:6">
      <c r="A16" s="1212" t="s">
        <v>6</v>
      </c>
      <c r="B16" s="335">
        <v>610</v>
      </c>
    </row>
    <row r="17" spans="1:6">
      <c r="A17" s="1212" t="s">
        <v>7</v>
      </c>
      <c r="B17" s="335">
        <v>95</v>
      </c>
    </row>
    <row r="18" spans="1:6">
      <c r="A18" s="1212" t="s">
        <v>8</v>
      </c>
      <c r="B18" s="335">
        <v>339</v>
      </c>
    </row>
    <row r="19" spans="1:6">
      <c r="A19" s="1212" t="s">
        <v>9</v>
      </c>
      <c r="B19" s="335">
        <v>246</v>
      </c>
    </row>
    <row r="20" spans="1:6">
      <c r="A20" s="1212" t="s">
        <v>10</v>
      </c>
      <c r="B20" s="335">
        <v>336</v>
      </c>
    </row>
    <row r="21" spans="1:6">
      <c r="A21" s="1212" t="s">
        <v>11</v>
      </c>
      <c r="B21" s="335">
        <v>2000</v>
      </c>
    </row>
    <row r="22" spans="1:6">
      <c r="A22" s="1212" t="s">
        <v>12</v>
      </c>
      <c r="B22" s="335">
        <v>398</v>
      </c>
    </row>
    <row r="23" spans="1:6">
      <c r="A23" s="1212" t="s">
        <v>13</v>
      </c>
      <c r="B23" s="335">
        <v>87</v>
      </c>
    </row>
    <row r="24" spans="1:6">
      <c r="A24" s="1212" t="s">
        <v>14</v>
      </c>
      <c r="B24" s="335">
        <v>5</v>
      </c>
    </row>
    <row r="25" spans="1:6">
      <c r="A25" s="1212" t="s">
        <v>15</v>
      </c>
      <c r="B25" s="335">
        <v>615</v>
      </c>
    </row>
    <row r="26" spans="1:6">
      <c r="A26" s="1212" t="s">
        <v>16</v>
      </c>
      <c r="B26" s="335">
        <v>31</v>
      </c>
    </row>
    <row r="27" spans="1:6">
      <c r="A27" s="1212" t="s">
        <v>17</v>
      </c>
      <c r="B27" s="335">
        <v>0</v>
      </c>
    </row>
    <row r="28" spans="1:6" s="341" customFormat="1">
      <c r="A28" s="1213" t="s">
        <v>18</v>
      </c>
      <c r="B28" s="1213">
        <v>29924</v>
      </c>
    </row>
    <row r="29" spans="1:6">
      <c r="A29" s="1213" t="s">
        <v>836</v>
      </c>
      <c r="B29" s="1213">
        <v>197</v>
      </c>
      <c r="C29" s="341"/>
      <c r="D29" s="341"/>
      <c r="E29" s="341"/>
      <c r="F29" s="341"/>
    </row>
    <row r="30" spans="1:6">
      <c r="A30" s="1208" t="s">
        <v>837</v>
      </c>
      <c r="B30" s="1208">
        <v>103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20968.884104837001</v>
      </c>
    </row>
    <row r="37" spans="1:6">
      <c r="A37" s="1212" t="s">
        <v>25</v>
      </c>
      <c r="B37" s="1212" t="s">
        <v>28</v>
      </c>
      <c r="C37" s="335">
        <v>0</v>
      </c>
      <c r="D37" s="335">
        <v>0</v>
      </c>
      <c r="E37" s="335">
        <v>0</v>
      </c>
      <c r="F37" s="335">
        <v>0</v>
      </c>
    </row>
    <row r="38" spans="1:6">
      <c r="A38" s="1212" t="s">
        <v>25</v>
      </c>
      <c r="B38" s="1212" t="s">
        <v>29</v>
      </c>
      <c r="C38" s="335">
        <v>4</v>
      </c>
      <c r="D38" s="335">
        <v>600114.74087567895</v>
      </c>
      <c r="E38" s="335">
        <v>0</v>
      </c>
      <c r="F38" s="335">
        <v>0</v>
      </c>
    </row>
    <row r="39" spans="1:6">
      <c r="A39" s="1212" t="s">
        <v>30</v>
      </c>
      <c r="B39" s="1212" t="s">
        <v>31</v>
      </c>
      <c r="C39" s="335">
        <v>6204</v>
      </c>
      <c r="D39" s="335">
        <v>76567722.410402298</v>
      </c>
      <c r="E39" s="335">
        <v>11747</v>
      </c>
      <c r="F39" s="335">
        <v>26538123.946506198</v>
      </c>
    </row>
    <row r="40" spans="1:6">
      <c r="A40" s="1212" t="s">
        <v>30</v>
      </c>
      <c r="B40" s="1212" t="s">
        <v>29</v>
      </c>
      <c r="C40" s="335">
        <v>0</v>
      </c>
      <c r="D40" s="335">
        <v>0</v>
      </c>
      <c r="E40" s="335">
        <v>0</v>
      </c>
      <c r="F40" s="335">
        <v>0</v>
      </c>
    </row>
    <row r="41" spans="1:6">
      <c r="A41" s="1212" t="s">
        <v>32</v>
      </c>
      <c r="B41" s="1212" t="s">
        <v>33</v>
      </c>
      <c r="C41" s="335">
        <v>96</v>
      </c>
      <c r="D41" s="335">
        <v>850169.63012385403</v>
      </c>
      <c r="E41" s="335">
        <v>178</v>
      </c>
      <c r="F41" s="335">
        <v>2728950.7805763101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37451.664234255797</v>
      </c>
      <c r="E44" s="335">
        <v>11</v>
      </c>
      <c r="F44" s="335">
        <v>124295.538710721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11</v>
      </c>
      <c r="D48" s="335">
        <v>493042.28833089099</v>
      </c>
      <c r="E48" s="335">
        <v>20</v>
      </c>
      <c r="F48" s="335">
        <v>586433.53724736895</v>
      </c>
    </row>
    <row r="49" spans="1:6">
      <c r="A49" s="1212" t="s">
        <v>32</v>
      </c>
      <c r="B49" s="1212" t="s">
        <v>40</v>
      </c>
      <c r="C49" s="335">
        <v>0</v>
      </c>
      <c r="D49" s="335">
        <v>0</v>
      </c>
      <c r="E49" s="335">
        <v>0</v>
      </c>
      <c r="F49" s="335">
        <v>0</v>
      </c>
    </row>
    <row r="50" spans="1:6">
      <c r="A50" s="1212" t="s">
        <v>32</v>
      </c>
      <c r="B50" s="1212" t="s">
        <v>41</v>
      </c>
      <c r="C50" s="335">
        <v>12</v>
      </c>
      <c r="D50" s="335">
        <v>1097102.5556459799</v>
      </c>
      <c r="E50" s="335">
        <v>15</v>
      </c>
      <c r="F50" s="335">
        <v>347643.874515437</v>
      </c>
    </row>
    <row r="51" spans="1:6">
      <c r="A51" s="1212" t="s">
        <v>42</v>
      </c>
      <c r="B51" s="1212" t="s">
        <v>43</v>
      </c>
      <c r="C51" s="335">
        <v>0</v>
      </c>
      <c r="D51" s="335">
        <v>0</v>
      </c>
      <c r="E51" s="335">
        <v>19</v>
      </c>
      <c r="F51" s="335">
        <v>346101.18676352903</v>
      </c>
    </row>
    <row r="52" spans="1:6">
      <c r="A52" s="1212" t="s">
        <v>42</v>
      </c>
      <c r="B52" s="1212" t="s">
        <v>29</v>
      </c>
      <c r="C52" s="335">
        <v>5</v>
      </c>
      <c r="D52" s="335">
        <v>91533.355445472902</v>
      </c>
      <c r="E52" s="335">
        <v>6</v>
      </c>
      <c r="F52" s="335">
        <v>53758.310742622001</v>
      </c>
    </row>
    <row r="53" spans="1:6">
      <c r="A53" s="1212" t="s">
        <v>44</v>
      </c>
      <c r="B53" s="1212" t="s">
        <v>45</v>
      </c>
      <c r="C53" s="335">
        <v>475</v>
      </c>
      <c r="D53" s="335">
        <v>8824675.0768518802</v>
      </c>
      <c r="E53" s="335">
        <v>1398</v>
      </c>
      <c r="F53" s="335">
        <v>4350846.0813706303</v>
      </c>
    </row>
    <row r="54" spans="1:6">
      <c r="A54" s="1212" t="s">
        <v>46</v>
      </c>
      <c r="B54" s="1212" t="s">
        <v>47</v>
      </c>
      <c r="C54" s="335">
        <v>0</v>
      </c>
      <c r="D54" s="335">
        <v>0</v>
      </c>
      <c r="E54" s="335">
        <v>1</v>
      </c>
      <c r="F54" s="335">
        <v>1588260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40</v>
      </c>
      <c r="D57" s="335">
        <v>1579047.02546225</v>
      </c>
      <c r="E57" s="335">
        <v>102</v>
      </c>
      <c r="F57" s="335">
        <v>1971538.0121222199</v>
      </c>
    </row>
    <row r="58" spans="1:6">
      <c r="A58" s="1212" t="s">
        <v>49</v>
      </c>
      <c r="B58" s="1212" t="s">
        <v>51</v>
      </c>
      <c r="C58" s="335">
        <v>13</v>
      </c>
      <c r="D58" s="335">
        <v>1621983.54326822</v>
      </c>
      <c r="E58" s="335">
        <v>33</v>
      </c>
      <c r="F58" s="335">
        <v>563887.91619805805</v>
      </c>
    </row>
    <row r="59" spans="1:6">
      <c r="A59" s="1212" t="s">
        <v>49</v>
      </c>
      <c r="B59" s="1212" t="s">
        <v>52</v>
      </c>
      <c r="C59" s="335">
        <v>157</v>
      </c>
      <c r="D59" s="335">
        <v>3937801.1825868301</v>
      </c>
      <c r="E59" s="335">
        <v>322</v>
      </c>
      <c r="F59" s="335">
        <v>6454076.2313059298</v>
      </c>
    </row>
    <row r="60" spans="1:6">
      <c r="A60" s="1212" t="s">
        <v>49</v>
      </c>
      <c r="B60" s="1212" t="s">
        <v>53</v>
      </c>
      <c r="C60" s="335">
        <v>168</v>
      </c>
      <c r="D60" s="335">
        <v>11209585.0476432</v>
      </c>
      <c r="E60" s="335">
        <v>228</v>
      </c>
      <c r="F60" s="335">
        <v>6697608.52950982</v>
      </c>
    </row>
    <row r="61" spans="1:6">
      <c r="A61" s="1212" t="s">
        <v>49</v>
      </c>
      <c r="B61" s="1212" t="s">
        <v>54</v>
      </c>
      <c r="C61" s="335">
        <v>225</v>
      </c>
      <c r="D61" s="335">
        <v>10951004.0246951</v>
      </c>
      <c r="E61" s="335">
        <v>852</v>
      </c>
      <c r="F61" s="335">
        <v>7418840.1635750402</v>
      </c>
    </row>
    <row r="62" spans="1:6">
      <c r="A62" s="1212" t="s">
        <v>49</v>
      </c>
      <c r="B62" s="1212" t="s">
        <v>55</v>
      </c>
      <c r="C62" s="335">
        <v>7</v>
      </c>
      <c r="D62" s="335">
        <v>1353246.8540117601</v>
      </c>
      <c r="E62" s="335">
        <v>7</v>
      </c>
      <c r="F62" s="335">
        <v>134764.763211246</v>
      </c>
    </row>
    <row r="63" spans="1:6">
      <c r="A63" s="1212" t="s">
        <v>49</v>
      </c>
      <c r="B63" s="1212" t="s">
        <v>29</v>
      </c>
      <c r="C63" s="335">
        <v>79</v>
      </c>
      <c r="D63" s="335">
        <v>4311775.3056617798</v>
      </c>
      <c r="E63" s="335">
        <v>77</v>
      </c>
      <c r="F63" s="335">
        <v>4442453.3232524004</v>
      </c>
    </row>
    <row r="64" spans="1:6">
      <c r="A64" s="1212" t="s">
        <v>56</v>
      </c>
      <c r="B64" s="1212" t="s">
        <v>57</v>
      </c>
      <c r="C64" s="335">
        <v>0</v>
      </c>
      <c r="D64" s="335">
        <v>0</v>
      </c>
      <c r="E64" s="335">
        <v>0</v>
      </c>
      <c r="F64" s="335">
        <v>0</v>
      </c>
    </row>
    <row r="65" spans="1:6">
      <c r="A65" s="1212" t="s">
        <v>56</v>
      </c>
      <c r="B65" s="1212" t="s">
        <v>29</v>
      </c>
      <c r="C65" s="335">
        <v>0</v>
      </c>
      <c r="D65" s="335">
        <v>0</v>
      </c>
      <c r="E65" s="335">
        <v>3</v>
      </c>
      <c r="F65" s="335">
        <v>24212.890127193201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26472110</v>
      </c>
      <c r="E73" s="335">
        <v>28604903.813366547</v>
      </c>
    </row>
    <row r="74" spans="1:6">
      <c r="A74" s="1212" t="s">
        <v>64</v>
      </c>
      <c r="B74" s="1212" t="s">
        <v>727</v>
      </c>
      <c r="C74" s="1212" t="s">
        <v>728</v>
      </c>
      <c r="D74" s="335">
        <v>2412717.6107609025</v>
      </c>
      <c r="E74" s="335">
        <v>2650486.6197012323</v>
      </c>
    </row>
    <row r="75" spans="1:6">
      <c r="A75" s="1212" t="s">
        <v>65</v>
      </c>
      <c r="B75" s="1212" t="s">
        <v>725</v>
      </c>
      <c r="C75" s="1212" t="s">
        <v>729</v>
      </c>
      <c r="D75" s="335">
        <v>2964887</v>
      </c>
      <c r="E75" s="335">
        <v>3201941.2313086716</v>
      </c>
    </row>
    <row r="76" spans="1:6">
      <c r="A76" s="1212" t="s">
        <v>65</v>
      </c>
      <c r="B76" s="1212" t="s">
        <v>727</v>
      </c>
      <c r="C76" s="1212" t="s">
        <v>730</v>
      </c>
      <c r="D76" s="335">
        <v>216070.61076090252</v>
      </c>
      <c r="E76" s="335">
        <v>238849.8283373205</v>
      </c>
    </row>
    <row r="77" spans="1:6">
      <c r="A77" s="1212" t="s">
        <v>66</v>
      </c>
      <c r="B77" s="1212" t="s">
        <v>725</v>
      </c>
      <c r="C77" s="1212" t="s">
        <v>731</v>
      </c>
      <c r="D77" s="335">
        <v>29796664</v>
      </c>
      <c r="E77" s="335">
        <v>31086774.362650316</v>
      </c>
    </row>
    <row r="78" spans="1:6">
      <c r="A78" s="1208" t="s">
        <v>66</v>
      </c>
      <c r="B78" s="1208" t="s">
        <v>727</v>
      </c>
      <c r="C78" s="1208" t="s">
        <v>732</v>
      </c>
      <c r="D78" s="1208">
        <v>13206671</v>
      </c>
      <c r="E78" s="1208">
        <v>15338532.77496391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44598.778478194938</v>
      </c>
      <c r="C83" s="335">
        <v>44864.855398833752</v>
      </c>
    </row>
    <row r="84" spans="1:6">
      <c r="A84" s="1208" t="s">
        <v>337</v>
      </c>
      <c r="B84" s="338">
        <v>218622.48989153668</v>
      </c>
      <c r="C84" s="338">
        <v>224685.1376802483</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1171.2523007111956</v>
      </c>
    </row>
    <row r="92" spans="1:6">
      <c r="A92" s="1208" t="s">
        <v>69</v>
      </c>
      <c r="B92" s="338">
        <v>265.94189137469436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3072</v>
      </c>
    </row>
    <row r="98" spans="1:6">
      <c r="A98" s="1212" t="s">
        <v>72</v>
      </c>
      <c r="B98" s="335">
        <v>3</v>
      </c>
    </row>
    <row r="99" spans="1:6">
      <c r="A99" s="1212" t="s">
        <v>73</v>
      </c>
      <c r="B99" s="335">
        <v>28</v>
      </c>
    </row>
    <row r="100" spans="1:6">
      <c r="A100" s="1212" t="s">
        <v>74</v>
      </c>
      <c r="B100" s="335">
        <v>564</v>
      </c>
    </row>
    <row r="101" spans="1:6">
      <c r="A101" s="1212" t="s">
        <v>75</v>
      </c>
      <c r="B101" s="335">
        <v>30</v>
      </c>
    </row>
    <row r="102" spans="1:6">
      <c r="A102" s="1212" t="s">
        <v>76</v>
      </c>
      <c r="B102" s="335">
        <v>111</v>
      </c>
    </row>
    <row r="103" spans="1:6">
      <c r="A103" s="1212" t="s">
        <v>77</v>
      </c>
      <c r="B103" s="335">
        <v>65</v>
      </c>
    </row>
    <row r="104" spans="1:6">
      <c r="A104" s="1212" t="s">
        <v>78</v>
      </c>
      <c r="B104" s="335">
        <v>657</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54</v>
      </c>
    </row>
    <row r="130" spans="1:6">
      <c r="A130" s="1212" t="s">
        <v>295</v>
      </c>
      <c r="B130" s="335">
        <v>3</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61941.867083442005</v>
      </c>
      <c r="C3" s="43" t="s">
        <v>170</v>
      </c>
      <c r="D3" s="43"/>
      <c r="E3" s="156"/>
      <c r="F3" s="43"/>
      <c r="G3" s="43"/>
      <c r="H3" s="43"/>
      <c r="I3" s="43"/>
      <c r="J3" s="43"/>
      <c r="K3" s="96"/>
    </row>
    <row r="4" spans="1:11">
      <c r="A4" s="366" t="s">
        <v>171</v>
      </c>
      <c r="B4" s="49">
        <f>IF(ISERROR('SEAP template'!B69),0,'SEAP template'!B69)</f>
        <v>1437.1941920858899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0.21587229023911864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1588.26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1588.26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0.21587229023911864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342.86132369518259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26538.123946506199</v>
      </c>
      <c r="C5" s="17">
        <f>IF(ISERROR('Eigen informatie GS &amp; warmtenet'!B57),0,'Eigen informatie GS &amp; warmtenet'!B57)</f>
        <v>0</v>
      </c>
      <c r="D5" s="30">
        <f>(SUM(HH_hh_gas_kWh,HH_rest_gas_kWh)/1000)*0.902</f>
        <v>69064.085614182884</v>
      </c>
      <c r="E5" s="17">
        <f>B46*B57</f>
        <v>0</v>
      </c>
      <c r="F5" s="17">
        <f>B51*B62</f>
        <v>0</v>
      </c>
      <c r="G5" s="18"/>
      <c r="H5" s="17"/>
      <c r="I5" s="17"/>
      <c r="J5" s="17">
        <f>B50*B61+C50*C61</f>
        <v>0</v>
      </c>
      <c r="K5" s="17"/>
      <c r="L5" s="17"/>
      <c r="M5" s="17"/>
      <c r="N5" s="17">
        <f>B48*B59+C48*C59</f>
        <v>0</v>
      </c>
      <c r="O5" s="17">
        <f>B69*B70*B71</f>
        <v>104.74333333333335</v>
      </c>
      <c r="P5" s="17">
        <f>B77*B78*B79/1000-B77*B78*B79/1000/B80</f>
        <v>266.93333333333334</v>
      </c>
    </row>
    <row r="6" spans="1:16">
      <c r="A6" s="16" t="s">
        <v>634</v>
      </c>
      <c r="B6" s="831">
        <f>kWh_PV_kleiner_dan_10kW</f>
        <v>1171.2523007111956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27709.376247217395</v>
      </c>
      <c r="C8" s="21">
        <f>C5</f>
        <v>0</v>
      </c>
      <c r="D8" s="21">
        <f>D5</f>
        <v>69064.085614182884</v>
      </c>
      <c r="E8" s="21">
        <f>E5</f>
        <v>0</v>
      </c>
      <c r="F8" s="21">
        <f>F5</f>
        <v>0</v>
      </c>
      <c r="G8" s="21"/>
      <c r="H8" s="21"/>
      <c r="I8" s="21"/>
      <c r="J8" s="21">
        <f>J5</f>
        <v>0</v>
      </c>
      <c r="K8" s="21"/>
      <c r="L8" s="21">
        <f>L5</f>
        <v>0</v>
      </c>
      <c r="M8" s="21">
        <f>M5</f>
        <v>0</v>
      </c>
      <c r="N8" s="21">
        <f>N5</f>
        <v>0</v>
      </c>
      <c r="O8" s="21">
        <f>O5</f>
        <v>104.74333333333335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0.21587229023911864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5981.6865115842538</v>
      </c>
      <c r="C12" s="23">
        <f ca="1">C10*C8</f>
        <v>0</v>
      </c>
      <c r="D12" s="23">
        <f>D8*D10</f>
        <v>13950.945294064944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3072</v>
      </c>
      <c r="C18" s="168" t="s">
        <v>111</v>
      </c>
      <c r="D18" s="230"/>
      <c r="E18" s="15"/>
    </row>
    <row r="19" spans="1:7">
      <c r="A19" s="173" t="s">
        <v>72</v>
      </c>
      <c r="B19" s="37">
        <f>aantalw2001_ander</f>
        <v>3</v>
      </c>
      <c r="C19" s="168" t="s">
        <v>111</v>
      </c>
      <c r="D19" s="231"/>
      <c r="E19" s="15"/>
    </row>
    <row r="20" spans="1:7">
      <c r="A20" s="173" t="s">
        <v>73</v>
      </c>
      <c r="B20" s="37">
        <f>aantalw2001_propaan</f>
        <v>28</v>
      </c>
      <c r="C20" s="169">
        <f>IF(ISERROR(B20/SUM($B$20,$B$21,$B$22)*100),0,B20/SUM($B$20,$B$21,$B$22)*100)</f>
        <v>4.501607717041801</v>
      </c>
      <c r="D20" s="231"/>
      <c r="E20" s="15"/>
    </row>
    <row r="21" spans="1:7">
      <c r="A21" s="173" t="s">
        <v>74</v>
      </c>
      <c r="B21" s="37">
        <f>aantalw2001_elektriciteit</f>
        <v>564</v>
      </c>
      <c r="C21" s="169">
        <f>IF(ISERROR(B21/SUM($B$20,$B$21,$B$22)*100),0,B21/SUM($B$20,$B$21,$B$22)*100)</f>
        <v>90.675241157556272</v>
      </c>
      <c r="D21" s="231"/>
      <c r="E21" s="15"/>
    </row>
    <row r="22" spans="1:7">
      <c r="A22" s="173" t="s">
        <v>75</v>
      </c>
      <c r="B22" s="37">
        <f>aantalw2001_hout</f>
        <v>30</v>
      </c>
      <c r="C22" s="169">
        <f>IF(ISERROR(B22/SUM($B$20,$B$21,$B$22)*100),0,B22/SUM($B$20,$B$21,$B$22)*100)</f>
        <v>4.823151125401929</v>
      </c>
      <c r="D22" s="231"/>
      <c r="E22" s="15"/>
    </row>
    <row r="23" spans="1:7">
      <c r="A23" s="173" t="s">
        <v>76</v>
      </c>
      <c r="B23" s="37">
        <f>aantalw2001_niet_gespec</f>
        <v>111</v>
      </c>
      <c r="C23" s="168" t="s">
        <v>111</v>
      </c>
      <c r="D23" s="230"/>
      <c r="E23" s="15"/>
    </row>
    <row r="24" spans="1:7">
      <c r="A24" s="173" t="s">
        <v>77</v>
      </c>
      <c r="B24" s="37">
        <f>aantalw2001_steenkool</f>
        <v>65</v>
      </c>
      <c r="C24" s="168" t="s">
        <v>111</v>
      </c>
      <c r="D24" s="231"/>
      <c r="E24" s="15"/>
    </row>
    <row r="25" spans="1:7">
      <c r="A25" s="173" t="s">
        <v>78</v>
      </c>
      <c r="B25" s="37">
        <f>aantalw2001_stookolie</f>
        <v>657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5334</v>
      </c>
      <c r="C28" s="36"/>
      <c r="D28" s="230"/>
    </row>
    <row r="29" spans="1:7" s="15" customFormat="1">
      <c r="A29" s="232" t="s">
        <v>746</v>
      </c>
      <c r="B29" s="37">
        <f>SUM(HH_hh_gas_aantal,HH_rest_gas_aantal)</f>
        <v>6204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6204</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6204</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27683.168939174713</v>
      </c>
      <c r="C5" s="17">
        <f>IF(ISERROR('Eigen informatie GS &amp; warmtenet'!B58),0,'Eigen informatie GS &amp; warmtenet'!B58)</f>
        <v>0</v>
      </c>
      <c r="D5" s="30">
        <f>SUM(D6:D12)</f>
        <v>31537.927570962878</v>
      </c>
      <c r="E5" s="17">
        <f>SUM(E6:E12)</f>
        <v>562.80592298301326</v>
      </c>
      <c r="F5" s="17">
        <f>SUM(F6:F12)</f>
        <v>5790.0885778580614</v>
      </c>
      <c r="G5" s="18"/>
      <c r="H5" s="17"/>
      <c r="I5" s="17"/>
      <c r="J5" s="17">
        <f>SUM(J6:J12)</f>
        <v>0</v>
      </c>
      <c r="K5" s="17"/>
      <c r="L5" s="17"/>
      <c r="M5" s="17"/>
      <c r="N5" s="17">
        <f>SUM(N6:N12)</f>
        <v>1756.0434882274144</v>
      </c>
      <c r="O5" s="17">
        <f>B38*B39*B40</f>
        <v>4.6900000000000004</v>
      </c>
      <c r="P5" s="17">
        <f>B46*B47*B48/1000-B46*B47*B48/1000/B49</f>
        <v>0</v>
      </c>
      <c r="R5" s="32"/>
    </row>
    <row r="6" spans="1:18">
      <c r="A6" s="32" t="s">
        <v>54</v>
      </c>
      <c r="B6" s="37">
        <f>B26</f>
        <v>7418.8401635750406</v>
      </c>
      <c r="C6" s="33"/>
      <c r="D6" s="37">
        <f>IF(ISERROR(TER_kantoor_gas_kWh/1000),0,TER_kantoor_gas_kWh/1000)*0.902</f>
        <v>9877.8056302749792</v>
      </c>
      <c r="E6" s="33">
        <f>$C$26*'E Balans VL '!I12/100/3.6*1000000</f>
        <v>28.823764695465918</v>
      </c>
      <c r="F6" s="33">
        <f>$C$26*('E Balans VL '!L12+'E Balans VL '!N12)/100/3.6*1000000</f>
        <v>1128.3380828163254</v>
      </c>
      <c r="G6" s="34"/>
      <c r="H6" s="33"/>
      <c r="I6" s="33"/>
      <c r="J6" s="33">
        <f>$C$26*('E Balans VL '!D12+'E Balans VL '!E12)/100/3.6*1000000</f>
        <v>0</v>
      </c>
      <c r="K6" s="33"/>
      <c r="L6" s="33"/>
      <c r="M6" s="33"/>
      <c r="N6" s="33">
        <f>$C$26*'E Balans VL '!Y12/100/3.6*1000000</f>
        <v>4.0886696852941204</v>
      </c>
      <c r="O6" s="33"/>
      <c r="P6" s="33"/>
      <c r="R6" s="32"/>
    </row>
    <row r="7" spans="1:18">
      <c r="A7" s="32" t="s">
        <v>53</v>
      </c>
      <c r="B7" s="37">
        <f t="shared" ref="B7:B12" si="0">B27</f>
        <v>6697.6085295098201</v>
      </c>
      <c r="C7" s="33"/>
      <c r="D7" s="37">
        <f>IF(ISERROR(TER_horeca_gas_kWh/1000),0,TER_horeca_gas_kWh/1000)*0.902</f>
        <v>10111.045712974166</v>
      </c>
      <c r="E7" s="33">
        <f>$C$27*'E Balans VL '!I9/100/3.6*1000000</f>
        <v>377.27807911113069</v>
      </c>
      <c r="F7" s="33">
        <f>$C$27*('E Balans VL '!L9+'E Balans VL '!N9)/100/3.6*1000000</f>
        <v>1931.1893222735271</v>
      </c>
      <c r="G7" s="34"/>
      <c r="H7" s="33"/>
      <c r="I7" s="33"/>
      <c r="J7" s="33">
        <f>$C$27*('E Balans VL '!D9+'E Balans VL '!E9)/100/3.6*1000000</f>
        <v>0</v>
      </c>
      <c r="K7" s="33"/>
      <c r="L7" s="33"/>
      <c r="M7" s="33"/>
      <c r="N7" s="33">
        <f>$C$27*'E Balans VL '!Y9/100/3.6*1000000</f>
        <v>1.8491749109491364</v>
      </c>
      <c r="O7" s="33"/>
      <c r="P7" s="33"/>
      <c r="R7" s="32"/>
    </row>
    <row r="8" spans="1:18">
      <c r="A8" s="6" t="s">
        <v>52</v>
      </c>
      <c r="B8" s="37">
        <f t="shared" si="0"/>
        <v>6454.0762313059295</v>
      </c>
      <c r="C8" s="33"/>
      <c r="D8" s="37">
        <f>IF(ISERROR(TER_handel_gas_kWh/1000),0,TER_handel_gas_kWh/1000)*0.902</f>
        <v>3551.8966666933211</v>
      </c>
      <c r="E8" s="33">
        <f>$C$28*'E Balans VL '!I13/100/3.6*1000000</f>
        <v>93.025134995601874</v>
      </c>
      <c r="F8" s="33">
        <f>$C$28*('E Balans VL '!L13+'E Balans VL '!N13)/100/3.6*1000000</f>
        <v>1121.2233466708385</v>
      </c>
      <c r="G8" s="34"/>
      <c r="H8" s="33"/>
      <c r="I8" s="33"/>
      <c r="J8" s="33">
        <f>$C$28*('E Balans VL '!D13+'E Balans VL '!E13)/100/3.6*1000000</f>
        <v>0</v>
      </c>
      <c r="K8" s="33"/>
      <c r="L8" s="33"/>
      <c r="M8" s="33"/>
      <c r="N8" s="33">
        <f>$C$28*'E Balans VL '!Y13/100/3.6*1000000</f>
        <v>19.337130871559484</v>
      </c>
      <c r="O8" s="33"/>
      <c r="P8" s="33"/>
      <c r="R8" s="32"/>
    </row>
    <row r="9" spans="1:18">
      <c r="A9" s="32" t="s">
        <v>51</v>
      </c>
      <c r="B9" s="37">
        <f t="shared" si="0"/>
        <v>563.88791619805806</v>
      </c>
      <c r="C9" s="33"/>
      <c r="D9" s="37">
        <f>IF(ISERROR(TER_gezond_gas_kWh/1000),0,TER_gezond_gas_kWh/1000)*0.902</f>
        <v>1463.0291560279345</v>
      </c>
      <c r="E9" s="33">
        <f>$C$29*'E Balans VL '!I10/100/3.6*1000000</f>
        <v>0.60237844888005498</v>
      </c>
      <c r="F9" s="33">
        <f>$C$29*('E Balans VL '!L10+'E Balans VL '!N10)/100/3.6*1000000</f>
        <v>91.987256328753944</v>
      </c>
      <c r="G9" s="34"/>
      <c r="H9" s="33"/>
      <c r="I9" s="33"/>
      <c r="J9" s="33">
        <f>$C$29*('E Balans VL '!D10+'E Balans VL '!E10)/100/3.6*1000000</f>
        <v>0</v>
      </c>
      <c r="K9" s="33"/>
      <c r="L9" s="33"/>
      <c r="M9" s="33"/>
      <c r="N9" s="33">
        <f>$C$29*'E Balans VL '!Y10/100/3.6*1000000</f>
        <v>5.8049043492329977</v>
      </c>
      <c r="O9" s="33"/>
      <c r="P9" s="33"/>
      <c r="R9" s="32"/>
    </row>
    <row r="10" spans="1:18">
      <c r="A10" s="32" t="s">
        <v>50</v>
      </c>
      <c r="B10" s="37">
        <f t="shared" si="0"/>
        <v>1971.5380121222199</v>
      </c>
      <c r="C10" s="33"/>
      <c r="D10" s="37">
        <f>IF(ISERROR(TER_ander_gas_kWh/1000),0,TER_ander_gas_kWh/1000)*0.902</f>
        <v>1424.3004169669496</v>
      </c>
      <c r="E10" s="33">
        <f>$C$30*'E Balans VL '!I14/100/3.6*1000000</f>
        <v>9.0668034245562854</v>
      </c>
      <c r="F10" s="33">
        <f>$C$30*('E Balans VL '!L14+'E Balans VL '!N14)/100/3.6*1000000</f>
        <v>590.93213013127411</v>
      </c>
      <c r="G10" s="34"/>
      <c r="H10" s="33"/>
      <c r="I10" s="33"/>
      <c r="J10" s="33">
        <f>$C$30*('E Balans VL '!D14+'E Balans VL '!E14)/100/3.6*1000000</f>
        <v>0</v>
      </c>
      <c r="K10" s="33"/>
      <c r="L10" s="33"/>
      <c r="M10" s="33"/>
      <c r="N10" s="33">
        <f>$C$30*'E Balans VL '!Y14/100/3.6*1000000</f>
        <v>1372.3205991767381</v>
      </c>
      <c r="O10" s="33"/>
      <c r="P10" s="33"/>
      <c r="R10" s="32"/>
    </row>
    <row r="11" spans="1:18">
      <c r="A11" s="32" t="s">
        <v>55</v>
      </c>
      <c r="B11" s="37">
        <f t="shared" si="0"/>
        <v>134.76476321124599</v>
      </c>
      <c r="C11" s="33"/>
      <c r="D11" s="37">
        <f>IF(ISERROR(TER_onderwijs_gas_kWh/1000),0,TER_onderwijs_gas_kWh/1000)*0.902</f>
        <v>1220.6286623186077</v>
      </c>
      <c r="E11" s="33">
        <f>$C$31*'E Balans VL '!I11/100/3.6*1000000</f>
        <v>0.12501204062778815</v>
      </c>
      <c r="F11" s="33">
        <f>$C$31*('E Balans VL '!L11+'E Balans VL '!N11)/100/3.6*1000000</f>
        <v>47.339763970715701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4442.4533232524</v>
      </c>
      <c r="C12" s="33"/>
      <c r="D12" s="37">
        <f>IF(ISERROR(TER_rest_gas_kWh/1000),0,TER_rest_gas_kWh/1000)*0.902</f>
        <v>3889.2213257069252</v>
      </c>
      <c r="E12" s="33">
        <f>$C$32*'E Balans VL '!I8/100/3.6*1000000</f>
        <v>53.884750266750586</v>
      </c>
      <c r="F12" s="33">
        <f>$C$32*('E Balans VL '!L8+'E Balans VL '!N8)/100/3.6*1000000</f>
        <v>879.07867566662742</v>
      </c>
      <c r="G12" s="34"/>
      <c r="H12" s="33"/>
      <c r="I12" s="33"/>
      <c r="J12" s="33">
        <f>$C$32*('E Balans VL '!D8+'E Balans VL '!E8)/100/3.6*1000000</f>
        <v>0</v>
      </c>
      <c r="K12" s="33"/>
      <c r="L12" s="33"/>
      <c r="M12" s="33"/>
      <c r="N12" s="33">
        <f>$C$32*'E Balans VL '!Y8/100/3.6*1000000</f>
        <v>352.64300923364044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27683.168939174713</v>
      </c>
      <c r="C16" s="21">
        <f t="shared" ca="1" si="1"/>
        <v>0</v>
      </c>
      <c r="D16" s="21">
        <f t="shared" ca="1" si="1"/>
        <v>31537.927570962878</v>
      </c>
      <c r="E16" s="21">
        <f t="shared" si="1"/>
        <v>562.80592298301326</v>
      </c>
      <c r="F16" s="21">
        <f t="shared" ca="1" si="1"/>
        <v>5790.0885778580614</v>
      </c>
      <c r="G16" s="21">
        <f t="shared" si="1"/>
        <v>0</v>
      </c>
      <c r="H16" s="21">
        <f t="shared" si="1"/>
        <v>0</v>
      </c>
      <c r="I16" s="21">
        <f t="shared" si="1"/>
        <v>0</v>
      </c>
      <c r="J16" s="21">
        <f t="shared" si="1"/>
        <v>0</v>
      </c>
      <c r="K16" s="21">
        <f t="shared" si="1"/>
        <v>0</v>
      </c>
      <c r="L16" s="21">
        <f t="shared" ca="1" si="1"/>
        <v>0</v>
      </c>
      <c r="M16" s="21">
        <f t="shared" si="1"/>
        <v>0</v>
      </c>
      <c r="N16" s="21">
        <f t="shared" ca="1" si="1"/>
        <v>1756.0434882274144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0.21587229023911864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5976.0290799760778</v>
      </c>
      <c r="C20" s="23">
        <f t="shared" ref="C20:P20" ca="1" si="2">C16*C18</f>
        <v>0</v>
      </c>
      <c r="D20" s="23">
        <f t="shared" ca="1" si="2"/>
        <v>6370.6613693345016</v>
      </c>
      <c r="E20" s="23">
        <f t="shared" si="2"/>
        <v>127.75694451714402</v>
      </c>
      <c r="F20" s="23">
        <f t="shared" ca="1" si="2"/>
        <v>1545.9536502881024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7418.8401635750406</v>
      </c>
      <c r="C26" s="39">
        <f>IF(ISERROR(B26*3.6/1000000/'E Balans VL '!Z12*100),0,B26*3.6/1000000/'E Balans VL '!Z12*100)</f>
        <v>0.15757983989003138</v>
      </c>
      <c r="D26" s="239" t="s">
        <v>692</v>
      </c>
      <c r="F26" s="6"/>
    </row>
    <row r="27" spans="1:18">
      <c r="A27" s="233" t="s">
        <v>53</v>
      </c>
      <c r="B27" s="33">
        <f>IF(ISERROR(TER_horeca_ele_kWh/1000),0,TER_horeca_ele_kWh/1000)</f>
        <v>6697.6085295098201</v>
      </c>
      <c r="C27" s="39">
        <f>IF(ISERROR(B27*3.6/1000000/'E Balans VL '!Z9*100),0,B27*3.6/1000000/'E Balans VL '!Z9*100)</f>
        <v>0.52077985212972788</v>
      </c>
      <c r="D27" s="239" t="s">
        <v>692</v>
      </c>
      <c r="F27" s="6"/>
    </row>
    <row r="28" spans="1:18">
      <c r="A28" s="173" t="s">
        <v>52</v>
      </c>
      <c r="B28" s="33">
        <f>IF(ISERROR(TER_handel_ele_kWh/1000),0,TER_handel_ele_kWh/1000)</f>
        <v>6454.0762313059295</v>
      </c>
      <c r="C28" s="39">
        <f>IF(ISERROR(B28*3.6/1000000/'E Balans VL '!Z13*100),0,B28*3.6/1000000/'E Balans VL '!Z13*100)</f>
        <v>0.18465871666555164</v>
      </c>
      <c r="D28" s="239" t="s">
        <v>692</v>
      </c>
      <c r="F28" s="6"/>
    </row>
    <row r="29" spans="1:18">
      <c r="A29" s="233" t="s">
        <v>51</v>
      </c>
      <c r="B29" s="33">
        <f>IF(ISERROR(TER_gezond_ele_kWh/1000),0,TER_gezond_ele_kWh/1000)</f>
        <v>563.88791619805806</v>
      </c>
      <c r="C29" s="39">
        <f>IF(ISERROR(B29*3.6/1000000/'E Balans VL '!Z10*100),0,B29*3.6/1000000/'E Balans VL '!Z10*100)</f>
        <v>6.1476886049272025E-2</v>
      </c>
      <c r="D29" s="239" t="s">
        <v>692</v>
      </c>
      <c r="F29" s="6"/>
    </row>
    <row r="30" spans="1:18">
      <c r="A30" s="233" t="s">
        <v>50</v>
      </c>
      <c r="B30" s="33">
        <f>IF(ISERROR(TER_ander_ele_kWh/1000),0,TER_ander_ele_kWh/1000)</f>
        <v>1971.5380121222199</v>
      </c>
      <c r="C30" s="39">
        <f>IF(ISERROR(B30*3.6/1000000/'E Balans VL '!Z14*100),0,B30*3.6/1000000/'E Balans VL '!Z14*100)</f>
        <v>0.1442726793991421</v>
      </c>
      <c r="D30" s="239" t="s">
        <v>692</v>
      </c>
      <c r="F30" s="6"/>
    </row>
    <row r="31" spans="1:18">
      <c r="A31" s="233" t="s">
        <v>55</v>
      </c>
      <c r="B31" s="33">
        <f>IF(ISERROR(TER_onderwijs_ele_kWh/1000),0,TER_onderwijs_ele_kWh/1000)</f>
        <v>134.76476321124599</v>
      </c>
      <c r="C31" s="39">
        <f>IF(ISERROR(B31*3.6/1000000/'E Balans VL '!Z11*100),0,B31*3.6/1000000/'E Balans VL '!Z11*100)</f>
        <v>2.7067602764532399E-2</v>
      </c>
      <c r="D31" s="239" t="s">
        <v>692</v>
      </c>
    </row>
    <row r="32" spans="1:18">
      <c r="A32" s="233" t="s">
        <v>260</v>
      </c>
      <c r="B32" s="33">
        <f>IF(ISERROR(TER_rest_ele_kWh/1000),0,TER_rest_ele_kWh/1000)</f>
        <v>4442.4533232524</v>
      </c>
      <c r="C32" s="39">
        <f>IF(ISERROR(B32*3.6/1000000/'E Balans VL '!Z8*100),0,B32*3.6/1000000/'E Balans VL '!Z8*100)</f>
        <v>3.6203298596566146E-2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3787.3237310498366</v>
      </c>
      <c r="C5" s="17">
        <f>IF(ISERROR('Eigen informatie GS &amp; warmtenet'!B59),0,'Eigen informatie GS &amp; warmtenet'!B59)</f>
        <v>0</v>
      </c>
      <c r="D5" s="30">
        <f>SUM(D6:D15)</f>
        <v>2234.9450567781528</v>
      </c>
      <c r="E5" s="17">
        <f>SUM(E6:E15)</f>
        <v>803.30079798805707</v>
      </c>
      <c r="F5" s="17">
        <f>SUM(F6:F15)</f>
        <v>2505.8765510828953</v>
      </c>
      <c r="G5" s="18"/>
      <c r="H5" s="17"/>
      <c r="I5" s="17"/>
      <c r="J5" s="17">
        <f>SUM(J6:J15)</f>
        <v>1.5076649410351779</v>
      </c>
      <c r="K5" s="17"/>
      <c r="L5" s="17"/>
      <c r="M5" s="17"/>
      <c r="N5" s="17">
        <f>SUM(N6:N15)</f>
        <v>1111.546894562425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124.29553871072099</v>
      </c>
      <c r="C8" s="33"/>
      <c r="D8" s="37">
        <f>IF( ISERROR(IND_metaal_Gas_kWH/1000),0,IND_metaal_Gas_kWH/1000)*0.902</f>
        <v>33.78140113929873</v>
      </c>
      <c r="E8" s="33">
        <f>C30*'E Balans VL '!I18/100/3.6*1000000</f>
        <v>3.5702344199887643</v>
      </c>
      <c r="F8" s="33">
        <f>C30*'E Balans VL '!L18/100/3.6*1000000+C30*'E Balans VL '!N18/100/3.6*1000000</f>
        <v>31.879415132541986</v>
      </c>
      <c r="G8" s="34"/>
      <c r="H8" s="33"/>
      <c r="I8" s="33"/>
      <c r="J8" s="40">
        <f>C30*'E Balans VL '!D18/100/3.6*1000000+C30*'E Balans VL '!E18/100/3.6*1000000</f>
        <v>0</v>
      </c>
      <c r="K8" s="33"/>
      <c r="L8" s="33"/>
      <c r="M8" s="33"/>
      <c r="N8" s="33">
        <f>C30*'E Balans VL '!Y18/100/3.6*1000000</f>
        <v>3.3748775991374997</v>
      </c>
      <c r="O8" s="33"/>
      <c r="P8" s="33"/>
      <c r="R8" s="32"/>
    </row>
    <row r="9" spans="1:18">
      <c r="A9" s="6" t="s">
        <v>33</v>
      </c>
      <c r="B9" s="37">
        <f t="shared" si="0"/>
        <v>2728.9507805763101</v>
      </c>
      <c r="C9" s="33"/>
      <c r="D9" s="37">
        <f>IF( ISERROR(IND_andere_gas_kWh/1000),0,IND_andere_gas_kWh/1000)*0.902</f>
        <v>766.85300637171633</v>
      </c>
      <c r="E9" s="33">
        <f>C31*'E Balans VL '!I19/100/3.6*1000000</f>
        <v>738.65987947879046</v>
      </c>
      <c r="F9" s="33">
        <f>C31*'E Balans VL '!L19/100/3.6*1000000+C31*'E Balans VL '!N19/100/3.6*1000000</f>
        <v>1817.7700031804266</v>
      </c>
      <c r="G9" s="34"/>
      <c r="H9" s="33"/>
      <c r="I9" s="33"/>
      <c r="J9" s="40">
        <f>C31*'E Balans VL '!D19/100/3.6*1000000+C31*'E Balans VL '!E19/100/3.6*1000000</f>
        <v>0</v>
      </c>
      <c r="K9" s="33"/>
      <c r="L9" s="33"/>
      <c r="M9" s="33"/>
      <c r="N9" s="33">
        <f>C31*'E Balans VL '!Y19/100/3.6*1000000</f>
        <v>890.95709810480287</v>
      </c>
      <c r="O9" s="33"/>
      <c r="P9" s="33"/>
      <c r="R9" s="32"/>
    </row>
    <row r="10" spans="1:18">
      <c r="A10" s="6" t="s">
        <v>41</v>
      </c>
      <c r="B10" s="37">
        <f t="shared" si="0"/>
        <v>347.64387451543701</v>
      </c>
      <c r="C10" s="33"/>
      <c r="D10" s="37">
        <f>IF( ISERROR(IND_voed_gas_kWh/1000),0,IND_voed_gas_kWh/1000)*0.902</f>
        <v>989.58650519267394</v>
      </c>
      <c r="E10" s="33">
        <f>C32*'E Balans VL '!I20/100/3.6*1000000</f>
        <v>28.354633096497718</v>
      </c>
      <c r="F10" s="33">
        <f>C32*'E Balans VL '!L20/100/3.6*1000000+C32*'E Balans VL '!N20/100/3.6*1000000</f>
        <v>518.36855791847711</v>
      </c>
      <c r="G10" s="34"/>
      <c r="H10" s="33"/>
      <c r="I10" s="33"/>
      <c r="J10" s="40">
        <f>C32*'E Balans VL '!D20/100/3.6*1000000+C32*'E Balans VL '!E20/100/3.6*1000000</f>
        <v>4.5989064767848545E-3</v>
      </c>
      <c r="K10" s="33"/>
      <c r="L10" s="33"/>
      <c r="M10" s="33"/>
      <c r="N10" s="33">
        <f>C32*'E Balans VL '!Y20/100/3.6*1000000</f>
        <v>102.12550330303129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586.43353724736892</v>
      </c>
      <c r="C15" s="33"/>
      <c r="D15" s="37">
        <f>IF( ISERROR(IND_rest_gas_kWh/1000),0,IND_rest_gas_kWh/1000)*0.902</f>
        <v>444.72414407446365</v>
      </c>
      <c r="E15" s="33">
        <f>C37*'E Balans VL '!I15/100/3.6*1000000</f>
        <v>32.716050992780097</v>
      </c>
      <c r="F15" s="33">
        <f>C37*'E Balans VL '!L15/100/3.6*1000000+C37*'E Balans VL '!N15/100/3.6*1000000</f>
        <v>137.85857485144987</v>
      </c>
      <c r="G15" s="34"/>
      <c r="H15" s="33"/>
      <c r="I15" s="33"/>
      <c r="J15" s="40">
        <f>C37*'E Balans VL '!D15/100/3.6*1000000+C37*'E Balans VL '!E15/100/3.6*1000000</f>
        <v>1.503066034558393</v>
      </c>
      <c r="K15" s="33"/>
      <c r="L15" s="33"/>
      <c r="M15" s="33"/>
      <c r="N15" s="33">
        <f>C37*'E Balans VL '!Y15/100/3.6*1000000</f>
        <v>115.08941555545339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3787.3237310498366</v>
      </c>
      <c r="C18" s="21">
        <f>C5+C16</f>
        <v>0</v>
      </c>
      <c r="D18" s="21">
        <f>MAX((D5+D16),0)</f>
        <v>2234.9450567781528</v>
      </c>
      <c r="E18" s="21">
        <f>MAX((E5+E16),0)</f>
        <v>803.30079798805707</v>
      </c>
      <c r="F18" s="21">
        <f>MAX((F5+F16),0)</f>
        <v>2505.8765510828953</v>
      </c>
      <c r="G18" s="21"/>
      <c r="H18" s="21"/>
      <c r="I18" s="21"/>
      <c r="J18" s="21">
        <f>MAX((J5+J16),0)</f>
        <v>1.5076649410351779</v>
      </c>
      <c r="K18" s="21"/>
      <c r="L18" s="21">
        <f>MAX((L5+L16),0)</f>
        <v>0</v>
      </c>
      <c r="M18" s="21"/>
      <c r="N18" s="21">
        <f>MAX((N5+N16),0)</f>
        <v>1111.546894562425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0.21587229023911864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817.57824769869205</v>
      </c>
      <c r="C22" s="23">
        <f ca="1">C18*C20</f>
        <v>0</v>
      </c>
      <c r="D22" s="23">
        <f>D18*D20</f>
        <v>451.45890146918691</v>
      </c>
      <c r="E22" s="23">
        <f>E18*E20</f>
        <v>182.34928114328895</v>
      </c>
      <c r="F22" s="23">
        <f>F18*F20</f>
        <v>669.06903913913311</v>
      </c>
      <c r="G22" s="23"/>
      <c r="H22" s="23"/>
      <c r="I22" s="23"/>
      <c r="J22" s="23">
        <f>J18*J20</f>
        <v>0.53371338912645294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124.29553871072099</v>
      </c>
      <c r="C30" s="39">
        <f>IF(ISERROR(B30*3.6/1000000/'E Balans VL '!Z18*100),0,B30*3.6/1000000/'E Balans VL '!Z18*100)</f>
        <v>1.223036371642424E-2</v>
      </c>
      <c r="D30" s="239" t="s">
        <v>692</v>
      </c>
    </row>
    <row r="31" spans="1:18">
      <c r="A31" s="6" t="s">
        <v>33</v>
      </c>
      <c r="B31" s="37">
        <f>IF( ISERROR(IND_ander_ele_kWh/1000),0,IND_ander_ele_kWh/1000)</f>
        <v>2728.9507805763101</v>
      </c>
      <c r="C31" s="39">
        <f>IF(ISERROR(B31*3.6/1000000/'E Balans VL '!Z19*100),0,B31*3.6/1000000/'E Balans VL '!Z19*100)</f>
        <v>0.11884362963150415</v>
      </c>
      <c r="D31" s="239" t="s">
        <v>692</v>
      </c>
    </row>
    <row r="32" spans="1:18">
      <c r="A32" s="173" t="s">
        <v>41</v>
      </c>
      <c r="B32" s="37">
        <f>IF( ISERROR(IND_voed_ele_kWh/1000),0,IND_voed_ele_kWh/1000)</f>
        <v>347.64387451543701</v>
      </c>
      <c r="C32" s="39">
        <f>IF(ISERROR(B32*3.6/1000000/'E Balans VL '!Z20*100),0,B32*3.6/1000000/'E Balans VL '!Z20*100)</f>
        <v>6.5960411619222406E-2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586.43353724736892</v>
      </c>
      <c r="C37" s="39">
        <f>IF(ISERROR(B37*3.6/1000000/'E Balans VL '!Z15*100),0,B37*3.6/1000000/'E Balans VL '!Z15*100)</f>
        <v>4.5191906933468116E-3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399.85949750615106</v>
      </c>
      <c r="C5" s="17">
        <f>'Eigen informatie GS &amp; warmtenet'!B60</f>
        <v>0</v>
      </c>
      <c r="D5" s="30">
        <f>IF(ISERROR(SUM(LB_lb_gas_kWh,LB_rest_gas_kWh,onbekend_gas_kWh)/1000),0,SUM(LB_lb_gas_kWh,LB_rest_gas_kWh,onbekend_gas_kWh)/1000)*0.902</f>
        <v>8042.4200059322129</v>
      </c>
      <c r="E5" s="17">
        <f>B17*'E Balans VL '!I25/3.6*1000000/100</f>
        <v>5.0387447923455522</v>
      </c>
      <c r="F5" s="17">
        <f>B17*('E Balans VL '!L25/3.6*1000000+'E Balans VL '!N25/3.6*1000000)/100</f>
        <v>1379.6154371857965</v>
      </c>
      <c r="G5" s="18"/>
      <c r="H5" s="17"/>
      <c r="I5" s="17"/>
      <c r="J5" s="17">
        <f>('E Balans VL '!D25+'E Balans VL '!E25)/3.6*1000000*landbouw!B17/100</f>
        <v>60.134322982581061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399.85949750615106</v>
      </c>
      <c r="C8" s="21">
        <f>C5+C6</f>
        <v>0</v>
      </c>
      <c r="D8" s="21">
        <f>MAX((D5+D6),0)</f>
        <v>8042.4200059322129</v>
      </c>
      <c r="E8" s="21">
        <f>MAX((E5+E6),0)</f>
        <v>5.0387447923455522</v>
      </c>
      <c r="F8" s="21">
        <f>MAX((F5+F6),0)</f>
        <v>1379.6154371857965</v>
      </c>
      <c r="G8" s="21"/>
      <c r="H8" s="21"/>
      <c r="I8" s="21"/>
      <c r="J8" s="21">
        <f>MAX((J5+J6),0)</f>
        <v>60.134322982581061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0.21587229023911864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86.318585500515979</v>
      </c>
      <c r="C12" s="23">
        <f ca="1">C8*C10</f>
        <v>0</v>
      </c>
      <c r="D12" s="23">
        <f>D8*D10</f>
        <v>1624.5688411983072</v>
      </c>
      <c r="E12" s="23">
        <f>E8*E10</f>
        <v>1.1437950678624405</v>
      </c>
      <c r="F12" s="23">
        <f>F8*F10</f>
        <v>368.3573217286077</v>
      </c>
      <c r="G12" s="23"/>
      <c r="H12" s="23"/>
      <c r="I12" s="23"/>
      <c r="J12" s="23">
        <f>J8*J10</f>
        <v>21.287550335833693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5.5767797062294899E-2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144.85105240041423</v>
      </c>
      <c r="C26" s="249">
        <f>B26*'GWP N2O_CH4'!B5</f>
        <v>3041.8721004086988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41.09244084080072</v>
      </c>
      <c r="C27" s="249">
        <f>B27*'GWP N2O_CH4'!B5</f>
        <v>862.94125765681508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1.6634041125673844</v>
      </c>
      <c r="C28" s="249">
        <f>B28*'GWP N2O_CH4'!B4</f>
        <v>515.65527489588919</v>
      </c>
      <c r="D28" s="50"/>
    </row>
    <row r="29" spans="1:4">
      <c r="A29" s="41" t="s">
        <v>277</v>
      </c>
      <c r="B29" s="249">
        <f>B34*'ha_N2O bodem landbouw'!B4</f>
        <v>7.6006524226457506</v>
      </c>
      <c r="C29" s="249">
        <f>B29*'GWP N2O_CH4'!B4</f>
        <v>2356.2022510201828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1.8978069620959165E-3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1.1643809854483471E-5</v>
      </c>
      <c r="C5" s="448" t="s">
        <v>211</v>
      </c>
      <c r="D5" s="433">
        <f>SUM(D6:D11)</f>
        <v>1.7501110445328726E-5</v>
      </c>
      <c r="E5" s="433">
        <f>SUM(E6:E11)</f>
        <v>6.1372857822070484E-4</v>
      </c>
      <c r="F5" s="446" t="s">
        <v>211</v>
      </c>
      <c r="G5" s="433">
        <f>SUM(G6:G11)</f>
        <v>0.24846353911962549</v>
      </c>
      <c r="H5" s="433">
        <f>SUM(H6:H11)</f>
        <v>2.7077718893104216E-2</v>
      </c>
      <c r="I5" s="448" t="s">
        <v>211</v>
      </c>
      <c r="J5" s="448" t="s">
        <v>211</v>
      </c>
      <c r="K5" s="448" t="s">
        <v>211</v>
      </c>
      <c r="L5" s="448" t="s">
        <v>211</v>
      </c>
      <c r="M5" s="433">
        <f>SUM(M6:M11)</f>
        <v>1.2367673934284038E-2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5.2037339931929996E-6</v>
      </c>
      <c r="C6" s="949"/>
      <c r="D6" s="949">
        <f>vkm_2011_GW_PW*SUMIFS(TableVerdeelsleutelVkm[CNG],TableVerdeelsleutelVkm[Voertuigtype],"Lichte voertuigen")*SUMIFS(TableECFTransport[EnergieConsumptieFactor (PJ per km)],TableECFTransport[Index],CONCATENATE($A6,"_CNG_CNG"))</f>
        <v>7.3695050838530903E-6</v>
      </c>
      <c r="E6" s="949">
        <f>vkm_2011_GW_PW*SUMIFS(TableVerdeelsleutelVkm[LPG],TableVerdeelsleutelVkm[Voertuigtype],"Lichte voertuigen")*SUMIFS(TableECFTransport[EnergieConsumptieFactor (PJ per km)],TableECFTransport[Index],CONCATENATE($A6,"_LPG_LPG"))</f>
        <v>2.3145189363259276E-4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4.1598242910609665E-2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1.1177826309097418E-2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2.3551021030084121E-3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2.2775447125236749E-2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8.1145607233225613E-6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1.0277611689760175E-3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5.8282030665013148E-7</v>
      </c>
      <c r="C8" s="949"/>
      <c r="D8" s="436">
        <f>vkm_2011_NGW_PW*SUMIFS(TableVerdeelsleutelVkm[CNG],TableVerdeelsleutelVkm[Voertuigtype],"Lichte voertuigen")*SUMIFS(TableECFTransport[EnergieConsumptieFactor (PJ per km)],TableECFTransport[Index],CONCATENATE($A8,"_CNG_CNG"))</f>
        <v>1.470441980870007E-6</v>
      </c>
      <c r="E8" s="436">
        <f>vkm_2011_NGW_PW*SUMIFS(TableVerdeelsleutelVkm[LPG],TableVerdeelsleutelVkm[Voertuigtype],"Lichte voertuigen")*SUMIFS(TableECFTransport[EnergieConsumptieFactor (PJ per km)],TableECFTransport[Index],CONCATENATE($A8,"_LPG_LPG"))</f>
        <v>4.2536580233250743E-5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7.2103628266097656E-3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2.1520381660240333E-3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4.1740366076069171E-4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2.6018511106086638E-3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8.7721337577689615E-7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1.1740858363130118E-4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5.8572555546403401E-6</v>
      </c>
      <c r="C10" s="949"/>
      <c r="D10" s="436">
        <f>vkm_2011_SW_PW*SUMIFS(TableVerdeelsleutelVkm[CNG],TableVerdeelsleutelVkm[Voertuigtype],"Lichte voertuigen")*SUMIFS(TableECFTransport[EnergieConsumptieFactor (PJ per km)],TableECFTransport[Index],CONCATENATE($A10,"_CNG_CNG"))</f>
        <v>8.6611633806056302E-6</v>
      </c>
      <c r="E10" s="436">
        <f>vkm_2011_SW_PW*SUMIFS(TableVerdeelsleutelVkm[LPG],TableVerdeelsleutelVkm[Voertuigtype],"Lichte voertuigen")*SUMIFS(TableECFTransport[EnergieConsumptieFactor (PJ per km)],TableECFTransport[Index],CONCATENATE($A10,"_LPG_LPG"))</f>
        <v>3.3974010435486128E-4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5.5299701242016726E-2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1.3693149198800771E-2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3.0808769923696029E-3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0.11897793390454393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4.5713445082897832E-5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5.3691214255380121E-3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3.2343916262454084</v>
      </c>
      <c r="C14" s="21"/>
      <c r="D14" s="21">
        <f t="shared" ref="D14:M14" si="0">((D5)*10^9/3600)+D12</f>
        <v>4.8614195681468688</v>
      </c>
      <c r="E14" s="21">
        <f t="shared" si="0"/>
        <v>170.48016061686243</v>
      </c>
      <c r="F14" s="21"/>
      <c r="G14" s="21">
        <f t="shared" si="0"/>
        <v>69017.649755451523</v>
      </c>
      <c r="H14" s="21">
        <f t="shared" si="0"/>
        <v>7521.5885814178382</v>
      </c>
      <c r="I14" s="21"/>
      <c r="J14" s="21"/>
      <c r="K14" s="21"/>
      <c r="L14" s="21"/>
      <c r="M14" s="21">
        <f t="shared" si="0"/>
        <v>3435.4649817455665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0.21587229023911864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0.69821552788782371</v>
      </c>
      <c r="C18" s="23"/>
      <c r="D18" s="23">
        <f t="shared" ref="D18:M18" si="1">D14*D16</f>
        <v>0.98200675276566751</v>
      </c>
      <c r="E18" s="23">
        <f t="shared" si="1"/>
        <v>38.698996460027772</v>
      </c>
      <c r="F18" s="23"/>
      <c r="G18" s="23">
        <f t="shared" si="1"/>
        <v>18427.712484705557</v>
      </c>
      <c r="H18" s="23">
        <f t="shared" si="1"/>
        <v>1872.8755567730418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2.7743193967236005E-3</v>
      </c>
      <c r="C50" s="323">
        <f t="shared" ref="C50:P50" si="2">SUM(C51:C52)</f>
        <v>0</v>
      </c>
      <c r="D50" s="323">
        <f t="shared" si="2"/>
        <v>0</v>
      </c>
      <c r="E50" s="323">
        <f t="shared" si="2"/>
        <v>0</v>
      </c>
      <c r="F50" s="323">
        <f t="shared" si="2"/>
        <v>0</v>
      </c>
      <c r="G50" s="323">
        <f t="shared" si="2"/>
        <v>5.8185566456955883E-4</v>
      </c>
      <c r="H50" s="323">
        <f t="shared" si="2"/>
        <v>0</v>
      </c>
      <c r="I50" s="323">
        <f t="shared" si="2"/>
        <v>0</v>
      </c>
      <c r="J50" s="323">
        <f t="shared" si="2"/>
        <v>0</v>
      </c>
      <c r="K50" s="323">
        <f t="shared" si="2"/>
        <v>0</v>
      </c>
      <c r="L50" s="323">
        <f t="shared" si="2"/>
        <v>0</v>
      </c>
      <c r="M50" s="323">
        <f t="shared" si="2"/>
        <v>2.5876544573708103E-5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5.8185566456955883E-4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2.5876544573708103E-5</v>
      </c>
      <c r="N51" s="325"/>
      <c r="O51" s="325"/>
      <c r="P51" s="328"/>
    </row>
    <row r="52" spans="1:18">
      <c r="A52" s="4" t="s">
        <v>330</v>
      </c>
      <c r="B52" s="329">
        <f>vkm_2011_tram*SUMIFS(TableECFTransport[EnergieConsumptieFactor (PJ per km)],TableECFTransport[Index],"Tram_gemiddeld_Electric_Electric")</f>
        <v>2.7743193967236005E-3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770.6442768676668</v>
      </c>
      <c r="C54" s="21">
        <f t="shared" ref="C54:P54" si="3">(C50)*10^9/3600</f>
        <v>0</v>
      </c>
      <c r="D54" s="21">
        <f t="shared" si="3"/>
        <v>0</v>
      </c>
      <c r="E54" s="21">
        <f t="shared" si="3"/>
        <v>0</v>
      </c>
      <c r="F54" s="21">
        <f t="shared" si="3"/>
        <v>0</v>
      </c>
      <c r="G54" s="21">
        <f t="shared" si="3"/>
        <v>161.62657349154412</v>
      </c>
      <c r="H54" s="21">
        <f t="shared" si="3"/>
        <v>0</v>
      </c>
      <c r="I54" s="21">
        <f t="shared" si="3"/>
        <v>0</v>
      </c>
      <c r="J54" s="21">
        <f t="shared" si="3"/>
        <v>0</v>
      </c>
      <c r="K54" s="21">
        <f t="shared" si="3"/>
        <v>0</v>
      </c>
      <c r="L54" s="21">
        <f t="shared" si="3"/>
        <v>0</v>
      </c>
      <c r="M54" s="21">
        <f t="shared" si="3"/>
        <v>7.1879290482522507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0.21587229023911864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166.36074500709267</v>
      </c>
      <c r="C58" s="23">
        <f t="shared" ref="C58:P58" ca="1" si="4">C54*C56</f>
        <v>0</v>
      </c>
      <c r="D58" s="23">
        <f t="shared" si="4"/>
        <v>0</v>
      </c>
      <c r="E58" s="23">
        <f t="shared" si="4"/>
        <v>0</v>
      </c>
      <c r="F58" s="23">
        <f t="shared" si="4"/>
        <v>0</v>
      </c>
      <c r="G58" s="23">
        <f t="shared" si="4"/>
        <v>43.154295122242281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1437.1941920858899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1437.1941920858899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29271.428939174712</v>
      </c>
      <c r="D10" s="704">
        <f ca="1">tertiair!C16</f>
        <v>0</v>
      </c>
      <c r="E10" s="704">
        <f ca="1">tertiair!D16</f>
        <v>31537.927570962878</v>
      </c>
      <c r="F10" s="704">
        <f>tertiair!E16</f>
        <v>562.80592298301326</v>
      </c>
      <c r="G10" s="704">
        <f ca="1">tertiair!F16</f>
        <v>5790.0885778580614</v>
      </c>
      <c r="H10" s="704">
        <f>tertiair!G16</f>
        <v>0</v>
      </c>
      <c r="I10" s="704">
        <f>tertiair!H16</f>
        <v>0</v>
      </c>
      <c r="J10" s="704">
        <f>tertiair!I16</f>
        <v>0</v>
      </c>
      <c r="K10" s="704">
        <f>tertiair!J16</f>
        <v>0</v>
      </c>
      <c r="L10" s="704">
        <f>tertiair!K16</f>
        <v>0</v>
      </c>
      <c r="M10" s="704">
        <f ca="1">tertiair!L16</f>
        <v>0</v>
      </c>
      <c r="N10" s="704">
        <f>tertiair!M16</f>
        <v>0</v>
      </c>
      <c r="O10" s="704">
        <f ca="1">tertiair!N16</f>
        <v>1756.0434882274144</v>
      </c>
      <c r="P10" s="704">
        <f>tertiair!O16</f>
        <v>4.6900000000000004</v>
      </c>
      <c r="Q10" s="705">
        <f>tertiair!P16</f>
        <v>0</v>
      </c>
      <c r="R10" s="707">
        <f ca="1">SUM(C10:Q10)</f>
        <v>68922.984499206068</v>
      </c>
      <c r="S10" s="67"/>
    </row>
    <row r="11" spans="1:19" s="459" customFormat="1">
      <c r="A11" s="858" t="s">
        <v>225</v>
      </c>
      <c r="B11" s="863"/>
      <c r="C11" s="704">
        <f>huishoudens!B8</f>
        <v>27709.376247217395</v>
      </c>
      <c r="D11" s="704">
        <f>huishoudens!C8</f>
        <v>0</v>
      </c>
      <c r="E11" s="704">
        <f>huishoudens!D8</f>
        <v>69064.085614182884</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104.74333333333335</v>
      </c>
      <c r="Q11" s="705">
        <f>huishoudens!P8</f>
        <v>266.93333333333334</v>
      </c>
      <c r="R11" s="707">
        <f>SUM(C11:Q11)</f>
        <v>97145.138528066949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3787.3237310498366</v>
      </c>
      <c r="D13" s="704">
        <f>industrie!C18</f>
        <v>0</v>
      </c>
      <c r="E13" s="704">
        <f>industrie!D18</f>
        <v>2234.9450567781528</v>
      </c>
      <c r="F13" s="704">
        <f>industrie!E18</f>
        <v>803.30079798805707</v>
      </c>
      <c r="G13" s="704">
        <f>industrie!F18</f>
        <v>2505.8765510828953</v>
      </c>
      <c r="H13" s="704">
        <f>industrie!G18</f>
        <v>0</v>
      </c>
      <c r="I13" s="704">
        <f>industrie!H18</f>
        <v>0</v>
      </c>
      <c r="J13" s="704">
        <f>industrie!I18</f>
        <v>0</v>
      </c>
      <c r="K13" s="704">
        <f>industrie!J18</f>
        <v>1.5076649410351779</v>
      </c>
      <c r="L13" s="704">
        <f>industrie!K18</f>
        <v>0</v>
      </c>
      <c r="M13" s="704">
        <f>industrie!L18</f>
        <v>0</v>
      </c>
      <c r="N13" s="704">
        <f>industrie!M18</f>
        <v>0</v>
      </c>
      <c r="O13" s="704">
        <f>industrie!N18</f>
        <v>1111.546894562425</v>
      </c>
      <c r="P13" s="704">
        <f>industrie!O18</f>
        <v>0</v>
      </c>
      <c r="Q13" s="705">
        <f>industrie!P18</f>
        <v>0</v>
      </c>
      <c r="R13" s="707">
        <f>SUM(C13:Q13)</f>
        <v>10444.500696402401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60768.128917441943</v>
      </c>
      <c r="D15" s="709">
        <f t="shared" ref="D15:Q15" ca="1" si="0">SUM(D9:D14)</f>
        <v>0</v>
      </c>
      <c r="E15" s="709">
        <f t="shared" ca="1" si="0"/>
        <v>102836.95824192392</v>
      </c>
      <c r="F15" s="709">
        <f t="shared" si="0"/>
        <v>1366.1067209710704</v>
      </c>
      <c r="G15" s="709">
        <f t="shared" ca="1" si="0"/>
        <v>8295.9651289409558</v>
      </c>
      <c r="H15" s="709">
        <f t="shared" si="0"/>
        <v>0</v>
      </c>
      <c r="I15" s="709">
        <f t="shared" si="0"/>
        <v>0</v>
      </c>
      <c r="J15" s="709">
        <f t="shared" si="0"/>
        <v>0</v>
      </c>
      <c r="K15" s="709">
        <f t="shared" si="0"/>
        <v>1.5076649410351779</v>
      </c>
      <c r="L15" s="709">
        <f t="shared" si="0"/>
        <v>0</v>
      </c>
      <c r="M15" s="709">
        <f t="shared" ca="1" si="0"/>
        <v>0</v>
      </c>
      <c r="N15" s="709">
        <f t="shared" si="0"/>
        <v>0</v>
      </c>
      <c r="O15" s="709">
        <f t="shared" ca="1" si="0"/>
        <v>2867.5903827898392</v>
      </c>
      <c r="P15" s="709">
        <f t="shared" si="0"/>
        <v>109.43333333333335</v>
      </c>
      <c r="Q15" s="710">
        <f t="shared" si="0"/>
        <v>266.93333333333334</v>
      </c>
      <c r="R15" s="711">
        <f ca="1">SUM(R9:R14)</f>
        <v>176512.62372367541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770.6442768676668</v>
      </c>
      <c r="D18" s="704">
        <f>transport!C54</f>
        <v>0</v>
      </c>
      <c r="E18" s="704">
        <f>transport!D54</f>
        <v>0</v>
      </c>
      <c r="F18" s="704">
        <f>transport!E54</f>
        <v>0</v>
      </c>
      <c r="G18" s="704">
        <f>transport!F54</f>
        <v>0</v>
      </c>
      <c r="H18" s="704">
        <f>transport!G54</f>
        <v>161.62657349154412</v>
      </c>
      <c r="I18" s="704">
        <f>transport!H54</f>
        <v>0</v>
      </c>
      <c r="J18" s="704">
        <f>transport!I54</f>
        <v>0</v>
      </c>
      <c r="K18" s="704">
        <f>transport!J54</f>
        <v>0</v>
      </c>
      <c r="L18" s="704">
        <f>transport!K54</f>
        <v>0</v>
      </c>
      <c r="M18" s="704">
        <f>transport!L54</f>
        <v>0</v>
      </c>
      <c r="N18" s="704">
        <f>transport!M54</f>
        <v>7.1879290482522507</v>
      </c>
      <c r="O18" s="704">
        <f>transport!N54</f>
        <v>0</v>
      </c>
      <c r="P18" s="704">
        <f>transport!O54</f>
        <v>0</v>
      </c>
      <c r="Q18" s="705">
        <f>transport!P54</f>
        <v>0</v>
      </c>
      <c r="R18" s="707">
        <f>SUM(C18:Q18)</f>
        <v>939.45877940746323</v>
      </c>
      <c r="S18" s="67"/>
    </row>
    <row r="19" spans="1:19" s="459" customFormat="1" ht="15" thickBot="1">
      <c r="A19" s="858" t="s">
        <v>307</v>
      </c>
      <c r="B19" s="863"/>
      <c r="C19" s="713">
        <f>transport!B14</f>
        <v>3.2343916262454084</v>
      </c>
      <c r="D19" s="713">
        <f>transport!C14</f>
        <v>0</v>
      </c>
      <c r="E19" s="713">
        <f>transport!D14</f>
        <v>4.8614195681468688</v>
      </c>
      <c r="F19" s="713">
        <f>transport!E14</f>
        <v>170.48016061686243</v>
      </c>
      <c r="G19" s="713">
        <f>transport!F14</f>
        <v>0</v>
      </c>
      <c r="H19" s="713">
        <f>transport!G14</f>
        <v>69017.649755451523</v>
      </c>
      <c r="I19" s="713">
        <f>transport!H14</f>
        <v>7521.5885814178382</v>
      </c>
      <c r="J19" s="713">
        <f>transport!I14</f>
        <v>0</v>
      </c>
      <c r="K19" s="713">
        <f>transport!J14</f>
        <v>0</v>
      </c>
      <c r="L19" s="713">
        <f>transport!K14</f>
        <v>0</v>
      </c>
      <c r="M19" s="713">
        <f>transport!L14</f>
        <v>0</v>
      </c>
      <c r="N19" s="713">
        <f>transport!M14</f>
        <v>3435.4649817455665</v>
      </c>
      <c r="O19" s="713">
        <f>transport!N14</f>
        <v>0</v>
      </c>
      <c r="P19" s="713">
        <f>transport!O14</f>
        <v>0</v>
      </c>
      <c r="Q19" s="714">
        <f>transport!P14</f>
        <v>0</v>
      </c>
      <c r="R19" s="715">
        <f>SUM(C19:Q19)</f>
        <v>80153.279290426173</v>
      </c>
      <c r="S19" s="67"/>
    </row>
    <row r="20" spans="1:19" s="459" customFormat="1" ht="15.75" thickBot="1">
      <c r="A20" s="716" t="s">
        <v>230</v>
      </c>
      <c r="B20" s="866"/>
      <c r="C20" s="861">
        <f>SUM(C17:C19)</f>
        <v>773.87866849391219</v>
      </c>
      <c r="D20" s="717">
        <f t="shared" ref="D20:R20" si="1">SUM(D17:D19)</f>
        <v>0</v>
      </c>
      <c r="E20" s="717">
        <f t="shared" si="1"/>
        <v>4.8614195681468688</v>
      </c>
      <c r="F20" s="717">
        <f t="shared" si="1"/>
        <v>170.48016061686243</v>
      </c>
      <c r="G20" s="717">
        <f t="shared" si="1"/>
        <v>0</v>
      </c>
      <c r="H20" s="717">
        <f t="shared" si="1"/>
        <v>69179.276328943073</v>
      </c>
      <c r="I20" s="717">
        <f t="shared" si="1"/>
        <v>7521.5885814178382</v>
      </c>
      <c r="J20" s="717">
        <f t="shared" si="1"/>
        <v>0</v>
      </c>
      <c r="K20" s="717">
        <f t="shared" si="1"/>
        <v>0</v>
      </c>
      <c r="L20" s="717">
        <f t="shared" si="1"/>
        <v>0</v>
      </c>
      <c r="M20" s="717">
        <f t="shared" si="1"/>
        <v>0</v>
      </c>
      <c r="N20" s="717">
        <f t="shared" si="1"/>
        <v>3442.6529107938186</v>
      </c>
      <c r="O20" s="717">
        <f t="shared" si="1"/>
        <v>0</v>
      </c>
      <c r="P20" s="717">
        <f t="shared" si="1"/>
        <v>0</v>
      </c>
      <c r="Q20" s="718">
        <f t="shared" si="1"/>
        <v>0</v>
      </c>
      <c r="R20" s="719">
        <f t="shared" si="1"/>
        <v>81092.738069833635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399.85949750615106</v>
      </c>
      <c r="D22" s="713">
        <f>+landbouw!C8</f>
        <v>0</v>
      </c>
      <c r="E22" s="713">
        <f>+landbouw!D8</f>
        <v>8042.4200059322129</v>
      </c>
      <c r="F22" s="713">
        <f>+landbouw!E8</f>
        <v>5.0387447923455522</v>
      </c>
      <c r="G22" s="713">
        <f>+landbouw!F8</f>
        <v>1379.6154371857965</v>
      </c>
      <c r="H22" s="713">
        <f>+landbouw!G8</f>
        <v>0</v>
      </c>
      <c r="I22" s="713">
        <f>+landbouw!H8</f>
        <v>0</v>
      </c>
      <c r="J22" s="713">
        <f>+landbouw!I8</f>
        <v>0</v>
      </c>
      <c r="K22" s="713">
        <f>+landbouw!J8</f>
        <v>60.134322982581061</v>
      </c>
      <c r="L22" s="713">
        <f>+landbouw!K8</f>
        <v>0</v>
      </c>
      <c r="M22" s="713">
        <f>+landbouw!L8</f>
        <v>0</v>
      </c>
      <c r="N22" s="713">
        <f>+landbouw!M8</f>
        <v>0</v>
      </c>
      <c r="O22" s="713">
        <f>+landbouw!N8</f>
        <v>0</v>
      </c>
      <c r="P22" s="713">
        <f>+landbouw!O8</f>
        <v>0</v>
      </c>
      <c r="Q22" s="714">
        <f>+landbouw!P8</f>
        <v>0</v>
      </c>
      <c r="R22" s="715">
        <f>SUM(C22:Q22)</f>
        <v>9887.0680083990865</v>
      </c>
      <c r="S22" s="67"/>
    </row>
    <row r="23" spans="1:19" s="459" customFormat="1" ht="17.25" thickTop="1" thickBot="1">
      <c r="A23" s="720" t="s">
        <v>116</v>
      </c>
      <c r="B23" s="852"/>
      <c r="C23" s="721">
        <f ca="1">C20+C15+C22</f>
        <v>61941.867083442005</v>
      </c>
      <c r="D23" s="721">
        <f t="shared" ref="D23:Q23" ca="1" si="2">D20+D15+D22</f>
        <v>0</v>
      </c>
      <c r="E23" s="721">
        <f t="shared" ca="1" si="2"/>
        <v>110884.23966742428</v>
      </c>
      <c r="F23" s="721">
        <f t="shared" si="2"/>
        <v>1541.6256263802784</v>
      </c>
      <c r="G23" s="721">
        <f t="shared" ca="1" si="2"/>
        <v>9675.5805661267514</v>
      </c>
      <c r="H23" s="721">
        <f t="shared" si="2"/>
        <v>69179.276328943073</v>
      </c>
      <c r="I23" s="721">
        <f t="shared" si="2"/>
        <v>7521.5885814178382</v>
      </c>
      <c r="J23" s="721">
        <f t="shared" si="2"/>
        <v>0</v>
      </c>
      <c r="K23" s="721">
        <f t="shared" si="2"/>
        <v>61.641987923616242</v>
      </c>
      <c r="L23" s="721">
        <f t="shared" si="2"/>
        <v>0</v>
      </c>
      <c r="M23" s="721">
        <f t="shared" ca="1" si="2"/>
        <v>0</v>
      </c>
      <c r="N23" s="721">
        <f t="shared" si="2"/>
        <v>3442.6529107938186</v>
      </c>
      <c r="O23" s="721">
        <f t="shared" ca="1" si="2"/>
        <v>2867.5903827898392</v>
      </c>
      <c r="P23" s="721">
        <f t="shared" si="2"/>
        <v>109.43333333333335</v>
      </c>
      <c r="Q23" s="722">
        <f t="shared" si="2"/>
        <v>266.93333333333334</v>
      </c>
      <c r="R23" s="723">
        <f ca="1">R20+R15+R22</f>
        <v>267492.42980190815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6318.8904036712602</v>
      </c>
      <c r="D36" s="704">
        <f ca="1">tertiair!C20</f>
        <v>0</v>
      </c>
      <c r="E36" s="704">
        <f ca="1">tertiair!D20</f>
        <v>6370.6613693345016</v>
      </c>
      <c r="F36" s="704">
        <f>tertiair!E20</f>
        <v>127.75694451714402</v>
      </c>
      <c r="G36" s="704">
        <f ca="1">tertiair!F20</f>
        <v>1545.9536502881024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14363.262367811009</v>
      </c>
    </row>
    <row r="37" spans="1:18">
      <c r="A37" s="873" t="s">
        <v>225</v>
      </c>
      <c r="B37" s="880"/>
      <c r="C37" s="704">
        <f ca="1">huishoudens!B12</f>
        <v>5981.6865115842538</v>
      </c>
      <c r="D37" s="704">
        <f ca="1">huishoudens!C12</f>
        <v>0</v>
      </c>
      <c r="E37" s="704">
        <f>huishoudens!D12</f>
        <v>13950.945294064944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19932.631805649198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817.57824769869205</v>
      </c>
      <c r="D39" s="704">
        <f ca="1">industrie!C22</f>
        <v>0</v>
      </c>
      <c r="E39" s="704">
        <f>industrie!D22</f>
        <v>451.45890146918691</v>
      </c>
      <c r="F39" s="704">
        <f>industrie!E22</f>
        <v>182.34928114328895</v>
      </c>
      <c r="G39" s="704">
        <f>industrie!F22</f>
        <v>669.06903913913311</v>
      </c>
      <c r="H39" s="704">
        <f>industrie!G22</f>
        <v>0</v>
      </c>
      <c r="I39" s="704">
        <f>industrie!H22</f>
        <v>0</v>
      </c>
      <c r="J39" s="704">
        <f>industrie!I22</f>
        <v>0</v>
      </c>
      <c r="K39" s="704">
        <f>industrie!J22</f>
        <v>0.53371338912645294</v>
      </c>
      <c r="L39" s="704">
        <f>industrie!K22</f>
        <v>0</v>
      </c>
      <c r="M39" s="704">
        <f>industrie!L22</f>
        <v>0</v>
      </c>
      <c r="N39" s="704">
        <f>industrie!M22</f>
        <v>0</v>
      </c>
      <c r="O39" s="704">
        <f>industrie!N22</f>
        <v>0</v>
      </c>
      <c r="P39" s="704">
        <f>industrie!O22</f>
        <v>0</v>
      </c>
      <c r="Q39" s="814">
        <f>industrie!P22</f>
        <v>0</v>
      </c>
      <c r="R39" s="906">
        <f ca="1">SUM(C39:Q39)</f>
        <v>2120.9891828394275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13118.155162954206</v>
      </c>
      <c r="D41" s="749">
        <f t="shared" ref="D41:R41" ca="1" si="4">SUM(D35:D40)</f>
        <v>0</v>
      </c>
      <c r="E41" s="749">
        <f t="shared" ca="1" si="4"/>
        <v>20773.065564868633</v>
      </c>
      <c r="F41" s="749">
        <f t="shared" si="4"/>
        <v>310.10622566043298</v>
      </c>
      <c r="G41" s="749">
        <f t="shared" ca="1" si="4"/>
        <v>2215.0226894272355</v>
      </c>
      <c r="H41" s="749">
        <f t="shared" si="4"/>
        <v>0</v>
      </c>
      <c r="I41" s="749">
        <f t="shared" si="4"/>
        <v>0</v>
      </c>
      <c r="J41" s="749">
        <f t="shared" si="4"/>
        <v>0</v>
      </c>
      <c r="K41" s="749">
        <f t="shared" si="4"/>
        <v>0.53371338912645294</v>
      </c>
      <c r="L41" s="749">
        <f t="shared" si="4"/>
        <v>0</v>
      </c>
      <c r="M41" s="749">
        <f t="shared" ca="1" si="4"/>
        <v>0</v>
      </c>
      <c r="N41" s="749">
        <f t="shared" si="4"/>
        <v>0</v>
      </c>
      <c r="O41" s="749">
        <f t="shared" ca="1" si="4"/>
        <v>0</v>
      </c>
      <c r="P41" s="749">
        <f t="shared" si="4"/>
        <v>0</v>
      </c>
      <c r="Q41" s="750">
        <f t="shared" si="4"/>
        <v>0</v>
      </c>
      <c r="R41" s="751">
        <f t="shared" ca="1" si="4"/>
        <v>36416.88335629963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166.36074500709267</v>
      </c>
      <c r="D44" s="704">
        <f ca="1">transport!C58</f>
        <v>0</v>
      </c>
      <c r="E44" s="704">
        <f>transport!D58</f>
        <v>0</v>
      </c>
      <c r="F44" s="704">
        <f>transport!E58</f>
        <v>0</v>
      </c>
      <c r="G44" s="704">
        <f>transport!F58</f>
        <v>0</v>
      </c>
      <c r="H44" s="704">
        <f>transport!G58</f>
        <v>43.154295122242281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209.51504012933495</v>
      </c>
    </row>
    <row r="45" spans="1:18" ht="15" thickBot="1">
      <c r="A45" s="876" t="s">
        <v>307</v>
      </c>
      <c r="B45" s="886"/>
      <c r="C45" s="713">
        <f ca="1">transport!B18</f>
        <v>0.69821552788782371</v>
      </c>
      <c r="D45" s="713">
        <f>transport!C18</f>
        <v>0</v>
      </c>
      <c r="E45" s="713">
        <f>transport!D18</f>
        <v>0.98200675276566751</v>
      </c>
      <c r="F45" s="713">
        <f>transport!E18</f>
        <v>38.698996460027772</v>
      </c>
      <c r="G45" s="713">
        <f>transport!F18</f>
        <v>0</v>
      </c>
      <c r="H45" s="713">
        <f>transport!G18</f>
        <v>18427.712484705557</v>
      </c>
      <c r="I45" s="713">
        <f>transport!H18</f>
        <v>1872.8755567730418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20340.967260219277</v>
      </c>
    </row>
    <row r="46" spans="1:18" ht="15.75" thickBot="1">
      <c r="A46" s="874" t="s">
        <v>230</v>
      </c>
      <c r="B46" s="887"/>
      <c r="C46" s="749">
        <f t="shared" ref="C46:R46" ca="1" si="5">SUM(C43:C45)</f>
        <v>167.05896053498049</v>
      </c>
      <c r="D46" s="749">
        <f t="shared" ca="1" si="5"/>
        <v>0</v>
      </c>
      <c r="E46" s="749">
        <f t="shared" si="5"/>
        <v>0.98200675276566751</v>
      </c>
      <c r="F46" s="749">
        <f t="shared" si="5"/>
        <v>38.698996460027772</v>
      </c>
      <c r="G46" s="749">
        <f t="shared" si="5"/>
        <v>0</v>
      </c>
      <c r="H46" s="749">
        <f t="shared" si="5"/>
        <v>18470.8667798278</v>
      </c>
      <c r="I46" s="749">
        <f t="shared" si="5"/>
        <v>1872.8755567730418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20550.482300348613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86.318585500515979</v>
      </c>
      <c r="D48" s="704">
        <f ca="1">+landbouw!C12</f>
        <v>0</v>
      </c>
      <c r="E48" s="704">
        <f>+landbouw!D12</f>
        <v>1624.5688411983072</v>
      </c>
      <c r="F48" s="704">
        <f>+landbouw!E12</f>
        <v>1.1437950678624405</v>
      </c>
      <c r="G48" s="704">
        <f>+landbouw!F12</f>
        <v>368.3573217286077</v>
      </c>
      <c r="H48" s="704">
        <f>+landbouw!G12</f>
        <v>0</v>
      </c>
      <c r="I48" s="704">
        <f>+landbouw!H12</f>
        <v>0</v>
      </c>
      <c r="J48" s="704">
        <f>+landbouw!I12</f>
        <v>0</v>
      </c>
      <c r="K48" s="704">
        <f>+landbouw!J12</f>
        <v>21.287550335833693</v>
      </c>
      <c r="L48" s="704">
        <f>+landbouw!K12</f>
        <v>0</v>
      </c>
      <c r="M48" s="704">
        <f>+landbouw!L12</f>
        <v>0</v>
      </c>
      <c r="N48" s="704">
        <f>+landbouw!M12</f>
        <v>0</v>
      </c>
      <c r="O48" s="704">
        <f>+landbouw!N12</f>
        <v>0</v>
      </c>
      <c r="P48" s="704">
        <f>+landbouw!O12</f>
        <v>0</v>
      </c>
      <c r="Q48" s="705">
        <f>+landbouw!P12</f>
        <v>0</v>
      </c>
      <c r="R48" s="747">
        <f ca="1">SUM(C48:Q48)</f>
        <v>2101.6760938311268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13371.532708989702</v>
      </c>
      <c r="D53" s="759">
        <f t="shared" ref="D53:Q53" ca="1" si="6">D41+D46+D48</f>
        <v>0</v>
      </c>
      <c r="E53" s="759">
        <f t="shared" ca="1" si="6"/>
        <v>22398.616412819705</v>
      </c>
      <c r="F53" s="759">
        <f t="shared" si="6"/>
        <v>349.94901718832318</v>
      </c>
      <c r="G53" s="759">
        <f t="shared" ca="1" si="6"/>
        <v>2583.380011155843</v>
      </c>
      <c r="H53" s="759">
        <f t="shared" si="6"/>
        <v>18470.8667798278</v>
      </c>
      <c r="I53" s="759">
        <f t="shared" si="6"/>
        <v>1872.8755567730418</v>
      </c>
      <c r="J53" s="759">
        <f t="shared" si="6"/>
        <v>0</v>
      </c>
      <c r="K53" s="759">
        <f t="shared" si="6"/>
        <v>21.821263724960147</v>
      </c>
      <c r="L53" s="759">
        <f t="shared" si="6"/>
        <v>0</v>
      </c>
      <c r="M53" s="759">
        <f t="shared" ca="1" si="6"/>
        <v>0</v>
      </c>
      <c r="N53" s="759">
        <f t="shared" si="6"/>
        <v>0</v>
      </c>
      <c r="O53" s="759">
        <f t="shared" ca="1" si="6"/>
        <v>0</v>
      </c>
      <c r="P53" s="759">
        <f>P41+P46+P48</f>
        <v>0</v>
      </c>
      <c r="Q53" s="760">
        <f t="shared" si="6"/>
        <v>0</v>
      </c>
      <c r="R53" s="761">
        <f ca="1">R41+R46+R48</f>
        <v>59069.041750479366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0.21587229023911864</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1437.1941920858899</v>
      </c>
      <c r="C66" s="781">
        <f>'lokale energieproductie'!B6</f>
        <v>1437.1941920858899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1437.1941920858899</v>
      </c>
      <c r="C69" s="789">
        <f>SUM(C64:C68)</f>
        <v>1437.1941920858899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27709.376247217395</v>
      </c>
      <c r="C4" s="463">
        <f>huishoudens!C8</f>
        <v>0</v>
      </c>
      <c r="D4" s="463">
        <f>huishoudens!D8</f>
        <v>69064.085614182884</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104.74333333333335</v>
      </c>
      <c r="P4" s="464">
        <f>huishoudens!P8</f>
        <v>266.93333333333334</v>
      </c>
      <c r="Q4" s="465">
        <f>SUM(B4:P4)</f>
        <v>97145.138528066949</v>
      </c>
    </row>
    <row r="5" spans="1:17">
      <c r="A5" s="462" t="s">
        <v>156</v>
      </c>
      <c r="B5" s="463">
        <f ca="1">tertiair!B16</f>
        <v>27683.168939174713</v>
      </c>
      <c r="C5" s="463">
        <f ca="1">tertiair!C16</f>
        <v>0</v>
      </c>
      <c r="D5" s="463">
        <f ca="1">tertiair!D16</f>
        <v>31537.927570962878</v>
      </c>
      <c r="E5" s="463">
        <f>tertiair!E16</f>
        <v>562.80592298301326</v>
      </c>
      <c r="F5" s="463">
        <f ca="1">tertiair!F16</f>
        <v>5790.0885778580614</v>
      </c>
      <c r="G5" s="463">
        <f>tertiair!G16</f>
        <v>0</v>
      </c>
      <c r="H5" s="463">
        <f>tertiair!H16</f>
        <v>0</v>
      </c>
      <c r="I5" s="463">
        <f>tertiair!I16</f>
        <v>0</v>
      </c>
      <c r="J5" s="463">
        <f>tertiair!J16</f>
        <v>0</v>
      </c>
      <c r="K5" s="463">
        <f>tertiair!K16</f>
        <v>0</v>
      </c>
      <c r="L5" s="463">
        <f ca="1">tertiair!L16</f>
        <v>0</v>
      </c>
      <c r="M5" s="463">
        <f>tertiair!M16</f>
        <v>0</v>
      </c>
      <c r="N5" s="463">
        <f ca="1">tertiair!N16</f>
        <v>1756.0434882274144</v>
      </c>
      <c r="O5" s="463">
        <f>tertiair!O16</f>
        <v>4.6900000000000004</v>
      </c>
      <c r="P5" s="464">
        <f>tertiair!P16</f>
        <v>0</v>
      </c>
      <c r="Q5" s="462">
        <f t="shared" ref="Q5:Q13" ca="1" si="0">SUM(B5:P5)</f>
        <v>67334.724499206073</v>
      </c>
    </row>
    <row r="6" spans="1:17">
      <c r="A6" s="462" t="s">
        <v>194</v>
      </c>
      <c r="B6" s="463">
        <f>'openbare verlichting'!B8</f>
        <v>1588.26</v>
      </c>
      <c r="C6" s="463"/>
      <c r="D6" s="463"/>
      <c r="E6" s="463"/>
      <c r="F6" s="463"/>
      <c r="G6" s="463"/>
      <c r="H6" s="463"/>
      <c r="I6" s="463"/>
      <c r="J6" s="463"/>
      <c r="K6" s="463"/>
      <c r="L6" s="463"/>
      <c r="M6" s="463"/>
      <c r="N6" s="463"/>
      <c r="O6" s="463"/>
      <c r="P6" s="464"/>
      <c r="Q6" s="462">
        <f t="shared" si="0"/>
        <v>1588.26</v>
      </c>
    </row>
    <row r="7" spans="1:17">
      <c r="A7" s="462" t="s">
        <v>112</v>
      </c>
      <c r="B7" s="463">
        <f>landbouw!B8</f>
        <v>399.85949750615106</v>
      </c>
      <c r="C7" s="463">
        <f>landbouw!C8</f>
        <v>0</v>
      </c>
      <c r="D7" s="463">
        <f>landbouw!D8</f>
        <v>8042.4200059322129</v>
      </c>
      <c r="E7" s="463">
        <f>landbouw!E8</f>
        <v>5.0387447923455522</v>
      </c>
      <c r="F7" s="463">
        <f>landbouw!F8</f>
        <v>1379.6154371857965</v>
      </c>
      <c r="G7" s="463">
        <f>landbouw!G8</f>
        <v>0</v>
      </c>
      <c r="H7" s="463">
        <f>landbouw!H8</f>
        <v>0</v>
      </c>
      <c r="I7" s="463">
        <f>landbouw!I8</f>
        <v>0</v>
      </c>
      <c r="J7" s="463">
        <f>landbouw!J8</f>
        <v>60.134322982581061</v>
      </c>
      <c r="K7" s="463">
        <f>landbouw!K8</f>
        <v>0</v>
      </c>
      <c r="L7" s="463">
        <f>landbouw!L8</f>
        <v>0</v>
      </c>
      <c r="M7" s="463">
        <f>landbouw!M8</f>
        <v>0</v>
      </c>
      <c r="N7" s="463">
        <f>landbouw!N8</f>
        <v>0</v>
      </c>
      <c r="O7" s="463">
        <f>landbouw!O8</f>
        <v>0</v>
      </c>
      <c r="P7" s="464">
        <f>landbouw!P8</f>
        <v>0</v>
      </c>
      <c r="Q7" s="462">
        <f t="shared" si="0"/>
        <v>9887.0680083990865</v>
      </c>
    </row>
    <row r="8" spans="1:17">
      <c r="A8" s="462" t="s">
        <v>657</v>
      </c>
      <c r="B8" s="463">
        <f>industrie!B18</f>
        <v>3787.3237310498366</v>
      </c>
      <c r="C8" s="463">
        <f>industrie!C18</f>
        <v>0</v>
      </c>
      <c r="D8" s="463">
        <f>industrie!D18</f>
        <v>2234.9450567781528</v>
      </c>
      <c r="E8" s="463">
        <f>industrie!E18</f>
        <v>803.30079798805707</v>
      </c>
      <c r="F8" s="463">
        <f>industrie!F18</f>
        <v>2505.8765510828953</v>
      </c>
      <c r="G8" s="463">
        <f>industrie!G18</f>
        <v>0</v>
      </c>
      <c r="H8" s="463">
        <f>industrie!H18</f>
        <v>0</v>
      </c>
      <c r="I8" s="463">
        <f>industrie!I18</f>
        <v>0</v>
      </c>
      <c r="J8" s="463">
        <f>industrie!J18</f>
        <v>1.5076649410351779</v>
      </c>
      <c r="K8" s="463">
        <f>industrie!K18</f>
        <v>0</v>
      </c>
      <c r="L8" s="463">
        <f>industrie!L18</f>
        <v>0</v>
      </c>
      <c r="M8" s="463">
        <f>industrie!M18</f>
        <v>0</v>
      </c>
      <c r="N8" s="463">
        <f>industrie!N18</f>
        <v>1111.546894562425</v>
      </c>
      <c r="O8" s="463">
        <f>industrie!O18</f>
        <v>0</v>
      </c>
      <c r="P8" s="464">
        <f>industrie!P18</f>
        <v>0</v>
      </c>
      <c r="Q8" s="462">
        <f t="shared" si="0"/>
        <v>10444.500696402401</v>
      </c>
    </row>
    <row r="9" spans="1:17" s="468" customFormat="1">
      <c r="A9" s="466" t="s">
        <v>574</v>
      </c>
      <c r="B9" s="467">
        <f>transport!B14</f>
        <v>3.2343916262454084</v>
      </c>
      <c r="C9" s="467">
        <f>transport!C14</f>
        <v>0</v>
      </c>
      <c r="D9" s="467">
        <f>transport!D14</f>
        <v>4.8614195681468688</v>
      </c>
      <c r="E9" s="467">
        <f>transport!E14</f>
        <v>170.48016061686243</v>
      </c>
      <c r="F9" s="467">
        <f>transport!F14</f>
        <v>0</v>
      </c>
      <c r="G9" s="467">
        <f>transport!G14</f>
        <v>69017.649755451523</v>
      </c>
      <c r="H9" s="467">
        <f>transport!H14</f>
        <v>7521.5885814178382</v>
      </c>
      <c r="I9" s="467">
        <f>transport!I14</f>
        <v>0</v>
      </c>
      <c r="J9" s="467">
        <f>transport!J14</f>
        <v>0</v>
      </c>
      <c r="K9" s="467">
        <f>transport!K14</f>
        <v>0</v>
      </c>
      <c r="L9" s="467">
        <f>transport!L14</f>
        <v>0</v>
      </c>
      <c r="M9" s="467">
        <f>transport!M14</f>
        <v>3435.4649817455665</v>
      </c>
      <c r="N9" s="467">
        <f>transport!N14</f>
        <v>0</v>
      </c>
      <c r="O9" s="467">
        <f>transport!O14</f>
        <v>0</v>
      </c>
      <c r="P9" s="467">
        <f>transport!P14</f>
        <v>0</v>
      </c>
      <c r="Q9" s="466">
        <f>SUM(B9:P9)</f>
        <v>80153.279290426173</v>
      </c>
    </row>
    <row r="10" spans="1:17">
      <c r="A10" s="462" t="s">
        <v>564</v>
      </c>
      <c r="B10" s="463">
        <f>transport!B54</f>
        <v>770.6442768676668</v>
      </c>
      <c r="C10" s="463">
        <f>transport!C54</f>
        <v>0</v>
      </c>
      <c r="D10" s="463">
        <f>transport!D54</f>
        <v>0</v>
      </c>
      <c r="E10" s="463">
        <f>transport!E54</f>
        <v>0</v>
      </c>
      <c r="F10" s="463">
        <f>transport!F54</f>
        <v>0</v>
      </c>
      <c r="G10" s="463">
        <f>transport!G54</f>
        <v>161.62657349154412</v>
      </c>
      <c r="H10" s="463">
        <f>transport!H54</f>
        <v>0</v>
      </c>
      <c r="I10" s="463">
        <f>transport!I54</f>
        <v>0</v>
      </c>
      <c r="J10" s="463">
        <f>transport!J54</f>
        <v>0</v>
      </c>
      <c r="K10" s="463">
        <f>transport!K54</f>
        <v>0</v>
      </c>
      <c r="L10" s="463">
        <f>transport!L54</f>
        <v>0</v>
      </c>
      <c r="M10" s="463">
        <f>transport!M54</f>
        <v>7.1879290482522507</v>
      </c>
      <c r="N10" s="463">
        <f>transport!N54</f>
        <v>0</v>
      </c>
      <c r="O10" s="463">
        <f>transport!O54</f>
        <v>0</v>
      </c>
      <c r="P10" s="464">
        <f>transport!P54</f>
        <v>0</v>
      </c>
      <c r="Q10" s="462">
        <f t="shared" si="0"/>
        <v>939.45877940746323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61941.867083442005</v>
      </c>
      <c r="C14" s="473">
        <f t="shared" ref="C14:Q14" ca="1" si="1">SUM(C4:C13)</f>
        <v>0</v>
      </c>
      <c r="D14" s="473">
        <f t="shared" ca="1" si="1"/>
        <v>110884.23966742428</v>
      </c>
      <c r="E14" s="473">
        <f t="shared" si="1"/>
        <v>1541.6256263802782</v>
      </c>
      <c r="F14" s="473">
        <f t="shared" ca="1" si="1"/>
        <v>9675.5805661267532</v>
      </c>
      <c r="G14" s="473">
        <f t="shared" si="1"/>
        <v>69179.276328943073</v>
      </c>
      <c r="H14" s="473">
        <f t="shared" si="1"/>
        <v>7521.5885814178382</v>
      </c>
      <c r="I14" s="473">
        <f t="shared" si="1"/>
        <v>0</v>
      </c>
      <c r="J14" s="473">
        <f t="shared" si="1"/>
        <v>61.641987923616242</v>
      </c>
      <c r="K14" s="473">
        <f t="shared" si="1"/>
        <v>0</v>
      </c>
      <c r="L14" s="473">
        <f t="shared" ca="1" si="1"/>
        <v>0</v>
      </c>
      <c r="M14" s="473">
        <f t="shared" si="1"/>
        <v>3442.6529107938186</v>
      </c>
      <c r="N14" s="473">
        <f t="shared" ca="1" si="1"/>
        <v>2867.5903827898392</v>
      </c>
      <c r="O14" s="473">
        <f t="shared" si="1"/>
        <v>109.43333333333335</v>
      </c>
      <c r="P14" s="474">
        <f t="shared" si="1"/>
        <v>266.93333333333334</v>
      </c>
      <c r="Q14" s="474">
        <f t="shared" ca="1" si="1"/>
        <v>267492.42980190815</v>
      </c>
    </row>
    <row r="16" spans="1:17">
      <c r="A16" s="476" t="s">
        <v>569</v>
      </c>
      <c r="B16" s="829">
        <f ca="1">huishoudens!B10</f>
        <v>0.21587229023911864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5981.6865115842538</v>
      </c>
      <c r="C21" s="463">
        <f t="shared" ref="C21:C30" ca="1" si="3">C4*$C$16</f>
        <v>0</v>
      </c>
      <c r="D21" s="463">
        <f t="shared" ref="D21:D30" si="4">D4*$D$16</f>
        <v>13950.945294064944</v>
      </c>
      <c r="E21" s="463">
        <f t="shared" ref="E21:E30" si="5">E4*$E$16</f>
        <v>0</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19932.631805649198</v>
      </c>
    </row>
    <row r="22" spans="1:17">
      <c r="A22" s="462" t="s">
        <v>156</v>
      </c>
      <c r="B22" s="463">
        <f t="shared" ca="1" si="2"/>
        <v>5976.0290799760778</v>
      </c>
      <c r="C22" s="463">
        <f t="shared" ca="1" si="3"/>
        <v>0</v>
      </c>
      <c r="D22" s="463">
        <f t="shared" ca="1" si="4"/>
        <v>6370.6613693345016</v>
      </c>
      <c r="E22" s="463">
        <f t="shared" si="5"/>
        <v>127.75694451714402</v>
      </c>
      <c r="F22" s="463">
        <f t="shared" ca="1" si="6"/>
        <v>1545.9536502881024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14020.401044115826</v>
      </c>
    </row>
    <row r="23" spans="1:17">
      <c r="A23" s="462" t="s">
        <v>194</v>
      </c>
      <c r="B23" s="463">
        <f t="shared" ca="1" si="2"/>
        <v>342.86132369518259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342.86132369518259</v>
      </c>
    </row>
    <row r="24" spans="1:17">
      <c r="A24" s="462" t="s">
        <v>112</v>
      </c>
      <c r="B24" s="463">
        <f t="shared" ca="1" si="2"/>
        <v>86.318585500515979</v>
      </c>
      <c r="C24" s="463">
        <f t="shared" ca="1" si="3"/>
        <v>0</v>
      </c>
      <c r="D24" s="463">
        <f t="shared" si="4"/>
        <v>1624.5688411983072</v>
      </c>
      <c r="E24" s="463">
        <f t="shared" si="5"/>
        <v>1.1437950678624405</v>
      </c>
      <c r="F24" s="463">
        <f t="shared" si="6"/>
        <v>368.3573217286077</v>
      </c>
      <c r="G24" s="463">
        <f t="shared" si="7"/>
        <v>0</v>
      </c>
      <c r="H24" s="463">
        <f t="shared" si="8"/>
        <v>0</v>
      </c>
      <c r="I24" s="463">
        <f t="shared" si="9"/>
        <v>0</v>
      </c>
      <c r="J24" s="463">
        <f t="shared" si="10"/>
        <v>21.287550335833693</v>
      </c>
      <c r="K24" s="463">
        <f t="shared" si="11"/>
        <v>0</v>
      </c>
      <c r="L24" s="463">
        <f t="shared" si="12"/>
        <v>0</v>
      </c>
      <c r="M24" s="463">
        <f t="shared" si="13"/>
        <v>0</v>
      </c>
      <c r="N24" s="463">
        <f t="shared" si="14"/>
        <v>0</v>
      </c>
      <c r="O24" s="463">
        <f t="shared" si="15"/>
        <v>0</v>
      </c>
      <c r="P24" s="464">
        <f t="shared" si="16"/>
        <v>0</v>
      </c>
      <c r="Q24" s="462">
        <f t="shared" ca="1" si="17"/>
        <v>2101.6760938311268</v>
      </c>
    </row>
    <row r="25" spans="1:17">
      <c r="A25" s="462" t="s">
        <v>657</v>
      </c>
      <c r="B25" s="463">
        <f t="shared" ca="1" si="2"/>
        <v>817.57824769869205</v>
      </c>
      <c r="C25" s="463">
        <f t="shared" ca="1" si="3"/>
        <v>0</v>
      </c>
      <c r="D25" s="463">
        <f t="shared" si="4"/>
        <v>451.45890146918691</v>
      </c>
      <c r="E25" s="463">
        <f t="shared" si="5"/>
        <v>182.34928114328895</v>
      </c>
      <c r="F25" s="463">
        <f t="shared" si="6"/>
        <v>669.06903913913311</v>
      </c>
      <c r="G25" s="463">
        <f t="shared" si="7"/>
        <v>0</v>
      </c>
      <c r="H25" s="463">
        <f t="shared" si="8"/>
        <v>0</v>
      </c>
      <c r="I25" s="463">
        <f t="shared" si="9"/>
        <v>0</v>
      </c>
      <c r="J25" s="463">
        <f t="shared" si="10"/>
        <v>0.53371338912645294</v>
      </c>
      <c r="K25" s="463">
        <f t="shared" si="11"/>
        <v>0</v>
      </c>
      <c r="L25" s="463">
        <f t="shared" si="12"/>
        <v>0</v>
      </c>
      <c r="M25" s="463">
        <f t="shared" si="13"/>
        <v>0</v>
      </c>
      <c r="N25" s="463">
        <f t="shared" si="14"/>
        <v>0</v>
      </c>
      <c r="O25" s="463">
        <f t="shared" si="15"/>
        <v>0</v>
      </c>
      <c r="P25" s="464">
        <f t="shared" si="16"/>
        <v>0</v>
      </c>
      <c r="Q25" s="462">
        <f t="shared" ca="1" si="17"/>
        <v>2120.9891828394275</v>
      </c>
    </row>
    <row r="26" spans="1:17" s="468" customFormat="1">
      <c r="A26" s="466" t="s">
        <v>574</v>
      </c>
      <c r="B26" s="823">
        <f t="shared" ca="1" si="2"/>
        <v>0.69821552788782371</v>
      </c>
      <c r="C26" s="467">
        <f t="shared" ca="1" si="3"/>
        <v>0</v>
      </c>
      <c r="D26" s="467">
        <f t="shared" si="4"/>
        <v>0.98200675276566751</v>
      </c>
      <c r="E26" s="467">
        <f t="shared" si="5"/>
        <v>38.698996460027772</v>
      </c>
      <c r="F26" s="467">
        <f t="shared" si="6"/>
        <v>0</v>
      </c>
      <c r="G26" s="467">
        <f t="shared" si="7"/>
        <v>18427.712484705557</v>
      </c>
      <c r="H26" s="467">
        <f t="shared" si="8"/>
        <v>1872.8755567730418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20340.967260219277</v>
      </c>
    </row>
    <row r="27" spans="1:17">
      <c r="A27" s="462" t="s">
        <v>564</v>
      </c>
      <c r="B27" s="463">
        <f t="shared" ca="1" si="2"/>
        <v>166.36074500709267</v>
      </c>
      <c r="C27" s="463">
        <f t="shared" ca="1" si="3"/>
        <v>0</v>
      </c>
      <c r="D27" s="463">
        <f t="shared" si="4"/>
        <v>0</v>
      </c>
      <c r="E27" s="463">
        <f t="shared" si="5"/>
        <v>0</v>
      </c>
      <c r="F27" s="463">
        <f t="shared" si="6"/>
        <v>0</v>
      </c>
      <c r="G27" s="463">
        <f t="shared" si="7"/>
        <v>43.154295122242281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209.51504012933495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13371.532708989702</v>
      </c>
      <c r="C31" s="473">
        <f t="shared" ca="1" si="18"/>
        <v>0</v>
      </c>
      <c r="D31" s="473">
        <f t="shared" ca="1" si="18"/>
        <v>22398.616412819705</v>
      </c>
      <c r="E31" s="473">
        <f t="shared" si="18"/>
        <v>349.94901718832318</v>
      </c>
      <c r="F31" s="473">
        <f t="shared" ca="1" si="18"/>
        <v>2583.380011155843</v>
      </c>
      <c r="G31" s="473">
        <f t="shared" si="18"/>
        <v>18470.8667798278</v>
      </c>
      <c r="H31" s="473">
        <f t="shared" si="18"/>
        <v>1872.8755567730418</v>
      </c>
      <c r="I31" s="473">
        <f t="shared" si="18"/>
        <v>0</v>
      </c>
      <c r="J31" s="473">
        <f t="shared" si="18"/>
        <v>21.821263724960147</v>
      </c>
      <c r="K31" s="473">
        <f t="shared" si="18"/>
        <v>0</v>
      </c>
      <c r="L31" s="473">
        <f t="shared" ca="1" si="18"/>
        <v>0</v>
      </c>
      <c r="M31" s="473">
        <f t="shared" si="18"/>
        <v>0</v>
      </c>
      <c r="N31" s="473">
        <f t="shared" ca="1" si="18"/>
        <v>0</v>
      </c>
      <c r="O31" s="473">
        <f t="shared" si="18"/>
        <v>0</v>
      </c>
      <c r="P31" s="474">
        <f t="shared" si="18"/>
        <v>0</v>
      </c>
      <c r="Q31" s="474">
        <f t="shared" ca="1" si="18"/>
        <v>59069.041750479373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0.21587229023911864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0.21587229023911864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0.21587229023911864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2018-06-27T09:31:32Z</dcterms:modified>
</cp:coreProperties>
</file>