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B6" i="48" s="1"/>
  <c r="Q6" s="1"/>
  <c r="C16" i="15"/>
  <c r="D10" i="14" s="1"/>
  <c r="I14" i="15"/>
  <c r="I16" s="1"/>
  <c r="J10" i="14" s="1"/>
  <c r="J15" s="1"/>
  <c r="B13" i="16"/>
  <c r="C35"/>
  <c r="E9" i="14"/>
  <c r="D14" i="15"/>
  <c r="P22" i="16"/>
  <c r="Q39" i="14" s="1"/>
  <c r="P18" i="16"/>
  <c r="Q13" i="14" s="1"/>
  <c r="L16" i="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H13"/>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E7" l="1"/>
  <c r="E24" s="1"/>
  <c r="E12" i="17"/>
  <c r="F48" i="14" s="1"/>
  <c r="P15"/>
  <c r="P23" s="1"/>
  <c r="N7" i="48"/>
  <c r="N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<sst xmlns="http://schemas.openxmlformats.org/spreadsheetml/2006/main" count="1970" uniqueCount="846">
  <si>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</si>
  <si>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</si>
  <si>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</si>
  <si>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</si>
  <si>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</si>
  <si>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</si>
  <si>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</si>
  <si>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</si>
  <si>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</si>
  <si>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</si>
  <si>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</si>
  <si>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</si>
  <si>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</si>
  <si>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</si>
  <si>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</si>
  <si>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</si>
  <si>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</si>
  <si>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</si>
  <si>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</si>
  <si>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</si>
  <si>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</si>
  <si>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</si>
  <si>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</si>
  <si>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</si>
  <si>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</si>
  <si>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</si>
  <si>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</si>
  <si>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</si>
  <si>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</si>
  <si>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</si>
  <si>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</si>
  <si>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</si>
  <si>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</si>
  <si>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</si>
  <si>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</si>
  <si>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</si>
  <si>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</si>
  <si>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</si>
  <si>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</si>
  <si>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</si>
  <si>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</si>
  <si>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</si>
  <si>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</si>
  <si>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</si>
  <si>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</si>
  <si>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</si>
  <si>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</si>
  <si>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</si>
  <si>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</si>
  <si>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</si>
  <si>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</si>
  <si>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</si>
  <si>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</si>
  <si>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</si>
  <si>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</si>
  <si>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</si>
  <si>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</si>
  <si>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</si>
  <si>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</si>
  <si>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</si>
  <si>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</si>
  <si>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</si>
  <si>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</si>
  <si>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</si>
  <si>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</si>
  <si>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</si>
  <si>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</si>
  <si>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</si>
  <si>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</si>
  <si>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</si>
  <si>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</si>
  <si>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</si>
  <si>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</si>
  <si>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</si>
  <si>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</si>
  <si>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</si>
  <si>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</si>
  <si>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</si>
  <si>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</si>
  <si>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</si>
  <si>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</si>
  <si>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</si>
  <si>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</si>
  <si>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</si>
  <si>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</si>
  <si>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</si>
  <si>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</si>
  <si>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</si>
  <si>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</si>
  <si>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</si>
  <si>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</si>
  <si>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</si>
  <si>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</si>
  <si>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</si>
  <si>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</si>
  <si>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</si>
  <si>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</si>
  <si>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</si>
  <si>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</si>
  <si>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</si>
  <si>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</si>
  <si>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</si>
  <si>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</si>
  <si>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</si>
  <si>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</si>
  <si>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</si>
  <si>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</si>
  <si>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</si>
  <si>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</si>
  <si>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</si>
  <si>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</si>
  <si>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</si>
  <si>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</si>
  <si>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</si>
  <si>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</si>
  <si>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</si>
  <si>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</si>
  <si>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</si>
  <si>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</si>
  <si>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</si>
  <si>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</si>
  <si>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</si>
  <si>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</si>
  <si>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</si>
  <si>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</si>
  <si>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</si>
  <si>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</si>
  <si>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</si>
  <si>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</si>
  <si>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</si>
  <si>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</si>
  <si>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</si>
  <si>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</si>
  <si>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</si>
  <si>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</si>
  <si>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</si>
  <si>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</si>
  <si>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</si>
  <si>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</si>
  <si>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</si>
  <si>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</si>
  <si>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</si>
  <si>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</si>
  <si>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</si>
  <si>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</si>
  <si>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</si>
  <si>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</si>
  <si>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</si>
  <si>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</si>
  <si>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</si>
  <si>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</si>
  <si>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</si>
  <si>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</si>
  <si>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</si>
  <si>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</si>
  <si>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</si>
  <si>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</si>
  <si>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</si>
  <si>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</si>
  <si>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</si>
  <si>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</si>
  <si>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</si>
  <si>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</si>
  <si>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</si>
  <si>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</si>
  <si>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</si>
  <si>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</si>
  <si>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</si>
  <si>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</si>
  <si>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</si>
  <si>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</si>
  <si>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</si>
  <si>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</si>
  <si>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</si>
  <si>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</si>
  <si>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</si>
  <si>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</si>
  <si>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</si>
  <si>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</si>
  <si>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</si>
  <si>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</si>
  <si>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</si>
  <si>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</si>
  <si>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</si>
  <si>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</si>
  <si>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</si>
  <si>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</si>
  <si>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</si>
  <si>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</si>
  <si>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</si>
  <si>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</si>
  <si>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</si>
  <si>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</si>
  <si>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</si>
  <si>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</si>
  <si>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</si>
  <si>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</si>
  <si>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</si>
  <si>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</si>
  <si>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</si>
  <si>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</si>
  <si>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</si>
  <si>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</si>
  <si>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</si>
  <si>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</si>
  <si>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</si>
  <si>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</si>
  <si>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</si>
  <si>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</si>
  <si>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</si>
  <si>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</si>
  <si>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</si>
  <si>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</si>
  <si>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</si>
  <si>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</si>
  <si>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</si>
  <si>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</si>
  <si>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</si>
  <si>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</si>
  <si>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</si>
  <si>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</si>
  <si>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</si>
  <si>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</si>
  <si>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</si>
  <si>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</si>
  <si>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</si>
  <si>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</si>
  <si>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</si>
  <si>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</si>
  <si>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</si>
  <si>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</si>
  <si>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</si>
  <si>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</si>
  <si>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</si>
  <si>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</si>
  <si>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</si>
  <si>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</si>
  <si>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</si>
  <si>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</si>
  <si>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</si>
  <si>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</si>
  <si>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</si>
  <si>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</si>
  <si>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</si>
  <si>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</si>
  <si>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</si>
  <si>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</si>
  <si>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</si>
  <si>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</si>
  <si>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</si>
  <si>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</si>
  <si>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</si>
  <si>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</si>
  <si>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</si>
  <si>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</si>
  <si>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</si>
  <si>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</si>
  <si>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</si>
  <si>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</si>
  <si>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</si>
  <si>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</si>
  <si>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</si>
  <si>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</si>
  <si>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</si>
  <si>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</si>
  <si>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</si>
  <si>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</si>
  <si>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</si>
  <si>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</si>
  <si>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</si>
  <si>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</si>
  <si>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</si>
  <si>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</si>
  <si>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</si>
  <si>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</si>
  <si>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</si>
  <si>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</si>
  <si>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</si>
  <si>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</si>
  <si>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</si>
  <si>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</si>
  <si>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</si>
  <si>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</si>
  <si>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</si>
  <si>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</si>
  <si>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</si>
  <si>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</si>
  <si>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</si>
  <si>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</si>
  <si>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</si>
  <si>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</si>
  <si>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</si>
  <si>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</si>
  <si>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</si>
  <si>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</si>
  <si>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</si>
  <si>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</si>
  <si>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</si>
  <si>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</si>
  <si>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</si>
  <si>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</si>
  <si>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</si>
  <si>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</si>
  <si>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</si>
  <si>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</si>
  <si>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</si>
  <si>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</si>
  <si>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</si>
  <si>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</si>
  <si>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</si>
  <si>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</si>
  <si>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</si>
  <si>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</si>
  <si>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</si>
  <si>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</si>
  <si>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</si>
  <si>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</si>
  <si>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</si>
  <si>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</si>
  <si>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</si>
  <si>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</si>
  <si>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</si>
  <si>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</si>
  <si>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</si>
  <si>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</si>
  <si>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</si>
  <si>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</si>
  <si>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</si>
  <si>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</si>
  <si>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</si>
  <si>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</si>
  <si>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</si>
  <si>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</si>
  <si>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</si>
  <si>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</si>
  <si>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</si>
  <si>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</si>
  <si>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</si>
  <si>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</si>
  <si>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</si>
  <si>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</si>
  <si>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</si>
  <si>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</si>
  <si>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</si>
  <si>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</si>
  <si>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</si>
  <si>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</si>
  <si>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</si>
  <si>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</si>
  <si>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</si>
  <si>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</si>
  <si>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</si>
  <si>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</si>
  <si>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</si>
  <si>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</si>
  <si>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</si>
  <si>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</si>
  <si>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</si>
  <si>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</si>
  <si>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</si>
  <si>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</si>
  <si>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</si>
  <si>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</si>
  <si>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</si>
  <si>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</si>
  <si>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</si>
  <si>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</si>
  <si>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</si>
  <si>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</si>
  <si>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</si>
  <si>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</si>
  <si>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</si>
  <si>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</si>
  <si>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</si>
  <si>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</si>
  <si>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</si>
  <si>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</si>
  <si>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</si>
  <si>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</si>
  <si>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</si>
  <si>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</si>
  <si>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</si>
  <si>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</si>
  <si>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</si>
  <si>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</si>
  <si>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</si>
  <si>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</si>
  <si>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</si>
  <si>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</si>
  <si>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</si>
  <si>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</si>
  <si>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</si>
  <si>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</si>
  <si>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</si>
  <si>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</si>
  <si>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</si>
  <si>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</si>
  <si>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</si>
  <si>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</si>
  <si>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</si>
  <si>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</si>
  <si>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</si>
  <si>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</si>
  <si>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</si>
  <si>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</si>
  <si>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</si>
  <si>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</si>
  <si>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</si>
  <si>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</si>
  <si>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</si>
  <si>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</si>
  <si>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</si>
  <si>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</si>
  <si>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</si>
  <si>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</si>
  <si>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</si>
  <si>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</si>
  <si>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</si>
  <si>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</si>
  <si>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</si>
  <si>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</si>
  <si>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</si>
  <si>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</si>
  <si>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</si>
  <si>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</si>
  <si>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</si>
  <si>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</si>
  <si>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</si>
  <si>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</si>
  <si>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</si>
  <si>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</si>
  <si>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</si>
  <si>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</si>
  <si>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</si>
  <si>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</si>
  <si>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</si>
  <si>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</si>
  <si>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</si>
  <si>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</si>
  <si>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</si>
  <si>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</si>
  <si>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</si>
  <si>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</si>
  <si>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</si>
  <si>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</si>
  <si>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</si>
  <si>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</si>
  <si>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</si>
  <si>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</si>
  <si>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</si>
  <si>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</si>
  <si>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</si>
  <si>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</si>
  <si>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</si>
  <si>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</si>
  <si>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</si>
  <si>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</si>
  <si>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</si>
  <si>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</si>
  <si>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</si>
  <si>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</si>
  <si>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</si>
  <si>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</si>
  <si>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</si>
  <si>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</si>
  <si>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</si>
  <si>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</si>
  <si>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</si>
  <si>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</si>
  <si>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</si>
  <si>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</si>
  <si>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</si>
  <si>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</si>
  <si>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</si>
  <si>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</si>
  <si>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</si>
  <si>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</si>
  <si>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</si>
  <si>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</si>
  <si>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</si>
  <si>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</si>
  <si>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</si>
  <si>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</si>
  <si>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</si>
  <si>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</si>
  <si>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</si>
  <si>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</si>
  <si>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</si>
  <si>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</si>
  <si>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</si>
  <si>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</si>
  <si>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</si>
  <si>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</si>
  <si>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</si>
  <si>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</si>
  <si>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</si>
  <si>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</si>
  <si>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</si>
  <si>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</si>
  <si>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</si>
  <si>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</si>
  <si>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</si>
  <si>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</si>
  <si>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</si>
  <si>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</si>
  <si>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</si>
  <si>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</si>
  <si>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</si>
  <si>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</si>
  <si>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</si>
  <si>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</si>
  <si>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</si>
  <si>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</si>
  <si>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</si>
  <si>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</si>
  <si>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</si>
  <si>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</si>
  <si>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</si>
  <si>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</si>
  <si>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</si>
  <si>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</si>
  <si>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</si>
  <si>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</si>
  <si>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</si>
  <si>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</si>
  <si>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</si>
  <si>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</si>
  <si>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</si>
  <si>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</si>
  <si>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</si>
  <si>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</si>
  <si>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</si>
  <si>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</si>
  <si>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</si>
  <si>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</si>
  <si>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</si>
  <si>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</si>
  <si>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</si>
  <si>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</si>
  <si>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</si>
  <si>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</si>
  <si>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</si>
  <si>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</si>
  <si>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</si>
  <si>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</si>
  <si>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</si>
  <si>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</si>
  <si>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</si>
  <si>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</si>
  <si>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</si>
  <si>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</si>
  <si>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</si>
  <si>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</si>
  <si>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</si>
  <si>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</si>
  <si>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</si>
  <si>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</si>
  <si>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</si>
  <si>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</si>
  <si>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</si>
  <si>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</si>
  <si>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</si>
  <si>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</si>
  <si>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</si>
  <si>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</si>
  <si>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</si>
  <si>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</si>
  <si>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</si>
  <si>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</si>
  <si>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</si>
  <si>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</si>
  <si>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</si>
  <si>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</si>
  <si>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</si>
  <si>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</si>
  <si>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</si>
  <si>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</si>
  <si>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</si>
  <si>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</si>
  <si>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</si>
  <si>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</si>
  <si>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</si>
  <si>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</si>
  <si>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</si>
  <si>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</si>
  <si>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</si>
  <si>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</si>
  <si>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</si>
  <si>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</si>
  <si>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</si>
  <si>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</si>
  <si>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</si>
  <si>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</si>
  <si>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</si>
  <si>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</si>
  <si>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</si>
  <si>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</si>
  <si>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</si>
  <si>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</si>
  <si>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</si>
  <si>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</si>
  <si>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</si>
  <si>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</si>
  <si>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</si>
  <si>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</si>
  <si>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</si>
  <si>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</si>
  <si>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</si>
  <si>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</si>
  <si>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</si>
  <si>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</si>
  <si>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</si>
  <si>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</si>
  <si>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</si>
  <si>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</si>
  <si>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</si>
  <si>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</si>
  <si>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</si>
  <si>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</si>
  <si>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</si>
  <si>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</si>
  <si>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</si>
  <si>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</si>
  <si>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</si>
  <si>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</si>
  <si>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</si>
  <si>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</si>
  <si>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</si>
  <si>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</si>
  <si>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</si>
  <si>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</si>
  <si>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</si>
  <si>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</si>
  <si>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</si>
  <si>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</si>
  <si>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</si>
  <si>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</si>
  <si>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</si>
  <si>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</si>
  <si>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</si>
  <si>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</si>
  <si>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</si>
  <si>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</si>
  <si>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</si>
  <si>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</si>
  <si>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</si>
  <si>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</si>
  <si>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</si>
  <si>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</si>
  <si>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</si>
  <si>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</si>
  <si>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</si>
  <si>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</si>
  <si>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</si>
  <si>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</si>
  <si>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</si>
  <si>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</si>
  <si>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</si>
  <si>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</si>
  <si>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</si>
  <si>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</si>
  <si>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</si>
  <si>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</si>
  <si>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</si>
  <si>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</si>
  <si>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</si>
  <si>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</si>
  <si>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</si>
  <si>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</si>
  <si>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</si>
  <si>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</si>
  <si>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</si>
  <si>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</si>
  <si>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</si>
  <si>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</si>
  <si>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</si>
  <si>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</si>
  <si>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</si>
  <si>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</si>
  <si>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</si>
  <si>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</si>
  <si>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</si>
  <si>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</si>
  <si>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</si>
  <si>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</si>
  <si>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</si>
  <si>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</si>
  <si>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</si>
  <si>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</si>
  <si>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</si>
  <si>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</si>
  <si>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</si>
  <si>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</si>
  <si>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</si>
  <si>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</si>
  <si>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</si>
  <si>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</si>
  <si>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</si>
  <si>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</si>
  <si>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</si>
  <si>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</si>
  <si>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</si>
  <si>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</si>
  <si>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</si>
  <si>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</si>
  <si>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</si>
  <si>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</si>
  <si>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</si>
  <si>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</si>
  <si>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</si>
  <si>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</si>
  <si>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</si>
  <si>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</si>
  <si>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</si>
  <si>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</si>
  <si>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</si>
  <si>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</si>
  <si>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</si>
  <si>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</si>
  <si>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</si>
  <si>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</si>
  <si>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</si>
  <si>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</si>
  <si>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</si>
  <si>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</si>
  <si>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</si>
  <si>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</si>
  <si>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</si>
  <si>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</si>
  <si>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</si>
  <si>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</si>
  <si>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</si>
  <si>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</si>
  <si>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</si>
  <si>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</si>
  <si>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</si>
  <si>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</si>
  <si>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</si>
  <si>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</si>
  <si>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</si>
  <si>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</si>
  <si>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</si>
  <si>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</si>
  <si>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</si>
  <si>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</si>
  <si>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</si>
  <si>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</si>
  <si>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</si>
  <si>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</si>
  <si>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</si>
  <si>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</si>
  <si>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</si>
  <si>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</si>
  <si>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</si>
  <si>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</si>
  <si>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</si>
  <si>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</si>
  <si>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</si>
  <si>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</si>
  <si>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</si>
  <si>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</si>
  <si>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</si>
  <si>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</si>
  <si>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</si>
  <si>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</si>
  <si>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</si>
  <si>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</si>
  <si>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</si>
  <si>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</si>
  <si>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</si>
  <si>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</si>
  <si>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</si>
  <si>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</si>
  <si>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</si>
  <si>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</si>
  <si>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</si>
  <si>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</si>
  <si>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</si>
  <si>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</si>
  <si>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</si>
  <si>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</si>
  <si>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</si>
  <si>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</si>
  <si>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</si>
  <si>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</si>
  <si>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</si>
  <si>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</si>
  <si>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</si>
  <si>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</si>
  <si>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</si>
  <si>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</si>
  <si>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</si>
  <si>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</si>
  <si>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</si>
  <si>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</si>
  <si>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</si>
  <si>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</si>
  <si>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</si>
  <si>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</si>
  <si>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</si>
  <si>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</si>
  <si>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</si>
  <si>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</si>
  <si>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</si>
  <si>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</si>
  <si>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</si>
  <si>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</si>
  <si>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</si>
  <si>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</si>
  <si>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</si>
  <si>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</si>
  <si>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</si>
  <si>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</si>
  <si>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</si>
  <si>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</si>
  <si>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</si>
  <si>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</si>
  <si>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</si>
  <si>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</si>
  <si>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</si>
  <si>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</si>
  <si>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</si>
  <si>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</si>
  <si>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</si>
  <si>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</si>
  <si>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</si>
  <si>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</si>
  <si>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</si>
  <si>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</si>
  <si>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</si>
  <si>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</si>
  <si>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</si>
  <si>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</si>
  <si>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38002</t>
  </si>
  <si>
    <t>ALVERINGEM</t>
  </si>
  <si>
    <t>Cultuurgrond (ha)</t>
  </si>
  <si>
    <t>Paarden&amp;pony's 200 - 600 kg</t>
  </si>
  <si>
    <t>Paarden&amp;pony's &lt; 200 kg</t>
  </si>
  <si>
    <t>op basis van VEA (maart 2018) en Inventaris Hernieuwbare Energiebronnen (juni 2018)</t>
  </si>
  <si>
    <t>VEA (juni 2018)</t>
  </si>
  <si>
    <t>Hugo Senesael</t>
  </si>
  <si>
    <t>Hoogstadestraat 6, 8690 Alveringem</t>
  </si>
  <si>
    <t>BMS-0036 Senesael PPO</t>
  </si>
  <si>
    <t>biomassa uit land- of bosbouw</t>
  </si>
  <si>
    <t>niet WKK interne verbrandingsmotor (vloeibaar)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</si>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</sst>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53920.160735745929</c:v>
                </c:pt>
                <c:pt idx="1">
                  <c:v>13420.645517600029</c:v>
                </c:pt>
                <c:pt idx="2">
                  <c:v>393.74599999999998</c:v>
                </c:pt>
                <c:pt idx="3">
                  <c:v>26515.671332191559</c:v>
                </c:pt>
                <c:pt idx="4">
                  <c:v>3830.5739998708809</c:v>
                </c:pt>
                <c:pt idx="5">
                  <c:v>32421.267019383547</c:v>
                </c:pt>
                <c:pt idx="6">
                  <c:v>255.38571092307535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53920.160735745929</c:v>
                </c:pt>
                <c:pt idx="1">
                  <c:v>13420.645517600029</c:v>
                </c:pt>
                <c:pt idx="2">
                  <c:v>393.74599999999998</c:v>
                </c:pt>
                <c:pt idx="3">
                  <c:v>26515.671332191559</c:v>
                </c:pt>
                <c:pt idx="4">
                  <c:v>3830.5739998708809</c:v>
                </c:pt>
                <c:pt idx="5">
                  <c:v>32421.267019383547</c:v>
                </c:pt>
                <c:pt idx="6">
                  <c:v>255.38571092307535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10217.332542112781</c:v>
                </c:pt>
                <c:pt idx="1">
                  <c:v>2622.4250509423591</c:v>
                </c:pt>
                <c:pt idx="2">
                  <c:v>75.209717748590322</c:v>
                </c:pt>
                <c:pt idx="3">
                  <c:v>6667.0525769956794</c:v>
                </c:pt>
                <c:pt idx="4">
                  <c:v>730.66571546656075</c:v>
                </c:pt>
                <c:pt idx="5">
                  <c:v>8195.898010956982</c:v>
                </c:pt>
                <c:pt idx="6">
                  <c:v>65.284618165906437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6720"/>
        <c:axId val="182456704"/>
      </c:barChart>
      <c:catAx>
        <c:axId val="182446720"/>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6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10217.332542112781</c:v>
                </c:pt>
                <c:pt idx="1">
                  <c:v>2622.4250509423591</c:v>
                </c:pt>
                <c:pt idx="2">
                  <c:v>75.209717748590322</c:v>
                </c:pt>
                <c:pt idx="3">
                  <c:v>6667.0525769956794</c:v>
                </c:pt>
                <c:pt idx="4">
                  <c:v>730.66571546656075</c:v>
                </c:pt>
                <c:pt idx="5">
                  <c:v>8195.898010956982</c:v>
                </c:pt>
                <c:pt idx="6">
                  <c:v>65.284618165906437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38002</v>
      </c>
      <c r="B6" s="398"/>
      <c r="C6" s="399"/>
    </row>
    <row r="7" spans="1:7" s="396" customFormat="1" ht="15.75" customHeight="1">
      <c r="A7" s="400" t="str">
        <f>txtMunicipality</f>
        <v>ALVERINGEM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1964</v>
      </c>
      <c r="C9" s="338">
        <v>2037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7025</v>
      </c>
    </row>
    <row r="15" spans="1:6">
      <c r="A15" s="1212" t="s">
        <v>184</v>
      </c>
      <c r="B15" s="335">
        <v>75</v>
      </c>
    </row>
    <row r="16" spans="1:6">
      <c r="A16" s="1212" t="s">
        <v>6</v>
      </c>
      <c r="B16" s="335">
        <v>2235</v>
      </c>
    </row>
    <row r="17" spans="1:6">
      <c r="A17" s="1212" t="s">
        <v>7</v>
      </c>
      <c r="B17" s="335">
        <v>1897</v>
      </c>
    </row>
    <row r="18" spans="1:6">
      <c r="A18" s="1212" t="s">
        <v>8</v>
      </c>
      <c r="B18" s="335">
        <v>2573</v>
      </c>
    </row>
    <row r="19" spans="1:6">
      <c r="A19" s="1212" t="s">
        <v>9</v>
      </c>
      <c r="B19" s="335">
        <v>2317</v>
      </c>
    </row>
    <row r="20" spans="1:6">
      <c r="A20" s="1212" t="s">
        <v>10</v>
      </c>
      <c r="B20" s="335">
        <v>1565</v>
      </c>
    </row>
    <row r="21" spans="1:6">
      <c r="A21" s="1212" t="s">
        <v>11</v>
      </c>
      <c r="B21" s="335">
        <v>32682</v>
      </c>
    </row>
    <row r="22" spans="1:6">
      <c r="A22" s="1212" t="s">
        <v>12</v>
      </c>
      <c r="B22" s="335">
        <v>72809</v>
      </c>
    </row>
    <row r="23" spans="1:6">
      <c r="A23" s="1212" t="s">
        <v>13</v>
      </c>
      <c r="B23" s="335">
        <v>1398</v>
      </c>
    </row>
    <row r="24" spans="1:6">
      <c r="A24" s="1212" t="s">
        <v>14</v>
      </c>
      <c r="B24" s="335">
        <v>221</v>
      </c>
    </row>
    <row r="25" spans="1:6">
      <c r="A25" s="1212" t="s">
        <v>15</v>
      </c>
      <c r="B25" s="335">
        <v>8235</v>
      </c>
    </row>
    <row r="26" spans="1:6">
      <c r="A26" s="1212" t="s">
        <v>16</v>
      </c>
      <c r="B26" s="335">
        <v>355</v>
      </c>
    </row>
    <row r="27" spans="1:6">
      <c r="A27" s="1212" t="s">
        <v>17</v>
      </c>
      <c r="B27" s="335">
        <v>15</v>
      </c>
    </row>
    <row r="28" spans="1:6" s="341" customFormat="1">
      <c r="A28" s="1213" t="s">
        <v>18</v>
      </c>
      <c r="B28" s="1213">
        <v>389155</v>
      </c>
    </row>
    <row r="29" spans="1:6">
      <c r="A29" s="1213" t="s">
        <v>836</v>
      </c>
      <c r="B29" s="1213">
        <v>124</v>
      </c>
      <c r="C29" s="341"/>
      <c r="D29" s="341"/>
      <c r="E29" s="341"/>
      <c r="F29" s="341"/>
    </row>
    <row r="30" spans="1:6">
      <c r="A30" s="1208" t="s">
        <v>837</v>
      </c>
      <c r="B30" s="1208">
        <v>31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158855.00594080001</v>
      </c>
    </row>
    <row r="39" spans="1:6">
      <c r="A39" s="1212" t="s">
        <v>30</v>
      </c>
      <c r="B39" s="1212" t="s">
        <v>31</v>
      </c>
      <c r="C39" s="335">
        <v>838</v>
      </c>
      <c r="D39" s="335">
        <v>15215342.762749299</v>
      </c>
      <c r="E39" s="335">
        <v>1769</v>
      </c>
      <c r="F39" s="335">
        <v>7179175.0676012104</v>
      </c>
    </row>
    <row r="40" spans="1:6">
      <c r="A40" s="1212" t="s">
        <v>30</v>
      </c>
      <c r="B40" s="1212" t="s">
        <v>29</v>
      </c>
      <c r="C40" s="335">
        <v>0</v>
      </c>
      <c r="D40" s="335">
        <v>0</v>
      </c>
      <c r="E40" s="335">
        <v>0</v>
      </c>
      <c r="F40" s="335">
        <v>0</v>
      </c>
    </row>
    <row r="41" spans="1:6">
      <c r="A41" s="1212" t="s">
        <v>32</v>
      </c>
      <c r="B41" s="1212" t="s">
        <v>33</v>
      </c>
      <c r="C41" s="335">
        <v>3</v>
      </c>
      <c r="D41" s="335">
        <v>7201.0176492252003</v>
      </c>
      <c r="E41" s="335">
        <v>30</v>
      </c>
      <c r="F41" s="335">
        <v>188695.37557614301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996795.82697643002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11</v>
      </c>
      <c r="D48" s="335">
        <v>399405.20583668398</v>
      </c>
      <c r="E48" s="335">
        <v>34</v>
      </c>
      <c r="F48" s="335">
        <v>1160377.7035225199</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9</v>
      </c>
      <c r="D51" s="335">
        <v>364928.39589642599</v>
      </c>
      <c r="E51" s="335">
        <v>204</v>
      </c>
      <c r="F51" s="335">
        <v>5003960.2853440698</v>
      </c>
    </row>
    <row r="52" spans="1:6">
      <c r="A52" s="1212" t="s">
        <v>42</v>
      </c>
      <c r="B52" s="1212" t="s">
        <v>29</v>
      </c>
      <c r="C52" s="335">
        <v>1</v>
      </c>
      <c r="D52" s="335">
        <v>67218.711412203498</v>
      </c>
      <c r="E52" s="335">
        <v>13</v>
      </c>
      <c r="F52" s="335">
        <v>540047.64136494696</v>
      </c>
    </row>
    <row r="53" spans="1:6">
      <c r="A53" s="1212" t="s">
        <v>44</v>
      </c>
      <c r="B53" s="1212" t="s">
        <v>45</v>
      </c>
      <c r="C53" s="335">
        <v>28</v>
      </c>
      <c r="D53" s="335">
        <v>609792.79206290306</v>
      </c>
      <c r="E53" s="335">
        <v>72</v>
      </c>
      <c r="F53" s="335">
        <v>379263.35018811998</v>
      </c>
    </row>
    <row r="54" spans="1:6">
      <c r="A54" s="1212" t="s">
        <v>46</v>
      </c>
      <c r="B54" s="1212" t="s">
        <v>47</v>
      </c>
      <c r="C54" s="335">
        <v>0</v>
      </c>
      <c r="D54" s="335">
        <v>0</v>
      </c>
      <c r="E54" s="335">
        <v>1</v>
      </c>
      <c r="F54" s="335">
        <v>393746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41</v>
      </c>
      <c r="F57" s="335">
        <v>357156.93619827001</v>
      </c>
    </row>
    <row r="58" spans="1:6">
      <c r="A58" s="1212" t="s">
        <v>49</v>
      </c>
      <c r="B58" s="1212" t="s">
        <v>51</v>
      </c>
      <c r="C58" s="335">
        <v>0</v>
      </c>
      <c r="D58" s="335">
        <v>0</v>
      </c>
      <c r="E58" s="335">
        <v>3</v>
      </c>
      <c r="F58" s="335">
        <v>46911.677885463498</v>
      </c>
    </row>
    <row r="59" spans="1:6">
      <c r="A59" s="1212" t="s">
        <v>49</v>
      </c>
      <c r="B59" s="1212" t="s">
        <v>52</v>
      </c>
      <c r="C59" s="335">
        <v>3</v>
      </c>
      <c r="D59" s="335">
        <v>34563.736438753498</v>
      </c>
      <c r="E59" s="335">
        <v>22</v>
      </c>
      <c r="F59" s="335">
        <v>349452.424667835</v>
      </c>
    </row>
    <row r="60" spans="1:6">
      <c r="A60" s="1212" t="s">
        <v>49</v>
      </c>
      <c r="B60" s="1212" t="s">
        <v>53</v>
      </c>
      <c r="C60" s="335">
        <v>18</v>
      </c>
      <c r="D60" s="335">
        <v>690540.43113318598</v>
      </c>
      <c r="E60" s="335">
        <v>36</v>
      </c>
      <c r="F60" s="335">
        <v>812223.60980149603</v>
      </c>
    </row>
    <row r="61" spans="1:6">
      <c r="A61" s="1212" t="s">
        <v>49</v>
      </c>
      <c r="B61" s="1212" t="s">
        <v>54</v>
      </c>
      <c r="C61" s="335">
        <v>19</v>
      </c>
      <c r="D61" s="335">
        <v>1386777.7573808599</v>
      </c>
      <c r="E61" s="335">
        <v>77</v>
      </c>
      <c r="F61" s="335">
        <v>723897.31673842005</v>
      </c>
    </row>
    <row r="62" spans="1:6">
      <c r="A62" s="1212" t="s">
        <v>49</v>
      </c>
      <c r="B62" s="1212" t="s">
        <v>55</v>
      </c>
      <c r="C62" s="335">
        <v>0</v>
      </c>
      <c r="D62" s="335">
        <v>0</v>
      </c>
      <c r="E62" s="335">
        <v>5</v>
      </c>
      <c r="F62" s="335">
        <v>38496.704644356003</v>
      </c>
    </row>
    <row r="63" spans="1:6">
      <c r="A63" s="1212" t="s">
        <v>49</v>
      </c>
      <c r="B63" s="1212" t="s">
        <v>29</v>
      </c>
      <c r="C63" s="335">
        <v>66</v>
      </c>
      <c r="D63" s="335">
        <v>4767481.5680635897</v>
      </c>
      <c r="E63" s="335">
        <v>105</v>
      </c>
      <c r="F63" s="335">
        <v>3119831.4054809599</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19633.980182679199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27618800</v>
      </c>
      <c r="E73" s="335">
        <v>27433857.444479741</v>
      </c>
    </row>
    <row r="74" spans="1:6">
      <c r="A74" s="1212" t="s">
        <v>64</v>
      </c>
      <c r="B74" s="1212" t="s">
        <v>727</v>
      </c>
      <c r="C74" s="1212" t="s">
        <v>728</v>
      </c>
      <c r="D74" s="335">
        <v>2881860.0703091417</v>
      </c>
      <c r="E74" s="335">
        <v>2764309.459211438</v>
      </c>
    </row>
    <row r="75" spans="1:6">
      <c r="A75" s="1212" t="s">
        <v>65</v>
      </c>
      <c r="B75" s="1212" t="s">
        <v>725</v>
      </c>
      <c r="C75" s="1212" t="s">
        <v>729</v>
      </c>
      <c r="D75" s="335">
        <v>7798636</v>
      </c>
      <c r="E75" s="335">
        <v>7758178.0164053347</v>
      </c>
    </row>
    <row r="76" spans="1:6">
      <c r="A76" s="1212" t="s">
        <v>65</v>
      </c>
      <c r="B76" s="1212" t="s">
        <v>727</v>
      </c>
      <c r="C76" s="1212" t="s">
        <v>730</v>
      </c>
      <c r="D76" s="335">
        <v>370156.07030914148</v>
      </c>
      <c r="E76" s="335">
        <v>362113.22731491883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67469.859381717004</v>
      </c>
      <c r="C83" s="335">
        <v>67872.385482941914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1495.0101933432977</v>
      </c>
    </row>
    <row r="92" spans="1:6">
      <c r="A92" s="1208" t="s">
        <v>69</v>
      </c>
      <c r="B92" s="338">
        <v>1520.9209750782325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457</v>
      </c>
    </row>
    <row r="98" spans="1:6">
      <c r="A98" s="1212" t="s">
        <v>72</v>
      </c>
      <c r="B98" s="335">
        <v>0</v>
      </c>
    </row>
    <row r="99" spans="1:6">
      <c r="A99" s="1212" t="s">
        <v>73</v>
      </c>
      <c r="B99" s="335">
        <v>147</v>
      </c>
    </row>
    <row r="100" spans="1:6">
      <c r="A100" s="1212" t="s">
        <v>74</v>
      </c>
      <c r="B100" s="335">
        <v>105</v>
      </c>
    </row>
    <row r="101" spans="1:6">
      <c r="A101" s="1212" t="s">
        <v>75</v>
      </c>
      <c r="B101" s="335">
        <v>83</v>
      </c>
    </row>
    <row r="102" spans="1:6">
      <c r="A102" s="1212" t="s">
        <v>76</v>
      </c>
      <c r="B102" s="335">
        <v>39</v>
      </c>
    </row>
    <row r="103" spans="1:6">
      <c r="A103" s="1212" t="s">
        <v>77</v>
      </c>
      <c r="B103" s="335">
        <v>130</v>
      </c>
    </row>
    <row r="104" spans="1:6">
      <c r="A104" s="1212" t="s">
        <v>78</v>
      </c>
      <c r="B104" s="335">
        <v>848</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72</v>
      </c>
    </row>
    <row r="130" spans="1:6">
      <c r="A130" s="1212" t="s">
        <v>295</v>
      </c>
      <c r="B130" s="335">
        <v>4</v>
      </c>
    </row>
    <row r="131" spans="1:6">
      <c r="A131" s="1212" t="s">
        <v>296</v>
      </c>
      <c r="B131" s="335">
        <v>1</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22407.712100907993</v>
      </c>
      <c r="C3" s="43" t="s">
        <v>170</v>
      </c>
      <c r="D3" s="43"/>
      <c r="E3" s="156"/>
      <c r="F3" s="43"/>
      <c r="G3" s="43"/>
      <c r="H3" s="43"/>
      <c r="I3" s="43"/>
      <c r="J3" s="43"/>
      <c r="K3" s="96"/>
    </row>
    <row r="4" spans="1:11">
      <c r="A4" s="366" t="s">
        <v>171</v>
      </c>
      <c r="B4" s="49">
        <f>IF(ISERROR('SEAP template'!B69),0,'SEAP template'!B69)</f>
        <v>3040.6811684215299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0.19101074740718718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393.74599999999998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393.74599999999998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0.19101074740718718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75.209717748590322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7179.1750676012107</v>
      </c>
      <c r="C5" s="17">
        <f>IF(ISERROR('Eigen informatie GS &amp; warmtenet'!B57),0,'Eigen informatie GS &amp; warmtenet'!B57)</f>
        <v>0</v>
      </c>
      <c r="D5" s="30">
        <f>(SUM(HH_hh_gas_kWh,HH_rest_gas_kWh)/1000)*0.902</f>
        <v>13724.239171999869</v>
      </c>
      <c r="E5" s="17">
        <f>B46*B57</f>
        <v>4645.0039502718037</v>
      </c>
      <c r="F5" s="17">
        <f>B51*B62</f>
        <v>12772.402740611627</v>
      </c>
      <c r="G5" s="18"/>
      <c r="H5" s="17"/>
      <c r="I5" s="17"/>
      <c r="J5" s="17">
        <f>B50*B61+C50*C61</f>
        <v>3738.7745510519367</v>
      </c>
      <c r="K5" s="17"/>
      <c r="L5" s="17"/>
      <c r="M5" s="17"/>
      <c r="N5" s="17">
        <f>B48*B59+C48*C59</f>
        <v>9832.2717275328523</v>
      </c>
      <c r="O5" s="17">
        <f>B69*B70*B71</f>
        <v>132.88333333333333</v>
      </c>
      <c r="P5" s="17">
        <f>B77*B78*B79/1000-B77*B78*B79/1000/B80</f>
        <v>400.4</v>
      </c>
    </row>
    <row r="6" spans="1:16">
      <c r="A6" s="16" t="s">
        <v>634</v>
      </c>
      <c r="B6" s="831">
        <f>kWh_PV_kleiner_dan_10kW</f>
        <v>1495.0101933432977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8674.1852609445086</v>
      </c>
      <c r="C8" s="21">
        <f>C5</f>
        <v>0</v>
      </c>
      <c r="D8" s="21">
        <f>D5</f>
        <v>13724.239171999869</v>
      </c>
      <c r="E8" s="21">
        <f>E5</f>
        <v>4645.0039502718037</v>
      </c>
      <c r="F8" s="21">
        <f>F5</f>
        <v>12772.402740611627</v>
      </c>
      <c r="G8" s="21"/>
      <c r="H8" s="21"/>
      <c r="I8" s="21"/>
      <c r="J8" s="21">
        <f>J5</f>
        <v>3738.7745510519367</v>
      </c>
      <c r="K8" s="21"/>
      <c r="L8" s="21">
        <f>L5</f>
        <v>0</v>
      </c>
      <c r="M8" s="21">
        <f>M5</f>
        <v>0</v>
      </c>
      <c r="N8" s="21">
        <f>N5</f>
        <v>9832.2717275328523</v>
      </c>
      <c r="O8" s="21">
        <f>O5</f>
        <v>132.88333333333333</v>
      </c>
      <c r="P8" s="21">
        <f>P5</f>
        <v>400.4</v>
      </c>
    </row>
    <row r="9" spans="1:16">
      <c r="B9" s="19"/>
      <c r="C9" s="19"/>
      <c r="D9" s="261"/>
      <c r="E9" s="19"/>
      <c r="F9" s="19"/>
      <c r="G9" s="19"/>
      <c r="H9" s="19"/>
      <c r="I9" s="19"/>
      <c r="J9" s="19"/>
      <c r="K9" s="19"/>
      <c r="L9" s="19"/>
      <c r="M9" s="19"/>
      <c r="N9" s="19"/>
      <c r="O9" s="19"/>
      <c r="P9" s="19"/>
    </row>
    <row r="10" spans="1:16">
      <c r="A10" s="24" t="s">
        <v>214</v>
      </c>
      <c r="B10" s="25">
        <f ca="1">'EF ele_warmte'!B12</f>
        <v>0.19101074740718718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1656.8626098414175</v>
      </c>
      <c r="C12" s="23">
        <f ca="1">C10*C8</f>
        <v>0</v>
      </c>
      <c r="D12" s="23">
        <f>D8*D10</f>
        <v>2772.2963127439734</v>
      </c>
      <c r="E12" s="23">
        <f>E10*E8</f>
        <v>1054.4158967116994</v>
      </c>
      <c r="F12" s="23">
        <f>F10*F8</f>
        <v>3410.2315317433049</v>
      </c>
      <c r="G12" s="23"/>
      <c r="H12" s="23"/>
      <c r="I12" s="23"/>
      <c r="J12" s="23">
        <f>J10*J8</f>
        <v>1323.5261910723855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457</v>
      </c>
      <c r="C18" s="168" t="s">
        <v>111</v>
      </c>
      <c r="D18" s="230"/>
      <c r="E18" s="15"/>
    </row>
    <row r="19" spans="1:7">
      <c r="A19" s="173" t="s">
        <v>72</v>
      </c>
      <c r="B19" s="37">
        <f>aantalw2001_ander</f>
        <v>0</v>
      </c>
      <c r="C19" s="168" t="s">
        <v>111</v>
      </c>
      <c r="D19" s="231"/>
      <c r="E19" s="15"/>
    </row>
    <row r="20" spans="1:7">
      <c r="A20" s="173" t="s">
        <v>73</v>
      </c>
      <c r="B20" s="37">
        <f>aantalw2001_propaan</f>
        <v>147</v>
      </c>
      <c r="C20" s="169">
        <f>IF(ISERROR(B20/SUM($B$20,$B$21,$B$22)*100),0,B20/SUM($B$20,$B$21,$B$22)*100)</f>
        <v>43.880597014925371</v>
      </c>
      <c r="D20" s="231"/>
      <c r="E20" s="15"/>
    </row>
    <row r="21" spans="1:7">
      <c r="A21" s="173" t="s">
        <v>74</v>
      </c>
      <c r="B21" s="37">
        <f>aantalw2001_elektriciteit</f>
        <v>105</v>
      </c>
      <c r="C21" s="169">
        <f>IF(ISERROR(B21/SUM($B$20,$B$21,$B$22)*100),0,B21/SUM($B$20,$B$21,$B$22)*100)</f>
        <v>31.343283582089555</v>
      </c>
      <c r="D21" s="231"/>
      <c r="E21" s="15"/>
    </row>
    <row r="22" spans="1:7">
      <c r="A22" s="173" t="s">
        <v>75</v>
      </c>
      <c r="B22" s="37">
        <f>aantalw2001_hout</f>
        <v>83</v>
      </c>
      <c r="C22" s="169">
        <f>IF(ISERROR(B22/SUM($B$20,$B$21,$B$22)*100),0,B22/SUM($B$20,$B$21,$B$22)*100)</f>
        <v>24.776119402985074</v>
      </c>
      <c r="D22" s="231"/>
      <c r="E22" s="15"/>
    </row>
    <row r="23" spans="1:7">
      <c r="A23" s="173" t="s">
        <v>76</v>
      </c>
      <c r="B23" s="37">
        <f>aantalw2001_niet_gespec</f>
        <v>39</v>
      </c>
      <c r="C23" s="168" t="s">
        <v>111</v>
      </c>
      <c r="D23" s="230"/>
      <c r="E23" s="15"/>
    </row>
    <row r="24" spans="1:7">
      <c r="A24" s="173" t="s">
        <v>77</v>
      </c>
      <c r="B24" s="37">
        <f>aantalw2001_steenkool</f>
        <v>130</v>
      </c>
      <c r="C24" s="168" t="s">
        <v>111</v>
      </c>
      <c r="D24" s="231"/>
      <c r="E24" s="15"/>
    </row>
    <row r="25" spans="1:7">
      <c r="A25" s="173" t="s">
        <v>78</v>
      </c>
      <c r="B25" s="37">
        <f>aantalw2001_stookolie</f>
        <v>848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1964</v>
      </c>
      <c r="C28" s="36"/>
      <c r="D28" s="230"/>
    </row>
    <row r="29" spans="1:7" s="15" customFormat="1">
      <c r="A29" s="232" t="s">
        <v>746</v>
      </c>
      <c r="B29" s="37">
        <f>SUM(HH_hh_gas_aantal,HH_rest_gas_aantal)</f>
        <v>838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838</v>
      </c>
      <c r="C32" s="169">
        <f>IF(ISERROR(B32/SUM($B$32,$B$34,$B$35,$B$36,$B$38,$B$39)*100),0,B32/SUM($B$32,$B$34,$B$35,$B$36,$B$38,$B$39)*100)</f>
        <v>43.129181677817805</v>
      </c>
      <c r="D32" s="235"/>
      <c r="G32" s="15"/>
    </row>
    <row r="33" spans="1:7">
      <c r="A33" s="173" t="s">
        <v>72</v>
      </c>
      <c r="B33" s="34" t="s">
        <v>111</v>
      </c>
      <c r="C33" s="169"/>
      <c r="D33" s="235"/>
      <c r="G33" s="15"/>
    </row>
    <row r="34" spans="1:7">
      <c r="A34" s="173" t="s">
        <v>73</v>
      </c>
      <c r="B34" s="33">
        <f>IF((($B$28-$B$32-$B$39-$B$77-$B$38)*C20/100)&lt;0,0,($B$28-$B$32-$B$39-$B$77-$B$38)*C20/100)</f>
        <v>222.91343283582094</v>
      </c>
      <c r="C34" s="169">
        <f>IF(ISERROR(B34/SUM($B$32,$B$34,$B$35,$B$36,$B$38,$B$39)*100),0,B34/SUM($B$32,$B$34,$B$35,$B$36,$B$38,$B$39)*100)</f>
        <v>11.472641936995414</v>
      </c>
      <c r="D34" s="235"/>
      <c r="G34" s="15"/>
    </row>
    <row r="35" spans="1:7">
      <c r="A35" s="173" t="s">
        <v>74</v>
      </c>
      <c r="B35" s="33">
        <f>IF((($B$28-$B$32-$B$39-$B$77-$B$38)*C21/100)&lt;0,0,($B$28-$B$32-$B$39-$B$77-$B$38)*C21/100)</f>
        <v>159.22388059701498</v>
      </c>
      <c r="C35" s="169">
        <f>IF(ISERROR(B35/SUM($B$32,$B$34,$B$35,$B$36,$B$38,$B$39)*100),0,B35/SUM($B$32,$B$34,$B$35,$B$36,$B$38,$B$39)*100)</f>
        <v>8.194744240711012</v>
      </c>
      <c r="D35" s="235"/>
      <c r="G35" s="15"/>
    </row>
    <row r="36" spans="1:7">
      <c r="A36" s="173" t="s">
        <v>75</v>
      </c>
      <c r="B36" s="33">
        <f>IF((($B$28-$B$32-$B$39-$B$77-$B$38)*C22/100)&lt;0,0,($B$28-$B$32-$B$39-$B$77-$B$38)*C22/100)</f>
        <v>125.8626865671642</v>
      </c>
      <c r="C36" s="169">
        <f>IF(ISERROR(B36/SUM($B$32,$B$34,$B$35,$B$36,$B$38,$B$39)*100),0,B36/SUM($B$32,$B$34,$B$35,$B$36,$B$38,$B$39)*100)</f>
        <v>6.4777502093239416</v>
      </c>
      <c r="D36" s="235"/>
      <c r="G36" s="15"/>
    </row>
    <row r="37" spans="1:7">
      <c r="A37" s="173" t="s">
        <v>76</v>
      </c>
      <c r="B37" s="34" t="s">
        <v>111</v>
      </c>
      <c r="C37" s="169"/>
      <c r="D37" s="175"/>
      <c r="G37" s="15"/>
    </row>
    <row r="38" spans="1:7">
      <c r="A38" s="173" t="s">
        <v>77</v>
      </c>
      <c r="B38" s="33">
        <f>IF((B24-(B29-B18)*0.1)&lt;0,0,B24-(B29-B18)*0.1)</f>
        <v>91.9</v>
      </c>
      <c r="C38" s="169">
        <f>IF(ISERROR(B38/SUM($B$32,$B$34,$B$35,$B$36,$B$38,$B$39)*100),0,B38/SUM($B$32,$B$34,$B$35,$B$36,$B$38,$B$39)*100)</f>
        <v>4.7297992794647445</v>
      </c>
      <c r="D38" s="236"/>
      <c r="G38" s="15"/>
    </row>
    <row r="39" spans="1:7">
      <c r="A39" s="173" t="s">
        <v>78</v>
      </c>
      <c r="B39" s="33">
        <f>IF((B25-(B29-B18))&lt;0,0,B25-(B29-B18)*0.9)</f>
        <v>505.09999999999997</v>
      </c>
      <c r="C39" s="169">
        <f>IF(ISERROR(B39/SUM($B$32,$B$34,$B$35,$B$36,$B$38,$B$39)*100),0,B39/SUM($B$32,$B$34,$B$35,$B$36,$B$38,$B$39)*100)</f>
        <v>25.995882655687076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838</v>
      </c>
      <c r="C44" s="34" t="s">
        <v>111</v>
      </c>
      <c r="D44" s="176"/>
    </row>
    <row r="45" spans="1:7">
      <c r="A45" s="173" t="s">
        <v>72</v>
      </c>
      <c r="B45" s="33" t="str">
        <f t="shared" si="0"/>
        <v>-</v>
      </c>
      <c r="C45" s="34" t="s">
        <v>111</v>
      </c>
      <c r="D45" s="176"/>
    </row>
    <row r="46" spans="1:7">
      <c r="A46" s="173" t="s">
        <v>73</v>
      </c>
      <c r="B46" s="33">
        <f t="shared" si="0"/>
        <v>222.91343283582094</v>
      </c>
      <c r="C46" s="34" t="s">
        <v>111</v>
      </c>
      <c r="D46" s="176"/>
    </row>
    <row r="47" spans="1:7">
      <c r="A47" s="173" t="s">
        <v>74</v>
      </c>
      <c r="B47" s="33">
        <f t="shared" si="0"/>
        <v>159.22388059701498</v>
      </c>
      <c r="C47" s="34" t="s">
        <v>111</v>
      </c>
      <c r="D47" s="176"/>
    </row>
    <row r="48" spans="1:7">
      <c r="A48" s="173" t="s">
        <v>75</v>
      </c>
      <c r="B48" s="33">
        <f t="shared" si="0"/>
        <v>125.8626865671642</v>
      </c>
      <c r="C48" s="33">
        <f>B48*10</f>
        <v>1258.626865671642</v>
      </c>
      <c r="D48" s="236"/>
    </row>
    <row r="49" spans="1:6">
      <c r="A49" s="173" t="s">
        <v>76</v>
      </c>
      <c r="B49" s="33" t="str">
        <f t="shared" si="0"/>
        <v>-</v>
      </c>
      <c r="C49" s="34" t="s">
        <v>111</v>
      </c>
      <c r="D49" s="236"/>
    </row>
    <row r="50" spans="1:6">
      <c r="A50" s="173" t="s">
        <v>77</v>
      </c>
      <c r="B50" s="33">
        <f t="shared" si="0"/>
        <v>91.9</v>
      </c>
      <c r="C50" s="33">
        <f>B50*2</f>
        <v>183.8</v>
      </c>
      <c r="D50" s="236"/>
    </row>
    <row r="51" spans="1:6">
      <c r="A51" s="173" t="s">
        <v>78</v>
      </c>
      <c r="B51" s="33">
        <f t="shared" si="0"/>
        <v>505.09999999999997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5447.9700754168007</v>
      </c>
      <c r="C5" s="17">
        <f>IF(ISERROR('Eigen informatie GS &amp; warmtenet'!B58),0,'Eigen informatie GS &amp; warmtenet'!B58)</f>
        <v>0</v>
      </c>
      <c r="D5" s="30">
        <f>SUM(D6:D12)</f>
        <v>6205.1858707007823</v>
      </c>
      <c r="E5" s="17">
        <f>SUM(E6:E12)</f>
        <v>93.172401388392728</v>
      </c>
      <c r="F5" s="17">
        <f>SUM(F6:F12)</f>
        <v>1150.5862696190379</v>
      </c>
      <c r="G5" s="18"/>
      <c r="H5" s="17"/>
      <c r="I5" s="17"/>
      <c r="J5" s="17">
        <f>SUM(J6:J12)</f>
        <v>0</v>
      </c>
      <c r="K5" s="17"/>
      <c r="L5" s="17"/>
      <c r="M5" s="17"/>
      <c r="N5" s="17">
        <f>SUM(N6:N12)</f>
        <v>498.41090047501598</v>
      </c>
      <c r="O5" s="17">
        <f>B38*B39*B40</f>
        <v>6.2533333333333339</v>
      </c>
      <c r="P5" s="17">
        <f>B46*B47*B48/1000-B46*B47*B48/1000/B49</f>
        <v>19.066666666666666</v>
      </c>
      <c r="R5" s="32"/>
    </row>
    <row r="6" spans="1:18">
      <c r="A6" s="32" t="s">
        <v>54</v>
      </c>
      <c r="B6" s="37">
        <f>B26</f>
        <v>723.89731673842005</v>
      </c>
      <c r="C6" s="33"/>
      <c r="D6" s="37">
        <f>IF(ISERROR(TER_kantoor_gas_kWh/1000),0,TER_kantoor_gas_kWh/1000)*0.902</f>
        <v>1250.8735371575356</v>
      </c>
      <c r="E6" s="33">
        <f>$C$26*'E Balans VL '!I12/100/3.6*1000000</f>
        <v>2.8124943335202679</v>
      </c>
      <c r="F6" s="33">
        <f>$C$26*('E Balans VL '!L12+'E Balans VL '!N12)/100/3.6*1000000</f>
        <v>110.09819493548781</v>
      </c>
      <c r="G6" s="34"/>
      <c r="H6" s="33"/>
      <c r="I6" s="33"/>
      <c r="J6" s="33">
        <f>$C$26*('E Balans VL '!D12+'E Balans VL '!E12)/100/3.6*1000000</f>
        <v>0</v>
      </c>
      <c r="K6" s="33"/>
      <c r="L6" s="33"/>
      <c r="M6" s="33"/>
      <c r="N6" s="33">
        <f>$C$26*'E Balans VL '!Y12/100/3.6*1000000</f>
        <v>0.39895414228574738</v>
      </c>
      <c r="O6" s="33"/>
      <c r="P6" s="33"/>
      <c r="R6" s="32"/>
    </row>
    <row r="7" spans="1:18">
      <c r="A7" s="32" t="s">
        <v>53</v>
      </c>
      <c r="B7" s="37">
        <f t="shared" ref="B7:B12" si="0">B27</f>
        <v>812.22360980149608</v>
      </c>
      <c r="C7" s="33"/>
      <c r="D7" s="37">
        <f>IF(ISERROR(TER_horeca_gas_kWh/1000),0,TER_horeca_gas_kWh/1000)*0.902</f>
        <v>622.86746888213372</v>
      </c>
      <c r="E7" s="33">
        <f>$C$27*'E Balans VL '!I9/100/3.6*1000000</f>
        <v>45.75277309273315</v>
      </c>
      <c r="F7" s="33">
        <f>$C$27*('E Balans VL '!L9+'E Balans VL '!N9)/100/3.6*1000000</f>
        <v>234.19666223190075</v>
      </c>
      <c r="G7" s="34"/>
      <c r="H7" s="33"/>
      <c r="I7" s="33"/>
      <c r="J7" s="33">
        <f>$C$27*('E Balans VL '!D9+'E Balans VL '!E9)/100/3.6*1000000</f>
        <v>0</v>
      </c>
      <c r="K7" s="33"/>
      <c r="L7" s="33"/>
      <c r="M7" s="33"/>
      <c r="N7" s="33">
        <f>$C$27*'E Balans VL '!Y9/100/3.6*1000000</f>
        <v>0.22425071795520282</v>
      </c>
      <c r="O7" s="33"/>
      <c r="P7" s="33"/>
      <c r="R7" s="32"/>
    </row>
    <row r="8" spans="1:18">
      <c r="A8" s="6" t="s">
        <v>52</v>
      </c>
      <c r="B8" s="37">
        <f t="shared" si="0"/>
        <v>349.45242466783498</v>
      </c>
      <c r="C8" s="33"/>
      <c r="D8" s="37">
        <f>IF(ISERROR(TER_handel_gas_kWh/1000),0,TER_handel_gas_kWh/1000)*0.902</f>
        <v>31.176490267755661</v>
      </c>
      <c r="E8" s="33">
        <f>$C$28*'E Balans VL '!I13/100/3.6*1000000</f>
        <v>5.0367950136046105</v>
      </c>
      <c r="F8" s="33">
        <f>$C$28*('E Balans VL '!L13+'E Balans VL '!N13)/100/3.6*1000000</f>
        <v>60.708024362617195</v>
      </c>
      <c r="G8" s="34"/>
      <c r="H8" s="33"/>
      <c r="I8" s="33"/>
      <c r="J8" s="33">
        <f>$C$28*('E Balans VL '!D13+'E Balans VL '!E13)/100/3.6*1000000</f>
        <v>0</v>
      </c>
      <c r="K8" s="33"/>
      <c r="L8" s="33"/>
      <c r="M8" s="33"/>
      <c r="N8" s="33">
        <f>$C$28*'E Balans VL '!Y13/100/3.6*1000000</f>
        <v>1.0469983661501316</v>
      </c>
      <c r="O8" s="33"/>
      <c r="P8" s="33"/>
      <c r="R8" s="32"/>
    </row>
    <row r="9" spans="1:18">
      <c r="A9" s="32" t="s">
        <v>51</v>
      </c>
      <c r="B9" s="37">
        <f t="shared" si="0"/>
        <v>46.911677885463497</v>
      </c>
      <c r="C9" s="33"/>
      <c r="D9" s="37">
        <f>IF(ISERROR(TER_gezond_gas_kWh/1000),0,TER_gezond_gas_kWh/1000)*0.902</f>
        <v>0</v>
      </c>
      <c r="E9" s="33">
        <f>$C$29*'E Balans VL '!I10/100/3.6*1000000</f>
        <v>5.0113831042055579E-2</v>
      </c>
      <c r="F9" s="33">
        <f>$C$29*('E Balans VL '!L10+'E Balans VL '!N10)/100/3.6*1000000</f>
        <v>7.6527203625097453</v>
      </c>
      <c r="G9" s="34"/>
      <c r="H9" s="33"/>
      <c r="I9" s="33"/>
      <c r="J9" s="33">
        <f>$C$29*('E Balans VL '!D10+'E Balans VL '!E10)/100/3.6*1000000</f>
        <v>0</v>
      </c>
      <c r="K9" s="33"/>
      <c r="L9" s="33"/>
      <c r="M9" s="33"/>
      <c r="N9" s="33">
        <f>$C$29*'E Balans VL '!Y10/100/3.6*1000000</f>
        <v>0.4829289565614604</v>
      </c>
      <c r="O9" s="33"/>
      <c r="P9" s="33"/>
      <c r="R9" s="32"/>
    </row>
    <row r="10" spans="1:18">
      <c r="A10" s="32" t="s">
        <v>50</v>
      </c>
      <c r="B10" s="37">
        <f t="shared" si="0"/>
        <v>357.15693619826999</v>
      </c>
      <c r="C10" s="33"/>
      <c r="D10" s="37">
        <f>IF(ISERROR(TER_ander_gas_kWh/1000),0,TER_ander_gas_kWh/1000)*0.902</f>
        <v>0</v>
      </c>
      <c r="E10" s="33">
        <f>$C$30*'E Balans VL '!I14/100/3.6*1000000</f>
        <v>1.6425104219729127</v>
      </c>
      <c r="F10" s="33">
        <f>$C$30*('E Balans VL '!L14+'E Balans VL '!N14)/100/3.6*1000000</f>
        <v>107.05119952093496</v>
      </c>
      <c r="G10" s="34"/>
      <c r="H10" s="33"/>
      <c r="I10" s="33"/>
      <c r="J10" s="33">
        <f>$C$30*('E Balans VL '!D14+'E Balans VL '!E14)/100/3.6*1000000</f>
        <v>0</v>
      </c>
      <c r="K10" s="33"/>
      <c r="L10" s="33"/>
      <c r="M10" s="33"/>
      <c r="N10" s="33">
        <f>$C$30*'E Balans VL '!Y14/100/3.6*1000000</f>
        <v>248.60480379789578</v>
      </c>
      <c r="O10" s="33"/>
      <c r="P10" s="33"/>
      <c r="R10" s="32"/>
    </row>
    <row r="11" spans="1:18">
      <c r="A11" s="32" t="s">
        <v>55</v>
      </c>
      <c r="B11" s="37">
        <f t="shared" si="0"/>
        <v>38.496704644356001</v>
      </c>
      <c r="C11" s="33"/>
      <c r="D11" s="37">
        <f>IF(ISERROR(TER_onderwijs_gas_kWh/1000),0,TER_onderwijs_gas_kWh/1000)*0.902</f>
        <v>0</v>
      </c>
      <c r="E11" s="33">
        <f>$C$31*'E Balans VL '!I11/100/3.6*1000000</f>
        <v>3.5710756212233609E-2</v>
      </c>
      <c r="F11" s="33">
        <f>$C$31*('E Balans VL '!L11+'E Balans VL '!N11)/100/3.6*1000000</f>
        <v>13.523007558418568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3119.8314054809598</v>
      </c>
      <c r="C12" s="33"/>
      <c r="D12" s="37">
        <f>IF(ISERROR(TER_rest_gas_kWh/1000),0,TER_rest_gas_kWh/1000)*0.902</f>
        <v>4300.2683743933576</v>
      </c>
      <c r="E12" s="33">
        <f>$C$32*'E Balans VL '!I8/100/3.6*1000000</f>
        <v>37.842003939307503</v>
      </c>
      <c r="F12" s="33">
        <f>$C$32*('E Balans VL '!L8+'E Balans VL '!N8)/100/3.6*1000000</f>
        <v>617.35646064716889</v>
      </c>
      <c r="G12" s="34"/>
      <c r="H12" s="33"/>
      <c r="I12" s="33"/>
      <c r="J12" s="33">
        <f>$C$32*('E Balans VL '!D8+'E Balans VL '!E8)/100/3.6*1000000</f>
        <v>0</v>
      </c>
      <c r="K12" s="33"/>
      <c r="L12" s="33"/>
      <c r="M12" s="33"/>
      <c r="N12" s="33">
        <f>$C$32*'E Balans VL '!Y8/100/3.6*1000000</f>
        <v>247.65296449416763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5447.9700754168007</v>
      </c>
      <c r="C16" s="21">
        <f t="shared" ca="1" si="1"/>
        <v>0</v>
      </c>
      <c r="D16" s="21">
        <f t="shared" ca="1" si="1"/>
        <v>6205.1858707007823</v>
      </c>
      <c r="E16" s="21">
        <f t="shared" si="1"/>
        <v>93.172401388392728</v>
      </c>
      <c r="F16" s="21">
        <f t="shared" ca="1" si="1"/>
        <v>1150.5862696190379</v>
      </c>
      <c r="G16" s="21">
        <f t="shared" si="1"/>
        <v>0</v>
      </c>
      <c r="H16" s="21">
        <f t="shared" si="1"/>
        <v>0</v>
      </c>
      <c r="I16" s="21">
        <f t="shared" si="1"/>
        <v>0</v>
      </c>
      <c r="J16" s="21">
        <f t="shared" si="1"/>
        <v>0</v>
      </c>
      <c r="K16" s="21">
        <f t="shared" si="1"/>
        <v>0</v>
      </c>
      <c r="L16" s="21">
        <f t="shared" ca="1" si="1"/>
        <v>0</v>
      </c>
      <c r="M16" s="21">
        <f t="shared" si="1"/>
        <v>0</v>
      </c>
      <c r="N16" s="21">
        <f t="shared" ca="1" si="1"/>
        <v>498.41090047501598</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0.19101074740718718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1040.6208359573529</v>
      </c>
      <c r="C20" s="23">
        <f t="shared" ref="C20:P20" ca="1" si="2">C16*C18</f>
        <v>0</v>
      </c>
      <c r="D20" s="23">
        <f t="shared" ca="1" si="2"/>
        <v>1253.4475458815582</v>
      </c>
      <c r="E20" s="23">
        <f t="shared" si="2"/>
        <v>21.150135115165149</v>
      </c>
      <c r="F20" s="23">
        <f t="shared" ca="1" si="2"/>
        <v>307.20653398828313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723.89731673842005</v>
      </c>
      <c r="C26" s="39">
        <f>IF(ISERROR(B26*3.6/1000000/'E Balans VL '!Z12*100),0,B26*3.6/1000000/'E Balans VL '!Z12*100)</f>
        <v>1.5375937579641013E-2</v>
      </c>
      <c r="D26" s="239" t="s">
        <v>692</v>
      </c>
      <c r="F26" s="6"/>
    </row>
    <row r="27" spans="1:18">
      <c r="A27" s="233" t="s">
        <v>53</v>
      </c>
      <c r="B27" s="33">
        <f>IF(ISERROR(TER_horeca_ele_kWh/1000),0,TER_horeca_ele_kWh/1000)</f>
        <v>812.22360980149608</v>
      </c>
      <c r="C27" s="39">
        <f>IF(ISERROR(B27*3.6/1000000/'E Balans VL '!Z9*100),0,B27*3.6/1000000/'E Balans VL '!Z9*100)</f>
        <v>6.3155332167443706E-2</v>
      </c>
      <c r="D27" s="239" t="s">
        <v>692</v>
      </c>
      <c r="F27" s="6"/>
    </row>
    <row r="28" spans="1:18">
      <c r="A28" s="173" t="s">
        <v>52</v>
      </c>
      <c r="B28" s="33">
        <f>IF(ISERROR(TER_handel_ele_kWh/1000),0,TER_handel_ele_kWh/1000)</f>
        <v>349.45242466783498</v>
      </c>
      <c r="C28" s="39">
        <f>IF(ISERROR(B28*3.6/1000000/'E Balans VL '!Z13*100),0,B28*3.6/1000000/'E Balans VL '!Z13*100)</f>
        <v>9.9982451341097296E-3</v>
      </c>
      <c r="D28" s="239" t="s">
        <v>692</v>
      </c>
      <c r="F28" s="6"/>
    </row>
    <row r="29" spans="1:18">
      <c r="A29" s="233" t="s">
        <v>51</v>
      </c>
      <c r="B29" s="33">
        <f>IF(ISERROR(TER_gezond_ele_kWh/1000),0,TER_gezond_ele_kWh/1000)</f>
        <v>46.911677885463497</v>
      </c>
      <c r="C29" s="39">
        <f>IF(ISERROR(B29*3.6/1000000/'E Balans VL '!Z10*100),0,B29*3.6/1000000/'E Balans VL '!Z10*100)</f>
        <v>5.1144629861722959E-3</v>
      </c>
      <c r="D29" s="239" t="s">
        <v>692</v>
      </c>
      <c r="F29" s="6"/>
    </row>
    <row r="30" spans="1:18">
      <c r="A30" s="233" t="s">
        <v>50</v>
      </c>
      <c r="B30" s="33">
        <f>IF(ISERROR(TER_ander_ele_kWh/1000),0,TER_ander_ele_kWh/1000)</f>
        <v>357.15693619826999</v>
      </c>
      <c r="C30" s="39">
        <f>IF(ISERROR(B30*3.6/1000000/'E Balans VL '!Z14*100),0,B30*3.6/1000000/'E Balans VL '!Z14*100)</f>
        <v>2.6135934399685583E-2</v>
      </c>
      <c r="D30" s="239" t="s">
        <v>692</v>
      </c>
      <c r="F30" s="6"/>
    </row>
    <row r="31" spans="1:18">
      <c r="A31" s="233" t="s">
        <v>55</v>
      </c>
      <c r="B31" s="33">
        <f>IF(ISERROR(TER_onderwijs_ele_kWh/1000),0,TER_onderwijs_ele_kWh/1000)</f>
        <v>38.496704644356001</v>
      </c>
      <c r="C31" s="39">
        <f>IF(ISERROR(B31*3.6/1000000/'E Balans VL '!Z11*100),0,B31*3.6/1000000/'E Balans VL '!Z11*100)</f>
        <v>7.732091714683492E-3</v>
      </c>
      <c r="D31" s="239" t="s">
        <v>692</v>
      </c>
    </row>
    <row r="32" spans="1:18">
      <c r="A32" s="233" t="s">
        <v>260</v>
      </c>
      <c r="B32" s="33">
        <f>IF(ISERROR(TER_rest_ele_kWh/1000),0,TER_rest_ele_kWh/1000)</f>
        <v>3119.8314054809598</v>
      </c>
      <c r="C32" s="39">
        <f>IF(ISERROR(B32*3.6/1000000/'E Balans VL '!Z8*100),0,B32*3.6/1000000/'E Balans VL '!Z8*100)</f>
        <v>2.5424732625188379E-2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2345.868906075093</v>
      </c>
      <c r="C5" s="17">
        <f>IF(ISERROR('Eigen informatie GS &amp; warmtenet'!B59),0,'Eigen informatie GS &amp; warmtenet'!B59)</f>
        <v>0</v>
      </c>
      <c r="D5" s="30">
        <f>SUM(D6:D15)</f>
        <v>366.75881358429007</v>
      </c>
      <c r="E5" s="17">
        <f>SUM(E6:E15)</f>
        <v>144.44225926676324</v>
      </c>
      <c r="F5" s="17">
        <f>SUM(F6:F15)</f>
        <v>654.13119983941692</v>
      </c>
      <c r="G5" s="18"/>
      <c r="H5" s="17"/>
      <c r="I5" s="17"/>
      <c r="J5" s="17">
        <f>SUM(J6:J15)</f>
        <v>2.9741210259055562</v>
      </c>
      <c r="K5" s="17"/>
      <c r="L5" s="17"/>
      <c r="M5" s="17"/>
      <c r="N5" s="17">
        <f>SUM(N6:N15)</f>
        <v>316.39870007941198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996.79582697643002</v>
      </c>
      <c r="C8" s="33"/>
      <c r="D8" s="37">
        <f>IF( ISERROR(IND_metaal_Gas_kWH/1000),0,IND_metaal_Gas_kWH/1000)*0.902</f>
        <v>0</v>
      </c>
      <c r="E8" s="33">
        <f>C30*'E Balans VL '!I18/100/3.6*1000000</f>
        <v>28.631717663294175</v>
      </c>
      <c r="F8" s="33">
        <f>C30*'E Balans VL '!L18/100/3.6*1000000+C30*'E Balans VL '!N18/100/3.6*1000000</f>
        <v>255.65895848059253</v>
      </c>
      <c r="G8" s="34"/>
      <c r="H8" s="33"/>
      <c r="I8" s="33"/>
      <c r="J8" s="40">
        <f>C30*'E Balans VL '!D18/100/3.6*1000000+C30*'E Balans VL '!E18/100/3.6*1000000</f>
        <v>0</v>
      </c>
      <c r="K8" s="33"/>
      <c r="L8" s="33"/>
      <c r="M8" s="33"/>
      <c r="N8" s="33">
        <f>C30*'E Balans VL '!Y18/100/3.6*1000000</f>
        <v>27.065041450971474</v>
      </c>
      <c r="O8" s="33"/>
      <c r="P8" s="33"/>
      <c r="R8" s="32"/>
    </row>
    <row r="9" spans="1:18">
      <c r="A9" s="6" t="s">
        <v>33</v>
      </c>
      <c r="B9" s="37">
        <f t="shared" si="0"/>
        <v>188.69537557614302</v>
      </c>
      <c r="C9" s="33"/>
      <c r="D9" s="37">
        <f>IF( ISERROR(IND_andere_gas_kWh/1000),0,IND_andere_gas_kWh/1000)*0.902</f>
        <v>6.4953179196011304</v>
      </c>
      <c r="E9" s="33">
        <f>C31*'E Balans VL '!I19/100/3.6*1000000</f>
        <v>51.07519870763069</v>
      </c>
      <c r="F9" s="33">
        <f>C31*'E Balans VL '!L19/100/3.6*1000000+C31*'E Balans VL '!N19/100/3.6*1000000</f>
        <v>125.69108827559737</v>
      </c>
      <c r="G9" s="34"/>
      <c r="H9" s="33"/>
      <c r="I9" s="33"/>
      <c r="J9" s="40">
        <f>C31*'E Balans VL '!D19/100/3.6*1000000+C31*'E Balans VL '!E19/100/3.6*1000000</f>
        <v>0</v>
      </c>
      <c r="K9" s="33"/>
      <c r="L9" s="33"/>
      <c r="M9" s="33"/>
      <c r="N9" s="33">
        <f>C31*'E Balans VL '!Y19/100/3.6*1000000</f>
        <v>61.605905627074812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1160.3777035225198</v>
      </c>
      <c r="C15" s="33"/>
      <c r="D15" s="37">
        <f>IF( ISERROR(IND_rest_gas_kWh/1000),0,IND_rest_gas_kWh/1000)*0.902</f>
        <v>360.26349566468895</v>
      </c>
      <c r="E15" s="33">
        <f>C37*'E Balans VL '!I15/100/3.6*1000000</f>
        <v>64.735342895838372</v>
      </c>
      <c r="F15" s="33">
        <f>C37*'E Balans VL '!L15/100/3.6*1000000+C37*'E Balans VL '!N15/100/3.6*1000000</f>
        <v>272.78115308322703</v>
      </c>
      <c r="G15" s="34"/>
      <c r="H15" s="33"/>
      <c r="I15" s="33"/>
      <c r="J15" s="40">
        <f>C37*'E Balans VL '!D15/100/3.6*1000000+C37*'E Balans VL '!E15/100/3.6*1000000</f>
        <v>2.9741210259055562</v>
      </c>
      <c r="K15" s="33"/>
      <c r="L15" s="33"/>
      <c r="M15" s="33"/>
      <c r="N15" s="33">
        <f>C37*'E Balans VL '!Y15/100/3.6*1000000</f>
        <v>227.7277530013657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2345.868906075093</v>
      </c>
      <c r="C18" s="21">
        <f>C5+C16</f>
        <v>0</v>
      </c>
      <c r="D18" s="21">
        <f>MAX((D5+D16),0)</f>
        <v>366.75881358429007</v>
      </c>
      <c r="E18" s="21">
        <f>MAX((E5+E16),0)</f>
        <v>144.44225926676324</v>
      </c>
      <c r="F18" s="21">
        <f>MAX((F5+F16),0)</f>
        <v>654.13119983941692</v>
      </c>
      <c r="G18" s="21"/>
      <c r="H18" s="21"/>
      <c r="I18" s="21"/>
      <c r="J18" s="21">
        <f>MAX((J5+J16),0)</f>
        <v>2.9741210259055562</v>
      </c>
      <c r="K18" s="21"/>
      <c r="L18" s="21">
        <f>MAX((L5+L16),0)</f>
        <v>0</v>
      </c>
      <c r="M18" s="21"/>
      <c r="N18" s="21">
        <f>MAX((N5+N16),0)</f>
        <v>316.39870007941198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0.19101074740718718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448.0861730686841</v>
      </c>
      <c r="C22" s="23">
        <f ca="1">C18*C20</f>
        <v>0</v>
      </c>
      <c r="D22" s="23">
        <f>D18*D20</f>
        <v>74.0852803440266</v>
      </c>
      <c r="E22" s="23">
        <f>E18*E20</f>
        <v>32.788392853555258</v>
      </c>
      <c r="F22" s="23">
        <f>F18*F20</f>
        <v>174.65303035712432</v>
      </c>
      <c r="G22" s="23"/>
      <c r="H22" s="23"/>
      <c r="I22" s="23"/>
      <c r="J22" s="23">
        <f>J18*J20</f>
        <v>1.0528388431705669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996.79582697643002</v>
      </c>
      <c r="C30" s="39">
        <f>IF(ISERROR(B30*3.6/1000000/'E Balans VL '!Z18*100),0,B30*3.6/1000000/'E Balans VL '!Z18*100)</f>
        <v>9.8082164825792628E-2</v>
      </c>
      <c r="D30" s="239" t="s">
        <v>692</v>
      </c>
    </row>
    <row r="31" spans="1:18">
      <c r="A31" s="6" t="s">
        <v>33</v>
      </c>
      <c r="B31" s="37">
        <f>IF( ISERROR(IND_ander_ele_kWh/1000),0,IND_ander_ele_kWh/1000)</f>
        <v>188.69537557614302</v>
      </c>
      <c r="C31" s="39">
        <f>IF(ISERROR(B31*3.6/1000000/'E Balans VL '!Z19*100),0,B31*3.6/1000000/'E Balans VL '!Z19*100)</f>
        <v>8.2175330855226592E-3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1160.3777035225198</v>
      </c>
      <c r="C37" s="39">
        <f>IF(ISERROR(B37*3.6/1000000/'E Balans VL '!Z15*100),0,B37*3.6/1000000/'E Balans VL '!Z15*100)</f>
        <v>8.9421354432430971E-3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5544.0079267090168</v>
      </c>
      <c r="C5" s="17">
        <f>'Eigen informatie GS &amp; warmtenet'!B60</f>
        <v>0</v>
      </c>
      <c r="D5" s="30">
        <f>IF(ISERROR(SUM(LB_lb_gas_kWh,LB_rest_gas_kWh,onbekend_gas_kWh)/1000),0,SUM(LB_lb_gas_kWh,LB_rest_gas_kWh,onbekend_gas_kWh)/1000)*0.902</f>
        <v>939.82978923312226</v>
      </c>
      <c r="E5" s="17">
        <f>B17*'E Balans VL '!I25/3.6*1000000/100</f>
        <v>69.861642010886086</v>
      </c>
      <c r="F5" s="17">
        <f>B17*('E Balans VL '!L25/3.6*1000000+'E Balans VL '!N25/3.6*1000000)/100</f>
        <v>19128.216204119355</v>
      </c>
      <c r="G5" s="18"/>
      <c r="H5" s="17"/>
      <c r="I5" s="17"/>
      <c r="J5" s="17">
        <f>('E Balans VL '!D25+'E Balans VL '!E25)/3.6*1000000*landbouw!B17/100</f>
        <v>833.75577011918062</v>
      </c>
      <c r="K5" s="17"/>
      <c r="L5" s="17">
        <f>L6*(-1)</f>
        <v>61.875</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-61.875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5544.0079267090168</v>
      </c>
      <c r="C8" s="21">
        <f>C5+C6</f>
        <v>0</v>
      </c>
      <c r="D8" s="21">
        <f>MAX((D5+D6),0)</f>
        <v>939.82978923312226</v>
      </c>
      <c r="E8" s="21">
        <f>MAX((E5+E6),0)</f>
        <v>69.861642010886086</v>
      </c>
      <c r="F8" s="21">
        <f>MAX((F5+F6),0)</f>
        <v>19128.216204119355</v>
      </c>
      <c r="G8" s="21"/>
      <c r="H8" s="21"/>
      <c r="I8" s="21"/>
      <c r="J8" s="21">
        <f>MAX((J5+J6),0)</f>
        <v>833.75577011918062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0.19101074740718718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1058.9650977120596</v>
      </c>
      <c r="C12" s="23">
        <f ca="1">C8*C10</f>
        <v>0</v>
      </c>
      <c r="D12" s="23">
        <f>D8*D10</f>
        <v>189.84561742509069</v>
      </c>
      <c r="E12" s="23">
        <f>E8*E10</f>
        <v>15.858592736471142</v>
      </c>
      <c r="F12" s="23">
        <f>F8*F10</f>
        <v>5107.2337264998678</v>
      </c>
      <c r="G12" s="23"/>
      <c r="H12" s="23"/>
      <c r="I12" s="23"/>
      <c r="J12" s="23">
        <f>J8*J10</f>
        <v>295.14954262218993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0.77321436878889349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941.67580850021454</v>
      </c>
      <c r="C26" s="249">
        <f>B26*'GWP N2O_CH4'!B5</f>
        <v>19775.191978504507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643.0731644269988</v>
      </c>
      <c r="C27" s="249">
        <f>B27*'GWP N2O_CH4'!B5</f>
        <v>13504.536452966975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13.996118238122641</v>
      </c>
      <c r="C28" s="249">
        <f>B28*'GWP N2O_CH4'!B4</f>
        <v>4338.796653818019</v>
      </c>
      <c r="D28" s="50"/>
    </row>
    <row r="29" spans="1:4">
      <c r="A29" s="41" t="s">
        <v>277</v>
      </c>
      <c r="B29" s="249">
        <f>B34*'ha_N2O bodem landbouw'!B4</f>
        <v>41.845284693641382</v>
      </c>
      <c r="C29" s="249">
        <f>B29*'GWP N2O_CH4'!B4</f>
        <v>12972.038255028829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1.0448349458247503E-2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6.9621543452689456E-6</v>
      </c>
      <c r="C5" s="448" t="s">
        <v>211</v>
      </c>
      <c r="D5" s="433">
        <f>SUM(D6:D11)</f>
        <v>1.1556479295387646E-5</v>
      </c>
      <c r="E5" s="433">
        <f>SUM(E6:E11)</f>
        <v>3.5336298604627563E-4</v>
      </c>
      <c r="F5" s="446" t="s">
        <v>211</v>
      </c>
      <c r="G5" s="433">
        <f>SUM(G6:G11)</f>
        <v>9.4027126859293847E-2</v>
      </c>
      <c r="H5" s="433">
        <f>SUM(H6:H11)</f>
        <v>1.7333784397825083E-2</v>
      </c>
      <c r="I5" s="448" t="s">
        <v>211</v>
      </c>
      <c r="J5" s="448" t="s">
        <v>211</v>
      </c>
      <c r="K5" s="448" t="s">
        <v>211</v>
      </c>
      <c r="L5" s="448" t="s">
        <v>211</v>
      </c>
      <c r="M5" s="433">
        <f>SUM(M6:M11)</f>
        <v>4.9837683929749004E-3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5.4291436689859182E-6</v>
      </c>
      <c r="C6" s="949"/>
      <c r="D6" s="949">
        <f>vkm_2011_GW_PW*SUMIFS(TableVerdeelsleutelVkm[CNG],TableVerdeelsleutelVkm[Voertuigtype],"Lichte voertuigen")*SUMIFS(TableECFTransport[EnergieConsumptieFactor (PJ per km)],TableECFTransport[Index],CONCATENATE($A6,"_CNG_CNG"))</f>
        <v>7.6887292705387564E-6</v>
      </c>
      <c r="E6" s="949">
        <f>vkm_2011_GW_PW*SUMIFS(TableVerdeelsleutelVkm[LPG],TableVerdeelsleutelVkm[Voertuigtype],"Lichte voertuigen")*SUMIFS(TableECFTransport[EnergieConsumptieFactor (PJ per km)],TableECFTransport[Index],CONCATENATE($A6,"_LPG_LPG"))</f>
        <v>2.4147767442262263E-4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4.3400150244901001E-2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1.1662015202630232E-2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2.45711784827763E-3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2.72040338914579E-2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9.6924018096204743E-6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1.2276048641068045E-3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1.5330106762830269E-6</v>
      </c>
      <c r="C8" s="949"/>
      <c r="D8" s="436">
        <f>vkm_2011_NGW_PW*SUMIFS(TableVerdeelsleutelVkm[CNG],TableVerdeelsleutelVkm[Voertuigtype],"Lichte voertuigen")*SUMIFS(TableECFTransport[EnergieConsumptieFactor (PJ per km)],TableECFTransport[Index],CONCATENATE($A8,"_CNG_CNG"))</f>
        <v>3.8677500248488892E-6</v>
      </c>
      <c r="E8" s="436">
        <f>vkm_2011_NGW_PW*SUMIFS(TableVerdeelsleutelVkm[LPG],TableVerdeelsleutelVkm[Voertuigtype],"Lichte voertuigen")*SUMIFS(TableECFTransport[EnergieConsumptieFactor (PJ per km)],TableECFTransport[Index],CONCATENATE($A8,"_LPG_LPG"))</f>
        <v>1.1188531162365299E-4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1.8965645271695232E-2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5.6605740167935585E-3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1.0979100435666242E-3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4.4572974512397103E-3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1.5027765916740162E-6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2.0113563702384152E-4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1.9339317625747072</v>
      </c>
      <c r="C14" s="21"/>
      <c r="D14" s="21">
        <f t="shared" ref="D14:M14" si="0">((D5)*10^9/3600)+D12</f>
        <v>3.2101331376076794</v>
      </c>
      <c r="E14" s="21">
        <f t="shared" si="0"/>
        <v>98.156385012854344</v>
      </c>
      <c r="F14" s="21"/>
      <c r="G14" s="21">
        <f t="shared" si="0"/>
        <v>26118.646349803847</v>
      </c>
      <c r="H14" s="21">
        <f t="shared" si="0"/>
        <v>4814.9401105069683</v>
      </c>
      <c r="I14" s="21"/>
      <c r="J14" s="21"/>
      <c r="K14" s="21"/>
      <c r="L14" s="21"/>
      <c r="M14" s="21">
        <f t="shared" si="0"/>
        <v>1384.3801091596945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0.19101074740718718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0.3694017514038937</v>
      </c>
      <c r="C18" s="23"/>
      <c r="D18" s="23">
        <f t="shared" ref="D18:M18" si="1">D14*D16</f>
        <v>0.64844689379675124</v>
      </c>
      <c r="E18" s="23">
        <f t="shared" si="1"/>
        <v>22.281499397917937</v>
      </c>
      <c r="F18" s="23"/>
      <c r="G18" s="23">
        <f t="shared" si="1"/>
        <v>6973.6785753976274</v>
      </c>
      <c r="H18" s="23">
        <f t="shared" si="1"/>
        <v>1198.9200875162351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8.8024204268637889E-4</v>
      </c>
      <c r="H50" s="323">
        <f t="shared" si="2"/>
        <v>0</v>
      </c>
      <c r="I50" s="323">
        <f t="shared" si="2"/>
        <v>0</v>
      </c>
      <c r="J50" s="323">
        <f t="shared" si="2"/>
        <v>0</v>
      </c>
      <c r="K50" s="323">
        <f t="shared" si="2"/>
        <v>0</v>
      </c>
      <c r="L50" s="323">
        <f t="shared" si="2"/>
        <v>0</v>
      </c>
      <c r="M50" s="323">
        <f t="shared" si="2"/>
        <v>3.9146516636692419E-5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8.8024204268637889E-4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3.9146516636692419E-5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244.51167852399414</v>
      </c>
      <c r="H54" s="21">
        <f t="shared" si="3"/>
        <v>0</v>
      </c>
      <c r="I54" s="21">
        <f t="shared" si="3"/>
        <v>0</v>
      </c>
      <c r="J54" s="21">
        <f t="shared" si="3"/>
        <v>0</v>
      </c>
      <c r="K54" s="21">
        <f t="shared" si="3"/>
        <v>0</v>
      </c>
      <c r="L54" s="21">
        <f t="shared" si="3"/>
        <v>0</v>
      </c>
      <c r="M54" s="21">
        <f t="shared" si="3"/>
        <v>10.874032399081226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0.19101074740718718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65.284618165906437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3015.9311684215299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24.75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61.875</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3040.6811684215299</v>
      </c>
      <c r="C9" s="580">
        <f t="shared" ref="C9:L9" si="0">SUM(C7:C8)</f>
        <v>0</v>
      </c>
      <c r="D9" s="580">
        <f t="shared" si="0"/>
        <v>0</v>
      </c>
      <c r="E9" s="580">
        <f t="shared" si="0"/>
        <v>0</v>
      </c>
      <c r="F9" s="580">
        <f t="shared" si="0"/>
        <v>0</v>
      </c>
      <c r="G9" s="580">
        <f t="shared" si="0"/>
        <v>0</v>
      </c>
      <c r="H9" s="580">
        <f t="shared" si="0"/>
        <v>0</v>
      </c>
      <c r="I9" s="580">
        <f t="shared" si="0"/>
        <v>61.875</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38002</v>
      </c>
      <c r="C63" s="839">
        <v>8690</v>
      </c>
      <c r="D63" s="660" t="s">
        <v>840</v>
      </c>
      <c r="E63" s="660" t="s">
        <v>841</v>
      </c>
      <c r="F63" s="660" t="s">
        <v>842</v>
      </c>
      <c r="G63" s="660" t="s">
        <v>843</v>
      </c>
      <c r="H63" s="660" t="s">
        <v>844</v>
      </c>
      <c r="I63" s="660" t="s">
        <v>841</v>
      </c>
      <c r="J63" s="838">
        <v>38993</v>
      </c>
      <c r="K63" s="838">
        <v>39845</v>
      </c>
      <c r="L63" s="660" t="s">
        <v>845</v>
      </c>
      <c r="M63" s="660">
        <v>5.5</v>
      </c>
      <c r="N63" s="660">
        <v>24.75</v>
      </c>
      <c r="O63" s="660">
        <v>0</v>
      </c>
      <c r="P63" s="660">
        <v>0</v>
      </c>
      <c r="Q63" s="660">
        <v>0</v>
      </c>
      <c r="R63" s="660">
        <v>0</v>
      </c>
      <c r="S63" s="660">
        <v>0</v>
      </c>
      <c r="T63" s="660">
        <v>0</v>
      </c>
      <c r="U63" s="660">
        <v>61.875</v>
      </c>
      <c r="V63" s="660">
        <v>0</v>
      </c>
      <c r="W63" s="660">
        <v>0</v>
      </c>
      <c r="X63" s="660">
        <v>10</v>
      </c>
      <c r="Y63" s="660" t="s">
        <v>112</v>
      </c>
      <c r="Z63" s="661" t="s">
        <v>112</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5.5</v>
      </c>
      <c r="N88" s="615">
        <f t="shared" ref="N88:W88" si="5">SUM(N63:N87)</f>
        <v>24.75</v>
      </c>
      <c r="O88" s="615">
        <f t="shared" si="5"/>
        <v>0</v>
      </c>
      <c r="P88" s="615">
        <f t="shared" si="5"/>
        <v>0</v>
      </c>
      <c r="Q88" s="615">
        <f t="shared" si="5"/>
        <v>0</v>
      </c>
      <c r="R88" s="615">
        <f t="shared" si="5"/>
        <v>0</v>
      </c>
      <c r="S88" s="615">
        <f t="shared" si="5"/>
        <v>0</v>
      </c>
      <c r="T88" s="615">
        <f t="shared" si="5"/>
        <v>0</v>
      </c>
      <c r="U88" s="615">
        <f t="shared" si="5"/>
        <v>61.875</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5.5</v>
      </c>
      <c r="N91" s="620">
        <f t="shared" si="8"/>
        <v>24.75</v>
      </c>
      <c r="O91" s="620">
        <f t="shared" si="8"/>
        <v>0</v>
      </c>
      <c r="P91" s="620">
        <f t="shared" si="8"/>
        <v>0</v>
      </c>
      <c r="Q91" s="620">
        <f t="shared" si="8"/>
        <v>0</v>
      </c>
      <c r="R91" s="620">
        <f t="shared" si="8"/>
        <v>0</v>
      </c>
      <c r="S91" s="620">
        <f t="shared" si="8"/>
        <v>0</v>
      </c>
      <c r="T91" s="620">
        <f t="shared" si="8"/>
        <v>0</v>
      </c>
      <c r="U91" s="620">
        <f t="shared" si="8"/>
        <v>61.875</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5841.7160754168008</v>
      </c>
      <c r="D10" s="704">
        <f ca="1">tertiair!C16</f>
        <v>0</v>
      </c>
      <c r="E10" s="704">
        <f ca="1">tertiair!D16</f>
        <v>6205.1858707007823</v>
      </c>
      <c r="F10" s="704">
        <f>tertiair!E16</f>
        <v>93.172401388392728</v>
      </c>
      <c r="G10" s="704">
        <f ca="1">tertiair!F16</f>
        <v>1150.5862696190379</v>
      </c>
      <c r="H10" s="704">
        <f>tertiair!G16</f>
        <v>0</v>
      </c>
      <c r="I10" s="704">
        <f>tertiair!H16</f>
        <v>0</v>
      </c>
      <c r="J10" s="704">
        <f>tertiair!I16</f>
        <v>0</v>
      </c>
      <c r="K10" s="704">
        <f>tertiair!J16</f>
        <v>0</v>
      </c>
      <c r="L10" s="704">
        <f>tertiair!K16</f>
        <v>0</v>
      </c>
      <c r="M10" s="704">
        <f ca="1">tertiair!L16</f>
        <v>0</v>
      </c>
      <c r="N10" s="704">
        <f>tertiair!M16</f>
        <v>0</v>
      </c>
      <c r="O10" s="704">
        <f ca="1">tertiair!N16</f>
        <v>498.41090047501598</v>
      </c>
      <c r="P10" s="704">
        <f>tertiair!O16</f>
        <v>6.2533333333333339</v>
      </c>
      <c r="Q10" s="705">
        <f>tertiair!P16</f>
        <v>19.066666666666666</v>
      </c>
      <c r="R10" s="707">
        <f ca="1">SUM(C10:Q10)</f>
        <v>13814.39151760003</v>
      </c>
      <c r="S10" s="67"/>
    </row>
    <row r="11" spans="1:19" s="459" customFormat="1">
      <c r="A11" s="858" t="s">
        <v>225</v>
      </c>
      <c r="B11" s="863"/>
      <c r="C11" s="704">
        <f>huishoudens!B8</f>
        <v>8674.1852609445086</v>
      </c>
      <c r="D11" s="704">
        <f>huishoudens!C8</f>
        <v>0</v>
      </c>
      <c r="E11" s="704">
        <f>huishoudens!D8</f>
        <v>13724.239171999869</v>
      </c>
      <c r="F11" s="704">
        <f>huishoudens!E8</f>
        <v>4645.0039502718037</v>
      </c>
      <c r="G11" s="704">
        <f>huishoudens!F8</f>
        <v>12772.402740611627</v>
      </c>
      <c r="H11" s="704">
        <f>huishoudens!G8</f>
        <v>0</v>
      </c>
      <c r="I11" s="704">
        <f>huishoudens!H8</f>
        <v>0</v>
      </c>
      <c r="J11" s="704">
        <f>huishoudens!I8</f>
        <v>0</v>
      </c>
      <c r="K11" s="704">
        <f>huishoudens!J8</f>
        <v>3738.7745510519367</v>
      </c>
      <c r="L11" s="704">
        <f>huishoudens!K8</f>
        <v>0</v>
      </c>
      <c r="M11" s="704">
        <f>huishoudens!L8</f>
        <v>0</v>
      </c>
      <c r="N11" s="704">
        <f>huishoudens!M8</f>
        <v>0</v>
      </c>
      <c r="O11" s="704">
        <f>huishoudens!N8</f>
        <v>9832.2717275328523</v>
      </c>
      <c r="P11" s="704">
        <f>huishoudens!O8</f>
        <v>132.88333333333333</v>
      </c>
      <c r="Q11" s="705">
        <f>huishoudens!P8</f>
        <v>400.4</v>
      </c>
      <c r="R11" s="707">
        <f>SUM(C11:Q11)</f>
        <v>53920.160735745929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2345.868906075093</v>
      </c>
      <c r="D13" s="704">
        <f>industrie!C18</f>
        <v>0</v>
      </c>
      <c r="E13" s="704">
        <f>industrie!D18</f>
        <v>366.75881358429007</v>
      </c>
      <c r="F13" s="704">
        <f>industrie!E18</f>
        <v>144.44225926676324</v>
      </c>
      <c r="G13" s="704">
        <f>industrie!F18</f>
        <v>654.13119983941692</v>
      </c>
      <c r="H13" s="704">
        <f>industrie!G18</f>
        <v>0</v>
      </c>
      <c r="I13" s="704">
        <f>industrie!H18</f>
        <v>0</v>
      </c>
      <c r="J13" s="704">
        <f>industrie!I18</f>
        <v>0</v>
      </c>
      <c r="K13" s="704">
        <f>industrie!J18</f>
        <v>2.9741210259055562</v>
      </c>
      <c r="L13" s="704">
        <f>industrie!K18</f>
        <v>0</v>
      </c>
      <c r="M13" s="704">
        <f>industrie!L18</f>
        <v>0</v>
      </c>
      <c r="N13" s="704">
        <f>industrie!M18</f>
        <v>0</v>
      </c>
      <c r="O13" s="704">
        <f>industrie!N18</f>
        <v>316.39870007941198</v>
      </c>
      <c r="P13" s="704">
        <f>industrie!O18</f>
        <v>0</v>
      </c>
      <c r="Q13" s="705">
        <f>industrie!P18</f>
        <v>0</v>
      </c>
      <c r="R13" s="707">
        <f>SUM(C13:Q13)</f>
        <v>3830.5739998708809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16861.770242436403</v>
      </c>
      <c r="D15" s="709">
        <f t="shared" ref="D15:Q15" ca="1" si="0">SUM(D9:D14)</f>
        <v>0</v>
      </c>
      <c r="E15" s="709">
        <f t="shared" ca="1" si="0"/>
        <v>20296.183856284941</v>
      </c>
      <c r="F15" s="709">
        <f t="shared" si="0"/>
        <v>4882.6186109269602</v>
      </c>
      <c r="G15" s="709">
        <f t="shared" ca="1" si="0"/>
        <v>14577.120210070083</v>
      </c>
      <c r="H15" s="709">
        <f t="shared" si="0"/>
        <v>0</v>
      </c>
      <c r="I15" s="709">
        <f t="shared" si="0"/>
        <v>0</v>
      </c>
      <c r="J15" s="709">
        <f t="shared" si="0"/>
        <v>0</v>
      </c>
      <c r="K15" s="709">
        <f t="shared" si="0"/>
        <v>3741.748672077842</v>
      </c>
      <c r="L15" s="709">
        <f t="shared" si="0"/>
        <v>0</v>
      </c>
      <c r="M15" s="709">
        <f t="shared" ca="1" si="0"/>
        <v>0</v>
      </c>
      <c r="N15" s="709">
        <f t="shared" si="0"/>
        <v>0</v>
      </c>
      <c r="O15" s="709">
        <f t="shared" ca="1" si="0"/>
        <v>10647.081328087279</v>
      </c>
      <c r="P15" s="709">
        <f t="shared" si="0"/>
        <v>139.13666666666666</v>
      </c>
      <c r="Q15" s="710">
        <f t="shared" si="0"/>
        <v>419.46666666666664</v>
      </c>
      <c r="R15" s="711">
        <f ca="1">SUM(R9:R14)</f>
        <v>71565.126253216833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244.51167852399414</v>
      </c>
      <c r="I18" s="704">
        <f>transport!H54</f>
        <v>0</v>
      </c>
      <c r="J18" s="704">
        <f>transport!I54</f>
        <v>0</v>
      </c>
      <c r="K18" s="704">
        <f>transport!J54</f>
        <v>0</v>
      </c>
      <c r="L18" s="704">
        <f>transport!K54</f>
        <v>0</v>
      </c>
      <c r="M18" s="704">
        <f>transport!L54</f>
        <v>0</v>
      </c>
      <c r="N18" s="704">
        <f>transport!M54</f>
        <v>10.874032399081226</v>
      </c>
      <c r="O18" s="704">
        <f>transport!N54</f>
        <v>0</v>
      </c>
      <c r="P18" s="704">
        <f>transport!O54</f>
        <v>0</v>
      </c>
      <c r="Q18" s="705">
        <f>transport!P54</f>
        <v>0</v>
      </c>
      <c r="R18" s="707">
        <f>SUM(C18:Q18)</f>
        <v>255.38571092307535</v>
      </c>
      <c r="S18" s="67"/>
    </row>
    <row r="19" spans="1:19" s="459" customFormat="1" ht="15" thickBot="1">
      <c r="A19" s="858" t="s">
        <v>307</v>
      </c>
      <c r="B19" s="863"/>
      <c r="C19" s="713">
        <f>transport!B14</f>
        <v>1.9339317625747072</v>
      </c>
      <c r="D19" s="713">
        <f>transport!C14</f>
        <v>0</v>
      </c>
      <c r="E19" s="713">
        <f>transport!D14</f>
        <v>3.2101331376076794</v>
      </c>
      <c r="F19" s="713">
        <f>transport!E14</f>
        <v>98.156385012854344</v>
      </c>
      <c r="G19" s="713">
        <f>transport!F14</f>
        <v>0</v>
      </c>
      <c r="H19" s="713">
        <f>transport!G14</f>
        <v>26118.646349803847</v>
      </c>
      <c r="I19" s="713">
        <f>transport!H14</f>
        <v>4814.9401105069683</v>
      </c>
      <c r="J19" s="713">
        <f>transport!I14</f>
        <v>0</v>
      </c>
      <c r="K19" s="713">
        <f>transport!J14</f>
        <v>0</v>
      </c>
      <c r="L19" s="713">
        <f>transport!K14</f>
        <v>0</v>
      </c>
      <c r="M19" s="713">
        <f>transport!L14</f>
        <v>0</v>
      </c>
      <c r="N19" s="713">
        <f>transport!M14</f>
        <v>1384.3801091596945</v>
      </c>
      <c r="O19" s="713">
        <f>transport!N14</f>
        <v>0</v>
      </c>
      <c r="P19" s="713">
        <f>transport!O14</f>
        <v>0</v>
      </c>
      <c r="Q19" s="714">
        <f>transport!P14</f>
        <v>0</v>
      </c>
      <c r="R19" s="715">
        <f>SUM(C19:Q19)</f>
        <v>32421.267019383547</v>
      </c>
      <c r="S19" s="67"/>
    </row>
    <row r="20" spans="1:19" s="459" customFormat="1" ht="15.75" thickBot="1">
      <c r="A20" s="716" t="s">
        <v>230</v>
      </c>
      <c r="B20" s="866"/>
      <c r="C20" s="861">
        <f>SUM(C17:C19)</f>
        <v>1.9339317625747072</v>
      </c>
      <c r="D20" s="717">
        <f t="shared" ref="D20:R20" si="1">SUM(D17:D19)</f>
        <v>0</v>
      </c>
      <c r="E20" s="717">
        <f t="shared" si="1"/>
        <v>3.2101331376076794</v>
      </c>
      <c r="F20" s="717">
        <f t="shared" si="1"/>
        <v>98.156385012854344</v>
      </c>
      <c r="G20" s="717">
        <f t="shared" si="1"/>
        <v>0</v>
      </c>
      <c r="H20" s="717">
        <f t="shared" si="1"/>
        <v>26363.158028327842</v>
      </c>
      <c r="I20" s="717">
        <f t="shared" si="1"/>
        <v>4814.9401105069683</v>
      </c>
      <c r="J20" s="717">
        <f t="shared" si="1"/>
        <v>0</v>
      </c>
      <c r="K20" s="717">
        <f t="shared" si="1"/>
        <v>0</v>
      </c>
      <c r="L20" s="717">
        <f t="shared" si="1"/>
        <v>0</v>
      </c>
      <c r="M20" s="717">
        <f t="shared" si="1"/>
        <v>0</v>
      </c>
      <c r="N20" s="717">
        <f t="shared" si="1"/>
        <v>1395.2541415587757</v>
      </c>
      <c r="O20" s="717">
        <f t="shared" si="1"/>
        <v>0</v>
      </c>
      <c r="P20" s="717">
        <f t="shared" si="1"/>
        <v>0</v>
      </c>
      <c r="Q20" s="718">
        <f t="shared" si="1"/>
        <v>0</v>
      </c>
      <c r="R20" s="719">
        <f t="shared" si="1"/>
        <v>32676.652730306621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5544.0079267090168</v>
      </c>
      <c r="D22" s="713">
        <f>+landbouw!C8</f>
        <v>0</v>
      </c>
      <c r="E22" s="713">
        <f>+landbouw!D8</f>
        <v>939.82978923312226</v>
      </c>
      <c r="F22" s="713">
        <f>+landbouw!E8</f>
        <v>69.861642010886086</v>
      </c>
      <c r="G22" s="713">
        <f>+landbouw!F8</f>
        <v>19128.216204119355</v>
      </c>
      <c r="H22" s="713">
        <f>+landbouw!G8</f>
        <v>0</v>
      </c>
      <c r="I22" s="713">
        <f>+landbouw!H8</f>
        <v>0</v>
      </c>
      <c r="J22" s="713">
        <f>+landbouw!I8</f>
        <v>0</v>
      </c>
      <c r="K22" s="713">
        <f>+landbouw!J8</f>
        <v>833.75577011918062</v>
      </c>
      <c r="L22" s="713">
        <f>+landbouw!K8</f>
        <v>0</v>
      </c>
      <c r="M22" s="713">
        <f>+landbouw!L8</f>
        <v>0</v>
      </c>
      <c r="N22" s="713">
        <f>+landbouw!M8</f>
        <v>0</v>
      </c>
      <c r="O22" s="713">
        <f>+landbouw!N8</f>
        <v>0</v>
      </c>
      <c r="P22" s="713">
        <f>+landbouw!O8</f>
        <v>0</v>
      </c>
      <c r="Q22" s="714">
        <f>+landbouw!P8</f>
        <v>0</v>
      </c>
      <c r="R22" s="715">
        <f>SUM(C22:Q22)</f>
        <v>26515.671332191559</v>
      </c>
      <c r="S22" s="67"/>
    </row>
    <row r="23" spans="1:19" s="459" customFormat="1" ht="17.25" thickTop="1" thickBot="1">
      <c r="A23" s="720" t="s">
        <v>116</v>
      </c>
      <c r="B23" s="852"/>
      <c r="C23" s="721">
        <f ca="1">C20+C15+C22</f>
        <v>22407.712100907993</v>
      </c>
      <c r="D23" s="721">
        <f t="shared" ref="D23:Q23" ca="1" si="2">D20+D15+D22</f>
        <v>0</v>
      </c>
      <c r="E23" s="721">
        <f t="shared" ca="1" si="2"/>
        <v>21239.223778655669</v>
      </c>
      <c r="F23" s="721">
        <f t="shared" si="2"/>
        <v>5050.6366379507008</v>
      </c>
      <c r="G23" s="721">
        <f t="shared" ca="1" si="2"/>
        <v>33705.336414189442</v>
      </c>
      <c r="H23" s="721">
        <f t="shared" si="2"/>
        <v>26363.158028327842</v>
      </c>
      <c r="I23" s="721">
        <f t="shared" si="2"/>
        <v>4814.9401105069683</v>
      </c>
      <c r="J23" s="721">
        <f t="shared" si="2"/>
        <v>0</v>
      </c>
      <c r="K23" s="721">
        <f t="shared" si="2"/>
        <v>4575.5044421970224</v>
      </c>
      <c r="L23" s="721">
        <f t="shared" si="2"/>
        <v>0</v>
      </c>
      <c r="M23" s="721">
        <f t="shared" ca="1" si="2"/>
        <v>0</v>
      </c>
      <c r="N23" s="721">
        <f t="shared" si="2"/>
        <v>1395.2541415587757</v>
      </c>
      <c r="O23" s="721">
        <f t="shared" ca="1" si="2"/>
        <v>10647.081328087279</v>
      </c>
      <c r="P23" s="721">
        <f t="shared" si="2"/>
        <v>139.13666666666666</v>
      </c>
      <c r="Q23" s="722">
        <f t="shared" si="2"/>
        <v>419.46666666666664</v>
      </c>
      <c r="R23" s="723">
        <f ca="1">R20+R15+R22</f>
        <v>130757.45031571502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1115.8305537059432</v>
      </c>
      <c r="D36" s="704">
        <f ca="1">tertiair!C20</f>
        <v>0</v>
      </c>
      <c r="E36" s="704">
        <f ca="1">tertiair!D20</f>
        <v>1253.4475458815582</v>
      </c>
      <c r="F36" s="704">
        <f>tertiair!E20</f>
        <v>21.150135115165149</v>
      </c>
      <c r="G36" s="704">
        <f ca="1">tertiair!F20</f>
        <v>307.20653398828313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2697.6347686909494</v>
      </c>
    </row>
    <row r="37" spans="1:18">
      <c r="A37" s="873" t="s">
        <v>225</v>
      </c>
      <c r="B37" s="880"/>
      <c r="C37" s="704">
        <f ca="1">huishoudens!B12</f>
        <v>1656.8626098414175</v>
      </c>
      <c r="D37" s="704">
        <f ca="1">huishoudens!C12</f>
        <v>0</v>
      </c>
      <c r="E37" s="704">
        <f>huishoudens!D12</f>
        <v>2772.2963127439734</v>
      </c>
      <c r="F37" s="704">
        <f>huishoudens!E12</f>
        <v>1054.4158967116994</v>
      </c>
      <c r="G37" s="704">
        <f>huishoudens!F12</f>
        <v>3410.2315317433049</v>
      </c>
      <c r="H37" s="704">
        <f>huishoudens!G12</f>
        <v>0</v>
      </c>
      <c r="I37" s="704">
        <f>huishoudens!H12</f>
        <v>0</v>
      </c>
      <c r="J37" s="704">
        <f>huishoudens!I12</f>
        <v>0</v>
      </c>
      <c r="K37" s="704">
        <f>huishoudens!J12</f>
        <v>1323.5261910723855</v>
      </c>
      <c r="L37" s="704">
        <f>huishoudens!K12</f>
        <v>0</v>
      </c>
      <c r="M37" s="704">
        <f>huishoudens!L12</f>
        <v>0</v>
      </c>
      <c r="N37" s="704">
        <f>huishoudens!M12</f>
        <v>0</v>
      </c>
      <c r="O37" s="704">
        <f>huishoudens!N12</f>
        <v>0</v>
      </c>
      <c r="P37" s="704">
        <f>huishoudens!O12</f>
        <v>0</v>
      </c>
      <c r="Q37" s="814">
        <f>huishoudens!P12</f>
        <v>0</v>
      </c>
      <c r="R37" s="905">
        <f ca="1">SUM(C37:Q37)</f>
        <v>10217.332542112781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448.0861730686841</v>
      </c>
      <c r="D39" s="704">
        <f ca="1">industrie!C22</f>
        <v>0</v>
      </c>
      <c r="E39" s="704">
        <f>industrie!D22</f>
        <v>74.0852803440266</v>
      </c>
      <c r="F39" s="704">
        <f>industrie!E22</f>
        <v>32.788392853555258</v>
      </c>
      <c r="G39" s="704">
        <f>industrie!F22</f>
        <v>174.65303035712432</v>
      </c>
      <c r="H39" s="704">
        <f>industrie!G22</f>
        <v>0</v>
      </c>
      <c r="I39" s="704">
        <f>industrie!H22</f>
        <v>0</v>
      </c>
      <c r="J39" s="704">
        <f>industrie!I22</f>
        <v>0</v>
      </c>
      <c r="K39" s="704">
        <f>industrie!J22</f>
        <v>1.0528388431705669</v>
      </c>
      <c r="L39" s="704">
        <f>industrie!K22</f>
        <v>0</v>
      </c>
      <c r="M39" s="704">
        <f>industrie!L22</f>
        <v>0</v>
      </c>
      <c r="N39" s="704">
        <f>industrie!M22</f>
        <v>0</v>
      </c>
      <c r="O39" s="704">
        <f>industrie!N22</f>
        <v>0</v>
      </c>
      <c r="P39" s="704">
        <f>industrie!O22</f>
        <v>0</v>
      </c>
      <c r="Q39" s="814">
        <f>industrie!P22</f>
        <v>0</v>
      </c>
      <c r="R39" s="906">
        <f ca="1">SUM(C39:Q39)</f>
        <v>730.66571546656075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3220.7793366160449</v>
      </c>
      <c r="D41" s="749">
        <f t="shared" ref="D41:R41" ca="1" si="4">SUM(D35:D40)</f>
        <v>0</v>
      </c>
      <c r="E41" s="749">
        <f t="shared" ca="1" si="4"/>
        <v>4099.8291389695578</v>
      </c>
      <c r="F41" s="749">
        <f t="shared" si="4"/>
        <v>1108.3544246804197</v>
      </c>
      <c r="G41" s="749">
        <f t="shared" ca="1" si="4"/>
        <v>3892.0910960887122</v>
      </c>
      <c r="H41" s="749">
        <f t="shared" si="4"/>
        <v>0</v>
      </c>
      <c r="I41" s="749">
        <f t="shared" si="4"/>
        <v>0</v>
      </c>
      <c r="J41" s="749">
        <f t="shared" si="4"/>
        <v>0</v>
      </c>
      <c r="K41" s="749">
        <f t="shared" si="4"/>
        <v>1324.579029915556</v>
      </c>
      <c r="L41" s="749">
        <f t="shared" si="4"/>
        <v>0</v>
      </c>
      <c r="M41" s="749">
        <f t="shared" ca="1" si="4"/>
        <v>0</v>
      </c>
      <c r="N41" s="749">
        <f t="shared" si="4"/>
        <v>0</v>
      </c>
      <c r="O41" s="749">
        <f t="shared" ca="1" si="4"/>
        <v>0</v>
      </c>
      <c r="P41" s="749">
        <f t="shared" si="4"/>
        <v>0</v>
      </c>
      <c r="Q41" s="750">
        <f t="shared" si="4"/>
        <v>0</v>
      </c>
      <c r="R41" s="751">
        <f t="shared" ca="1" si="4"/>
        <v>13645.633026270292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65.284618165906437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65.284618165906437</v>
      </c>
    </row>
    <row r="45" spans="1:18" ht="15" thickBot="1">
      <c r="A45" s="876" t="s">
        <v>307</v>
      </c>
      <c r="B45" s="886"/>
      <c r="C45" s="713">
        <f ca="1">transport!B18</f>
        <v>0.3694017514038937</v>
      </c>
      <c r="D45" s="713">
        <f>transport!C18</f>
        <v>0</v>
      </c>
      <c r="E45" s="713">
        <f>transport!D18</f>
        <v>0.64844689379675124</v>
      </c>
      <c r="F45" s="713">
        <f>transport!E18</f>
        <v>22.281499397917937</v>
      </c>
      <c r="G45" s="713">
        <f>transport!F18</f>
        <v>0</v>
      </c>
      <c r="H45" s="713">
        <f>transport!G18</f>
        <v>6973.6785753976274</v>
      </c>
      <c r="I45" s="713">
        <f>transport!H18</f>
        <v>1198.9200875162351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8195.898010956982</v>
      </c>
    </row>
    <row r="46" spans="1:18" ht="15.75" thickBot="1">
      <c r="A46" s="874" t="s">
        <v>230</v>
      </c>
      <c r="B46" s="887"/>
      <c r="C46" s="749">
        <f t="shared" ref="C46:R46" ca="1" si="5">SUM(C43:C45)</f>
        <v>0.3694017514038937</v>
      </c>
      <c r="D46" s="749">
        <f t="shared" ca="1" si="5"/>
        <v>0</v>
      </c>
      <c r="E46" s="749">
        <f t="shared" si="5"/>
        <v>0.64844689379675124</v>
      </c>
      <c r="F46" s="749">
        <f t="shared" si="5"/>
        <v>22.281499397917937</v>
      </c>
      <c r="G46" s="749">
        <f t="shared" si="5"/>
        <v>0</v>
      </c>
      <c r="H46" s="749">
        <f t="shared" si="5"/>
        <v>7038.9631935635334</v>
      </c>
      <c r="I46" s="749">
        <f t="shared" si="5"/>
        <v>1198.9200875162351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8261.1826291228881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1058.9650977120596</v>
      </c>
      <c r="D48" s="704">
        <f ca="1">+landbouw!C12</f>
        <v>0</v>
      </c>
      <c r="E48" s="704">
        <f>+landbouw!D12</f>
        <v>189.84561742509069</v>
      </c>
      <c r="F48" s="704">
        <f>+landbouw!E12</f>
        <v>15.858592736471142</v>
      </c>
      <c r="G48" s="704">
        <f>+landbouw!F12</f>
        <v>5107.2337264998678</v>
      </c>
      <c r="H48" s="704">
        <f>+landbouw!G12</f>
        <v>0</v>
      </c>
      <c r="I48" s="704">
        <f>+landbouw!H12</f>
        <v>0</v>
      </c>
      <c r="J48" s="704">
        <f>+landbouw!I12</f>
        <v>0</v>
      </c>
      <c r="K48" s="704">
        <f>+landbouw!J12</f>
        <v>295.14954262218993</v>
      </c>
      <c r="L48" s="704">
        <f>+landbouw!K12</f>
        <v>0</v>
      </c>
      <c r="M48" s="704">
        <f>+landbouw!L12</f>
        <v>0</v>
      </c>
      <c r="N48" s="704">
        <f>+landbouw!M12</f>
        <v>0</v>
      </c>
      <c r="O48" s="704">
        <f>+landbouw!N12</f>
        <v>0</v>
      </c>
      <c r="P48" s="704">
        <f>+landbouw!O12</f>
        <v>0</v>
      </c>
      <c r="Q48" s="705">
        <f>+landbouw!P12</f>
        <v>0</v>
      </c>
      <c r="R48" s="747">
        <f ca="1">SUM(C48:Q48)</f>
        <v>6667.0525769956794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4280.1138360795085</v>
      </c>
      <c r="D53" s="759">
        <f t="shared" ref="D53:Q53" ca="1" si="6">D41+D46+D48</f>
        <v>0</v>
      </c>
      <c r="E53" s="759">
        <f t="shared" ca="1" si="6"/>
        <v>4290.3232032884453</v>
      </c>
      <c r="F53" s="759">
        <f t="shared" si="6"/>
        <v>1146.4945168148088</v>
      </c>
      <c r="G53" s="759">
        <f t="shared" ca="1" si="6"/>
        <v>8999.32482258858</v>
      </c>
      <c r="H53" s="759">
        <f t="shared" si="6"/>
        <v>7038.9631935635334</v>
      </c>
      <c r="I53" s="759">
        <f t="shared" si="6"/>
        <v>1198.9200875162351</v>
      </c>
      <c r="J53" s="759">
        <f t="shared" si="6"/>
        <v>0</v>
      </c>
      <c r="K53" s="759">
        <f t="shared" si="6"/>
        <v>1619.728572537746</v>
      </c>
      <c r="L53" s="759">
        <f t="shared" si="6"/>
        <v>0</v>
      </c>
      <c r="M53" s="759">
        <f t="shared" ca="1" si="6"/>
        <v>0</v>
      </c>
      <c r="N53" s="759">
        <f t="shared" si="6"/>
        <v>0</v>
      </c>
      <c r="O53" s="759">
        <f t="shared" ca="1" si="6"/>
        <v>0</v>
      </c>
      <c r="P53" s="759">
        <f>P41+P46+P48</f>
        <v>0</v>
      </c>
      <c r="Q53" s="760">
        <f t="shared" si="6"/>
        <v>0</v>
      </c>
      <c r="R53" s="761">
        <f ca="1">R41+R46+R48</f>
        <v>28573.868232388861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0.19101074740718718</v>
      </c>
      <c r="D55" s="824">
        <f t="shared" ca="1" si="7"/>
        <v>0</v>
      </c>
      <c r="E55" s="824">
        <f t="shared" ca="1" si="7"/>
        <v>0.20200000000000001</v>
      </c>
      <c r="F55" s="824">
        <f t="shared" si="7"/>
        <v>0.22699999999999995</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3015.9311684215299</v>
      </c>
      <c r="C66" s="781">
        <f>'lokale energieproductie'!B6</f>
        <v>3015.9311684215299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24.75</v>
      </c>
      <c r="C68" s="780">
        <f>B68*IFERROR(SUM(J68:L68)/SUM(D68:M68),0)</f>
        <v>24.75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61.875</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3040.6811684215299</v>
      </c>
      <c r="C69" s="789">
        <f>SUM(C64:C68)</f>
        <v>3040.6811684215299</v>
      </c>
      <c r="D69" s="790">
        <f t="shared" ref="D69:M69" si="8">SUM(D67:D68)</f>
        <v>0</v>
      </c>
      <c r="E69" s="790">
        <f t="shared" si="8"/>
        <v>0</v>
      </c>
      <c r="F69" s="790">
        <f t="shared" si="8"/>
        <v>0</v>
      </c>
      <c r="G69" s="790">
        <f t="shared" si="8"/>
        <v>0</v>
      </c>
      <c r="H69" s="790">
        <f t="shared" si="8"/>
        <v>0</v>
      </c>
      <c r="I69" s="790">
        <f t="shared" si="8"/>
        <v>0</v>
      </c>
      <c r="J69" s="790">
        <f t="shared" si="8"/>
        <v>61.875</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8674.1852609445086</v>
      </c>
      <c r="C4" s="463">
        <f>huishoudens!C8</f>
        <v>0</v>
      </c>
      <c r="D4" s="463">
        <f>huishoudens!D8</f>
        <v>13724.239171999869</v>
      </c>
      <c r="E4" s="463">
        <f>huishoudens!E8</f>
        <v>4645.0039502718037</v>
      </c>
      <c r="F4" s="463">
        <f>huishoudens!F8</f>
        <v>12772.402740611627</v>
      </c>
      <c r="G4" s="463">
        <f>huishoudens!G8</f>
        <v>0</v>
      </c>
      <c r="H4" s="463">
        <f>huishoudens!H8</f>
        <v>0</v>
      </c>
      <c r="I4" s="463">
        <f>huishoudens!I8</f>
        <v>0</v>
      </c>
      <c r="J4" s="463">
        <f>huishoudens!J8</f>
        <v>3738.7745510519367</v>
      </c>
      <c r="K4" s="463">
        <f>huishoudens!K8</f>
        <v>0</v>
      </c>
      <c r="L4" s="463">
        <f>huishoudens!L8</f>
        <v>0</v>
      </c>
      <c r="M4" s="463">
        <f>huishoudens!M8</f>
        <v>0</v>
      </c>
      <c r="N4" s="463">
        <f>huishoudens!N8</f>
        <v>9832.2717275328523</v>
      </c>
      <c r="O4" s="463">
        <f>huishoudens!O8</f>
        <v>132.88333333333333</v>
      </c>
      <c r="P4" s="464">
        <f>huishoudens!P8</f>
        <v>400.4</v>
      </c>
      <c r="Q4" s="465">
        <f>SUM(B4:P4)</f>
        <v>53920.160735745929</v>
      </c>
    </row>
    <row r="5" spans="1:17">
      <c r="A5" s="462" t="s">
        <v>156</v>
      </c>
      <c r="B5" s="463">
        <f ca="1">tertiair!B16</f>
        <v>5447.9700754168007</v>
      </c>
      <c r="C5" s="463">
        <f ca="1">tertiair!C16</f>
        <v>0</v>
      </c>
      <c r="D5" s="463">
        <f ca="1">tertiair!D16</f>
        <v>6205.1858707007823</v>
      </c>
      <c r="E5" s="463">
        <f>tertiair!E16</f>
        <v>93.172401388392728</v>
      </c>
      <c r="F5" s="463">
        <f ca="1">tertiair!F16</f>
        <v>1150.5862696190379</v>
      </c>
      <c r="G5" s="463">
        <f>tertiair!G16</f>
        <v>0</v>
      </c>
      <c r="H5" s="463">
        <f>tertiair!H16</f>
        <v>0</v>
      </c>
      <c r="I5" s="463">
        <f>tertiair!I16</f>
        <v>0</v>
      </c>
      <c r="J5" s="463">
        <f>tertiair!J16</f>
        <v>0</v>
      </c>
      <c r="K5" s="463">
        <f>tertiair!K16</f>
        <v>0</v>
      </c>
      <c r="L5" s="463">
        <f ca="1">tertiair!L16</f>
        <v>0</v>
      </c>
      <c r="M5" s="463">
        <f>tertiair!M16</f>
        <v>0</v>
      </c>
      <c r="N5" s="463">
        <f ca="1">tertiair!N16</f>
        <v>498.41090047501598</v>
      </c>
      <c r="O5" s="463">
        <f>tertiair!O16</f>
        <v>6.2533333333333339</v>
      </c>
      <c r="P5" s="464">
        <f>tertiair!P16</f>
        <v>19.066666666666666</v>
      </c>
      <c r="Q5" s="462">
        <f t="shared" ref="Q5:Q13" ca="1" si="0">SUM(B5:P5)</f>
        <v>13420.645517600029</v>
      </c>
    </row>
    <row r="6" spans="1:17">
      <c r="A6" s="462" t="s">
        <v>194</v>
      </c>
      <c r="B6" s="463">
        <f>'openbare verlichting'!B8</f>
        <v>393.74599999999998</v>
      </c>
      <c r="C6" s="463"/>
      <c r="D6" s="463"/>
      <c r="E6" s="463"/>
      <c r="F6" s="463"/>
      <c r="G6" s="463"/>
      <c r="H6" s="463"/>
      <c r="I6" s="463"/>
      <c r="J6" s="463"/>
      <c r="K6" s="463"/>
      <c r="L6" s="463"/>
      <c r="M6" s="463"/>
      <c r="N6" s="463"/>
      <c r="O6" s="463"/>
      <c r="P6" s="464"/>
      <c r="Q6" s="462">
        <f t="shared" si="0"/>
        <v>393.74599999999998</v>
      </c>
    </row>
    <row r="7" spans="1:17">
      <c r="A7" s="462" t="s">
        <v>112</v>
      </c>
      <c r="B7" s="463">
        <f>landbouw!B8</f>
        <v>5544.0079267090168</v>
      </c>
      <c r="C7" s="463">
        <f>landbouw!C8</f>
        <v>0</v>
      </c>
      <c r="D7" s="463">
        <f>landbouw!D8</f>
        <v>939.82978923312226</v>
      </c>
      <c r="E7" s="463">
        <f>landbouw!E8</f>
        <v>69.861642010886086</v>
      </c>
      <c r="F7" s="463">
        <f>landbouw!F8</f>
        <v>19128.216204119355</v>
      </c>
      <c r="G7" s="463">
        <f>landbouw!G8</f>
        <v>0</v>
      </c>
      <c r="H7" s="463">
        <f>landbouw!H8</f>
        <v>0</v>
      </c>
      <c r="I7" s="463">
        <f>landbouw!I8</f>
        <v>0</v>
      </c>
      <c r="J7" s="463">
        <f>landbouw!J8</f>
        <v>833.75577011918062</v>
      </c>
      <c r="K7" s="463">
        <f>landbouw!K8</f>
        <v>0</v>
      </c>
      <c r="L7" s="463">
        <f>landbouw!L8</f>
        <v>0</v>
      </c>
      <c r="M7" s="463">
        <f>landbouw!M8</f>
        <v>0</v>
      </c>
      <c r="N7" s="463">
        <f>landbouw!N8</f>
        <v>0</v>
      </c>
      <c r="O7" s="463">
        <f>landbouw!O8</f>
        <v>0</v>
      </c>
      <c r="P7" s="464">
        <f>landbouw!P8</f>
        <v>0</v>
      </c>
      <c r="Q7" s="462">
        <f t="shared" si="0"/>
        <v>26515.671332191559</v>
      </c>
    </row>
    <row r="8" spans="1:17">
      <c r="A8" s="462" t="s">
        <v>657</v>
      </c>
      <c r="B8" s="463">
        <f>industrie!B18</f>
        <v>2345.868906075093</v>
      </c>
      <c r="C8" s="463">
        <f>industrie!C18</f>
        <v>0</v>
      </c>
      <c r="D8" s="463">
        <f>industrie!D18</f>
        <v>366.75881358429007</v>
      </c>
      <c r="E8" s="463">
        <f>industrie!E18</f>
        <v>144.44225926676324</v>
      </c>
      <c r="F8" s="463">
        <f>industrie!F18</f>
        <v>654.13119983941692</v>
      </c>
      <c r="G8" s="463">
        <f>industrie!G18</f>
        <v>0</v>
      </c>
      <c r="H8" s="463">
        <f>industrie!H18</f>
        <v>0</v>
      </c>
      <c r="I8" s="463">
        <f>industrie!I18</f>
        <v>0</v>
      </c>
      <c r="J8" s="463">
        <f>industrie!J18</f>
        <v>2.9741210259055562</v>
      </c>
      <c r="K8" s="463">
        <f>industrie!K18</f>
        <v>0</v>
      </c>
      <c r="L8" s="463">
        <f>industrie!L18</f>
        <v>0</v>
      </c>
      <c r="M8" s="463">
        <f>industrie!M18</f>
        <v>0</v>
      </c>
      <c r="N8" s="463">
        <f>industrie!N18</f>
        <v>316.39870007941198</v>
      </c>
      <c r="O8" s="463">
        <f>industrie!O18</f>
        <v>0</v>
      </c>
      <c r="P8" s="464">
        <f>industrie!P18</f>
        <v>0</v>
      </c>
      <c r="Q8" s="462">
        <f t="shared" si="0"/>
        <v>3830.5739998708809</v>
      </c>
    </row>
    <row r="9" spans="1:17" s="468" customFormat="1">
      <c r="A9" s="466" t="s">
        <v>574</v>
      </c>
      <c r="B9" s="467">
        <f>transport!B14</f>
        <v>1.9339317625747072</v>
      </c>
      <c r="C9" s="467">
        <f>transport!C14</f>
        <v>0</v>
      </c>
      <c r="D9" s="467">
        <f>transport!D14</f>
        <v>3.2101331376076794</v>
      </c>
      <c r="E9" s="467">
        <f>transport!E14</f>
        <v>98.156385012854344</v>
      </c>
      <c r="F9" s="467">
        <f>transport!F14</f>
        <v>0</v>
      </c>
      <c r="G9" s="467">
        <f>transport!G14</f>
        <v>26118.646349803847</v>
      </c>
      <c r="H9" s="467">
        <f>transport!H14</f>
        <v>4814.9401105069683</v>
      </c>
      <c r="I9" s="467">
        <f>transport!I14</f>
        <v>0</v>
      </c>
      <c r="J9" s="467">
        <f>transport!J14</f>
        <v>0</v>
      </c>
      <c r="K9" s="467">
        <f>transport!K14</f>
        <v>0</v>
      </c>
      <c r="L9" s="467">
        <f>transport!L14</f>
        <v>0</v>
      </c>
      <c r="M9" s="467">
        <f>transport!M14</f>
        <v>1384.3801091596945</v>
      </c>
      <c r="N9" s="467">
        <f>transport!N14</f>
        <v>0</v>
      </c>
      <c r="O9" s="467">
        <f>transport!O14</f>
        <v>0</v>
      </c>
      <c r="P9" s="467">
        <f>transport!P14</f>
        <v>0</v>
      </c>
      <c r="Q9" s="466">
        <f>SUM(B9:P9)</f>
        <v>32421.267019383547</v>
      </c>
    </row>
    <row r="10" spans="1:17">
      <c r="A10" s="462" t="s">
        <v>564</v>
      </c>
      <c r="B10" s="463">
        <f>transport!B54</f>
        <v>0</v>
      </c>
      <c r="C10" s="463">
        <f>transport!C54</f>
        <v>0</v>
      </c>
      <c r="D10" s="463">
        <f>transport!D54</f>
        <v>0</v>
      </c>
      <c r="E10" s="463">
        <f>transport!E54</f>
        <v>0</v>
      </c>
      <c r="F10" s="463">
        <f>transport!F54</f>
        <v>0</v>
      </c>
      <c r="G10" s="463">
        <f>transport!G54</f>
        <v>244.51167852399414</v>
      </c>
      <c r="H10" s="463">
        <f>transport!H54</f>
        <v>0</v>
      </c>
      <c r="I10" s="463">
        <f>transport!I54</f>
        <v>0</v>
      </c>
      <c r="J10" s="463">
        <f>transport!J54</f>
        <v>0</v>
      </c>
      <c r="K10" s="463">
        <f>transport!K54</f>
        <v>0</v>
      </c>
      <c r="L10" s="463">
        <f>transport!L54</f>
        <v>0</v>
      </c>
      <c r="M10" s="463">
        <f>transport!M54</f>
        <v>10.874032399081226</v>
      </c>
      <c r="N10" s="463">
        <f>transport!N54</f>
        <v>0</v>
      </c>
      <c r="O10" s="463">
        <f>transport!O54</f>
        <v>0</v>
      </c>
      <c r="P10" s="464">
        <f>transport!P54</f>
        <v>0</v>
      </c>
      <c r="Q10" s="462">
        <f t="shared" si="0"/>
        <v>255.38571092307535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22407.712100907989</v>
      </c>
      <c r="C14" s="473">
        <f t="shared" ref="C14:Q14" ca="1" si="1">SUM(C4:C13)</f>
        <v>0</v>
      </c>
      <c r="D14" s="473">
        <f t="shared" ca="1" si="1"/>
        <v>21239.223778655669</v>
      </c>
      <c r="E14" s="473">
        <f t="shared" si="1"/>
        <v>5050.6366379507008</v>
      </c>
      <c r="F14" s="473">
        <f t="shared" ca="1" si="1"/>
        <v>33705.336414189434</v>
      </c>
      <c r="G14" s="473">
        <f t="shared" si="1"/>
        <v>26363.158028327842</v>
      </c>
      <c r="H14" s="473">
        <f t="shared" si="1"/>
        <v>4814.9401105069683</v>
      </c>
      <c r="I14" s="473">
        <f t="shared" si="1"/>
        <v>0</v>
      </c>
      <c r="J14" s="473">
        <f t="shared" si="1"/>
        <v>4575.5044421970224</v>
      </c>
      <c r="K14" s="473">
        <f t="shared" si="1"/>
        <v>0</v>
      </c>
      <c r="L14" s="473">
        <f t="shared" ca="1" si="1"/>
        <v>0</v>
      </c>
      <c r="M14" s="473">
        <f t="shared" si="1"/>
        <v>1395.2541415587757</v>
      </c>
      <c r="N14" s="473">
        <f t="shared" ca="1" si="1"/>
        <v>10647.081328087279</v>
      </c>
      <c r="O14" s="473">
        <f t="shared" si="1"/>
        <v>139.13666666666666</v>
      </c>
      <c r="P14" s="474">
        <f t="shared" si="1"/>
        <v>419.46666666666664</v>
      </c>
      <c r="Q14" s="474">
        <f t="shared" ca="1" si="1"/>
        <v>130757.45031571502</v>
      </c>
    </row>
    <row r="16" spans="1:17">
      <c r="A16" s="476" t="s">
        <v>569</v>
      </c>
      <c r="B16" s="829">
        <f ca="1">huishoudens!B10</f>
        <v>0.19101074740718718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1656.8626098414175</v>
      </c>
      <c r="C21" s="463">
        <f t="shared" ref="C21:C30" ca="1" si="3">C4*$C$16</f>
        <v>0</v>
      </c>
      <c r="D21" s="463">
        <f t="shared" ref="D21:D30" si="4">D4*$D$16</f>
        <v>2772.2963127439734</v>
      </c>
      <c r="E21" s="463">
        <f t="shared" ref="E21:E30" si="5">E4*$E$16</f>
        <v>1054.4158967116994</v>
      </c>
      <c r="F21" s="463">
        <f t="shared" ref="F21:F30" si="6">F4*$F$16</f>
        <v>3410.2315317433049</v>
      </c>
      <c r="G21" s="463">
        <f t="shared" ref="G21:G30" si="7">G4*$G$16</f>
        <v>0</v>
      </c>
      <c r="H21" s="463">
        <f t="shared" ref="H21:H30" si="8">H4*$H$16</f>
        <v>0</v>
      </c>
      <c r="I21" s="463">
        <f t="shared" ref="I21:I30" si="9">I4*$I$16</f>
        <v>0</v>
      </c>
      <c r="J21" s="463">
        <f t="shared" ref="J21:J30" si="10">J4*$J$16</f>
        <v>1323.5261910723855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10217.332542112781</v>
      </c>
    </row>
    <row r="22" spans="1:17">
      <c r="A22" s="462" t="s">
        <v>156</v>
      </c>
      <c r="B22" s="463">
        <f t="shared" ca="1" si="2"/>
        <v>1040.6208359573529</v>
      </c>
      <c r="C22" s="463">
        <f t="shared" ca="1" si="3"/>
        <v>0</v>
      </c>
      <c r="D22" s="463">
        <f t="shared" ca="1" si="4"/>
        <v>1253.4475458815582</v>
      </c>
      <c r="E22" s="463">
        <f t="shared" si="5"/>
        <v>21.150135115165149</v>
      </c>
      <c r="F22" s="463">
        <f t="shared" ca="1" si="6"/>
        <v>307.20653398828313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2622.4250509423591</v>
      </c>
    </row>
    <row r="23" spans="1:17">
      <c r="A23" s="462" t="s">
        <v>194</v>
      </c>
      <c r="B23" s="463">
        <f t="shared" ca="1" si="2"/>
        <v>75.209717748590322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75.209717748590322</v>
      </c>
    </row>
    <row r="24" spans="1:17">
      <c r="A24" s="462" t="s">
        <v>112</v>
      </c>
      <c r="B24" s="463">
        <f t="shared" ca="1" si="2"/>
        <v>1058.9650977120596</v>
      </c>
      <c r="C24" s="463">
        <f t="shared" ca="1" si="3"/>
        <v>0</v>
      </c>
      <c r="D24" s="463">
        <f t="shared" si="4"/>
        <v>189.84561742509069</v>
      </c>
      <c r="E24" s="463">
        <f t="shared" si="5"/>
        <v>15.858592736471142</v>
      </c>
      <c r="F24" s="463">
        <f t="shared" si="6"/>
        <v>5107.2337264998678</v>
      </c>
      <c r="G24" s="463">
        <f t="shared" si="7"/>
        <v>0</v>
      </c>
      <c r="H24" s="463">
        <f t="shared" si="8"/>
        <v>0</v>
      </c>
      <c r="I24" s="463">
        <f t="shared" si="9"/>
        <v>0</v>
      </c>
      <c r="J24" s="463">
        <f t="shared" si="10"/>
        <v>295.14954262218993</v>
      </c>
      <c r="K24" s="463">
        <f t="shared" si="11"/>
        <v>0</v>
      </c>
      <c r="L24" s="463">
        <f t="shared" si="12"/>
        <v>0</v>
      </c>
      <c r="M24" s="463">
        <f t="shared" si="13"/>
        <v>0</v>
      </c>
      <c r="N24" s="463">
        <f t="shared" si="14"/>
        <v>0</v>
      </c>
      <c r="O24" s="463">
        <f t="shared" si="15"/>
        <v>0</v>
      </c>
      <c r="P24" s="464">
        <f t="shared" si="16"/>
        <v>0</v>
      </c>
      <c r="Q24" s="462">
        <f t="shared" ca="1" si="17"/>
        <v>6667.0525769956794</v>
      </c>
    </row>
    <row r="25" spans="1:17">
      <c r="A25" s="462" t="s">
        <v>657</v>
      </c>
      <c r="B25" s="463">
        <f t="shared" ca="1" si="2"/>
        <v>448.0861730686841</v>
      </c>
      <c r="C25" s="463">
        <f t="shared" ca="1" si="3"/>
        <v>0</v>
      </c>
      <c r="D25" s="463">
        <f t="shared" si="4"/>
        <v>74.0852803440266</v>
      </c>
      <c r="E25" s="463">
        <f t="shared" si="5"/>
        <v>32.788392853555258</v>
      </c>
      <c r="F25" s="463">
        <f t="shared" si="6"/>
        <v>174.65303035712432</v>
      </c>
      <c r="G25" s="463">
        <f t="shared" si="7"/>
        <v>0</v>
      </c>
      <c r="H25" s="463">
        <f t="shared" si="8"/>
        <v>0</v>
      </c>
      <c r="I25" s="463">
        <f t="shared" si="9"/>
        <v>0</v>
      </c>
      <c r="J25" s="463">
        <f t="shared" si="10"/>
        <v>1.0528388431705669</v>
      </c>
      <c r="K25" s="463">
        <f t="shared" si="11"/>
        <v>0</v>
      </c>
      <c r="L25" s="463">
        <f t="shared" si="12"/>
        <v>0</v>
      </c>
      <c r="M25" s="463">
        <f t="shared" si="13"/>
        <v>0</v>
      </c>
      <c r="N25" s="463">
        <f t="shared" si="14"/>
        <v>0</v>
      </c>
      <c r="O25" s="463">
        <f t="shared" si="15"/>
        <v>0</v>
      </c>
      <c r="P25" s="464">
        <f t="shared" si="16"/>
        <v>0</v>
      </c>
      <c r="Q25" s="462">
        <f t="shared" ca="1" si="17"/>
        <v>730.66571546656075</v>
      </c>
    </row>
    <row r="26" spans="1:17" s="468" customFormat="1">
      <c r="A26" s="466" t="s">
        <v>574</v>
      </c>
      <c r="B26" s="823">
        <f t="shared" ca="1" si="2"/>
        <v>0.3694017514038937</v>
      </c>
      <c r="C26" s="467">
        <f t="shared" ca="1" si="3"/>
        <v>0</v>
      </c>
      <c r="D26" s="467">
        <f t="shared" si="4"/>
        <v>0.64844689379675124</v>
      </c>
      <c r="E26" s="467">
        <f t="shared" si="5"/>
        <v>22.281499397917937</v>
      </c>
      <c r="F26" s="467">
        <f t="shared" si="6"/>
        <v>0</v>
      </c>
      <c r="G26" s="467">
        <f t="shared" si="7"/>
        <v>6973.6785753976274</v>
      </c>
      <c r="H26" s="467">
        <f t="shared" si="8"/>
        <v>1198.9200875162351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8195.898010956982</v>
      </c>
    </row>
    <row r="27" spans="1:17">
      <c r="A27" s="462" t="s">
        <v>564</v>
      </c>
      <c r="B27" s="463">
        <f t="shared" ca="1" si="2"/>
        <v>0</v>
      </c>
      <c r="C27" s="463">
        <f t="shared" ca="1" si="3"/>
        <v>0</v>
      </c>
      <c r="D27" s="463">
        <f t="shared" si="4"/>
        <v>0</v>
      </c>
      <c r="E27" s="463">
        <f t="shared" si="5"/>
        <v>0</v>
      </c>
      <c r="F27" s="463">
        <f t="shared" si="6"/>
        <v>0</v>
      </c>
      <c r="G27" s="463">
        <f t="shared" si="7"/>
        <v>65.284618165906437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65.284618165906437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4280.1138360795076</v>
      </c>
      <c r="C31" s="473">
        <f t="shared" ca="1" si="18"/>
        <v>0</v>
      </c>
      <c r="D31" s="473">
        <f t="shared" ca="1" si="18"/>
        <v>4290.3232032884462</v>
      </c>
      <c r="E31" s="473">
        <f t="shared" si="18"/>
        <v>1146.4945168148088</v>
      </c>
      <c r="F31" s="473">
        <f t="shared" ca="1" si="18"/>
        <v>8999.32482258858</v>
      </c>
      <c r="G31" s="473">
        <f t="shared" si="18"/>
        <v>7038.9631935635334</v>
      </c>
      <c r="H31" s="473">
        <f t="shared" si="18"/>
        <v>1198.9200875162351</v>
      </c>
      <c r="I31" s="473">
        <f t="shared" si="18"/>
        <v>0</v>
      </c>
      <c r="J31" s="473">
        <f t="shared" si="18"/>
        <v>1619.728572537746</v>
      </c>
      <c r="K31" s="473">
        <f t="shared" si="18"/>
        <v>0</v>
      </c>
      <c r="L31" s="473">
        <f t="shared" ca="1" si="18"/>
        <v>0</v>
      </c>
      <c r="M31" s="473">
        <f t="shared" si="18"/>
        <v>0</v>
      </c>
      <c r="N31" s="473">
        <f t="shared" ca="1" si="18"/>
        <v>0</v>
      </c>
      <c r="O31" s="473">
        <f t="shared" si="18"/>
        <v>0</v>
      </c>
      <c r="P31" s="474">
        <f t="shared" si="18"/>
        <v>0</v>
      </c>
      <c r="Q31" s="474">
        <f t="shared" ca="1" si="18"/>
        <v>28573.868232388857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0.19101074740718718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0.19101074740718718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0.19101074740718718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2018-06-27T09:31:31Z</dcterms:modified>
</cp:coreProperties>
</file>