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3" i="15" l="1"/>
  <c r="D6" i="17"/>
  <c r="D8" s="1"/>
  <c r="J15" i="16"/>
  <c r="F16"/>
  <c r="B8" i="9"/>
  <c r="C16" i="15"/>
  <c r="D10" i="14" s="1"/>
  <c r="I14" i="15"/>
  <c r="I16" s="1"/>
  <c r="J10" i="14" s="1"/>
  <c r="J15" s="1"/>
  <c r="B13" i="16"/>
  <c r="C35"/>
  <c r="E9" i="14"/>
  <c r="D14" i="15"/>
  <c r="P18" i="16"/>
  <c r="P22" s="1"/>
  <c r="Q39" i="14" s="1"/>
  <c r="L16" i="16"/>
  <c r="L18" s="1"/>
  <c r="N6" i="17"/>
  <c r="N5" s="1"/>
  <c r="K22" i="14"/>
  <c r="J8" i="17"/>
  <c r="J12" s="1"/>
  <c r="K48" i="14" s="1"/>
  <c r="N16" i="16"/>
  <c r="F8" i="17"/>
  <c r="G22" i="14" s="1"/>
  <c r="N13" i="15"/>
  <c r="L13"/>
  <c r="L16" s="1"/>
  <c r="D13"/>
  <c r="G6" i="22"/>
  <c r="G9"/>
  <c r="M6"/>
  <c r="M11"/>
  <c r="G11"/>
  <c r="G7"/>
  <c r="G8"/>
  <c r="M8"/>
  <c r="G10"/>
  <c r="M7"/>
  <c r="M10"/>
  <c r="M9"/>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E22"/>
  <c r="I20" i="15"/>
  <c r="J36" i="14" s="1"/>
  <c r="J41" s="1"/>
  <c r="J5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I7" i="18" l="1"/>
  <c r="J67" i="14" s="1"/>
  <c r="N7" i="48"/>
  <c r="N24" s="1"/>
  <c r="E7"/>
  <c r="E24" s="1"/>
  <c r="E12" i="17"/>
  <c r="F48" i="14" s="1"/>
  <c r="E13"/>
  <c r="G14" i="22"/>
  <c r="L7" i="48"/>
  <c r="L24" s="1"/>
  <c r="M22" i="14"/>
  <c r="R22" s="1"/>
  <c r="E16" i="15"/>
  <c r="E20" s="1"/>
  <c r="F36" i="14" s="1"/>
  <c r="D8" i="48"/>
  <c r="D25" s="1"/>
  <c r="O22" i="14"/>
  <c r="O22" i="16"/>
  <c r="P39" i="14" s="1"/>
  <c r="J16" i="15"/>
  <c r="K10" i="14" s="1"/>
  <c r="P41"/>
  <c r="P53" s="1"/>
  <c r="O8" i="48"/>
  <c r="O25" s="1"/>
  <c r="M10"/>
  <c r="M27" s="1"/>
  <c r="M58" i="22"/>
  <c r="N44" i="14" s="1"/>
  <c r="N18"/>
  <c r="R18" s="1"/>
  <c r="D18" i="22"/>
  <c r="E45" i="14" s="1"/>
  <c r="E46" s="1"/>
  <c r="C19"/>
  <c r="C20" s="1"/>
  <c r="J7" i="18"/>
  <c r="K67" i="14" s="1"/>
  <c r="K69" s="1"/>
  <c r="E9" i="18"/>
  <c r="J16"/>
  <c r="M16" s="1"/>
  <c r="M19" s="1"/>
  <c r="C9"/>
  <c r="I16"/>
  <c r="J78" i="14" s="1"/>
  <c r="E19" i="18"/>
  <c r="I78" i="14"/>
  <c r="H19" i="18"/>
  <c r="O67" i="14"/>
  <c r="E19"/>
  <c r="E20" s="1"/>
  <c r="E18" i="22"/>
  <c r="F45" i="14" s="1"/>
  <c r="F46" s="1"/>
  <c r="E9" i="48"/>
  <c r="E26" s="1"/>
  <c r="E10" i="14"/>
  <c r="E15" s="1"/>
  <c r="C14" i="48"/>
  <c r="D5"/>
  <c r="D22" s="1"/>
  <c r="I9" i="18"/>
  <c r="G58" i="22"/>
  <c r="H44" i="14" s="1"/>
  <c r="G10" i="48"/>
  <c r="G9"/>
  <c r="R17" i="14"/>
  <c r="Q13" i="48"/>
  <c r="I19" i="14"/>
  <c r="I20" s="1"/>
  <c r="I23" s="1"/>
  <c r="M18" i="22"/>
  <c r="N45" i="14" s="1"/>
  <c r="N46" s="1"/>
  <c r="N53" s="1"/>
  <c r="M9" i="48"/>
  <c r="N19" i="14"/>
  <c r="P14" i="48"/>
  <c r="B8"/>
  <c r="J5"/>
  <c r="J22" s="1"/>
  <c r="J20" i="15"/>
  <c r="K36" i="14" s="1"/>
  <c r="J55"/>
  <c r="L55"/>
  <c r="E36"/>
  <c r="E41" s="1"/>
  <c r="N20" i="15"/>
  <c r="O36" i="14" s="1"/>
  <c r="O10"/>
  <c r="L5" i="48"/>
  <c r="L22" s="1"/>
  <c r="L31"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E5" i="48" l="1"/>
  <c r="E22" s="1"/>
  <c r="B22" i="6"/>
  <c r="C10" i="13" s="1"/>
  <c r="C16" i="48" s="1"/>
  <c r="C30" s="1"/>
  <c r="J9" i="18"/>
  <c r="M7"/>
  <c r="M9" s="1"/>
  <c r="Q7" i="48"/>
  <c r="F10" i="14"/>
  <c r="R10" s="1"/>
  <c r="O31" i="48"/>
  <c r="D3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8" i="15"/>
  <c r="C20" s="1"/>
  <c r="D36" i="14" s="1"/>
  <c r="C20" i="16"/>
  <c r="C22" s="1"/>
  <c r="D39" i="14" s="1"/>
  <c r="C17" i="19"/>
  <c r="C19" s="1"/>
  <c r="D35" i="14" s="1"/>
  <c r="F22" i="16"/>
  <c r="G39" i="14" s="1"/>
  <c r="G41" s="1"/>
  <c r="N22" i="16"/>
  <c r="O39" i="14" s="1"/>
  <c r="O41" s="1"/>
  <c r="Q4" i="48"/>
  <c r="N22"/>
  <c r="R11" i="14"/>
  <c r="J21" i="48"/>
  <c r="C29" i="20" l="1"/>
  <c r="C56" i="22"/>
  <c r="C58" s="1"/>
  <c r="D44" i="14" s="1"/>
  <c r="D46" s="1"/>
  <c r="C10" i="17"/>
  <c r="C12" s="1"/>
  <c r="D48" i="14" s="1"/>
  <c r="F8" i="48"/>
  <c r="Q8" s="1"/>
  <c r="Q14" s="1"/>
  <c r="C17" i="49"/>
  <c r="Q5" i="48"/>
  <c r="C16" i="22"/>
  <c r="O13" i="14"/>
  <c r="O15" s="1"/>
  <c r="F13"/>
  <c r="F15" s="1"/>
  <c r="F23" s="1"/>
  <c r="F55" s="1"/>
  <c r="K13"/>
  <c r="K15" s="1"/>
  <c r="K23" s="1"/>
  <c r="N25" i="48"/>
  <c r="N31" s="1"/>
  <c r="N14"/>
  <c r="E25"/>
  <c r="E31" s="1"/>
  <c r="E14"/>
  <c r="H55" i="14"/>
  <c r="E55"/>
  <c r="C78"/>
  <c r="C81" s="1"/>
  <c r="J14" i="48"/>
  <c r="J31"/>
  <c r="R19" i="14"/>
  <c r="R20" s="1"/>
  <c r="H14" i="48"/>
  <c r="G31"/>
  <c r="H26"/>
  <c r="H31" s="1"/>
  <c r="O53" i="14"/>
  <c r="G53"/>
  <c r="G55" s="1"/>
  <c r="O69" s="1"/>
  <c r="B9" i="6" s="1"/>
  <c r="B12" s="1"/>
  <c r="M53" i="14"/>
  <c r="M55" s="1"/>
  <c r="C12" i="13"/>
  <c r="D37" i="14" s="1"/>
  <c r="D41" s="1"/>
  <c r="C23" i="48"/>
  <c r="C24"/>
  <c r="C27"/>
  <c r="C28"/>
  <c r="C22"/>
  <c r="C25"/>
  <c r="C29"/>
  <c r="C21"/>
  <c r="C26"/>
  <c r="K55" i="14"/>
  <c r="F25" i="48"/>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<sst xmlns="http://schemas.openxmlformats.org/spreadsheetml/2006/main" count="2015" uniqueCount="868">
  <si>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</si>
  <si>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</si>
  <si>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</si>
  <si>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</si>
  <si>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</si>
  <si>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</si>
  <si>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</si>
  <si>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</si>
  <si>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</si>
  <si>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</si>
  <si>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</si>
  <si>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</si>
  <si>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</si>
  <si>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</si>
  <si>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</si>
  <si>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</si>
  <si>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</si>
  <si>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</si>
  <si>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</si>
  <si>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</si>
  <si>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</si>
  <si>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</si>
  <si>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</si>
  <si>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</si>
  <si>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</si>
  <si>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</si>
  <si>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</si>
  <si>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</si>
  <si>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</si>
  <si>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</si>
  <si>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</si>
  <si>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</si>
  <si>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</si>
  <si>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</si>
  <si>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</si>
  <si>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</si>
  <si>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</si>
  <si>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</si>
  <si>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</si>
  <si>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</si>
  <si>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</si>
  <si>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</si>
  <si>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</si>
  <si>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</si>
  <si>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</si>
  <si>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</si>
  <si>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</si>
  <si>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</si>
  <si>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</si>
  <si>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</si>
  <si>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</si>
  <si>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</si>
  <si>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</si>
  <si>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</si>
  <si>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</si>
  <si>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</si>
  <si>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</si>
  <si>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</si>
  <si>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</si>
  <si>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</si>
  <si>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</si>
  <si>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</si>
  <si>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</si>
  <si>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</si>
  <si>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</si>
  <si>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</si>
  <si>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</si>
  <si>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</si>
  <si>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</si>
  <si>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</si>
  <si>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</si>
  <si>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</si>
  <si>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</si>
  <si>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</si>
  <si>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</si>
  <si>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</si>
  <si>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</si>
  <si>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</si>
  <si>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</si>
  <si>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</si>
  <si>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</si>
  <si>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</si>
  <si>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</si>
  <si>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</si>
  <si>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</si>
  <si>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</si>
  <si>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</si>
  <si>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</si>
  <si>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</si>
  <si>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</si>
  <si>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</si>
  <si>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</si>
  <si>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</si>
  <si>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</si>
  <si>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</si>
  <si>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</si>
  <si>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</si>
  <si>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</si>
  <si>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</si>
  <si>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</si>
  <si>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</si>
  <si>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</si>
  <si>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</si>
  <si>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</si>
  <si>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</si>
  <si>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</si>
  <si>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</si>
  <si>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</si>
  <si>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</si>
  <si>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</si>
  <si>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</si>
  <si>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</si>
  <si>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</si>
  <si>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</si>
  <si>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</si>
  <si>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</si>
  <si>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</si>
  <si>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</si>
  <si>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</si>
  <si>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</si>
  <si>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</si>
  <si>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</si>
  <si>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</si>
  <si>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</si>
  <si>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</si>
  <si>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</si>
  <si>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</si>
  <si>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</si>
  <si>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</si>
  <si>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</si>
  <si>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</si>
  <si>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</si>
  <si>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</si>
  <si>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</si>
  <si>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</si>
  <si>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</si>
  <si>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</si>
  <si>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</si>
  <si>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</si>
  <si>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</si>
  <si>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</si>
  <si>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</si>
  <si>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</si>
  <si>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</si>
  <si>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</si>
  <si>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</si>
  <si>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</si>
  <si>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</si>
  <si>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</si>
  <si>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</si>
  <si>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</si>
  <si>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</si>
  <si>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</si>
  <si>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</si>
  <si>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</si>
  <si>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</si>
  <si>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</si>
  <si>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</si>
  <si>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</si>
  <si>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</si>
  <si>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</si>
  <si>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</si>
  <si>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</si>
  <si>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</si>
  <si>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</si>
  <si>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</si>
  <si>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</si>
  <si>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</si>
  <si>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</si>
  <si>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</si>
  <si>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</si>
  <si>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</si>
  <si>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</si>
  <si>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</si>
  <si>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</si>
  <si>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</si>
  <si>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</si>
  <si>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</si>
  <si>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</si>
  <si>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</si>
  <si>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</si>
  <si>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</si>
  <si>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</si>
  <si>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</si>
  <si>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</si>
  <si>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</si>
  <si>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</si>
  <si>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</si>
  <si>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</si>
  <si>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</si>
  <si>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</si>
  <si>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</si>
  <si>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</si>
  <si>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</si>
  <si>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</si>
  <si>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</si>
  <si>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</si>
  <si>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</si>
  <si>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</si>
  <si>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</si>
  <si>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</si>
  <si>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</si>
  <si>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</si>
  <si>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</si>
  <si>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</si>
  <si>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</si>
  <si>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</si>
  <si>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</si>
  <si>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</si>
  <si>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</si>
  <si>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</si>
  <si>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</si>
  <si>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</si>
  <si>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</si>
  <si>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</si>
  <si>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</si>
  <si>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</si>
  <si>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</si>
  <si>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</si>
  <si>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</si>
  <si>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</si>
  <si>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</si>
  <si>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</si>
  <si>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</si>
  <si>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</si>
  <si>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</si>
  <si>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</si>
  <si>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</si>
  <si>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</si>
  <si>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</si>
  <si>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</si>
  <si>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</si>
  <si>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</si>
  <si>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</si>
  <si>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</si>
  <si>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</si>
  <si>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</si>
  <si>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</si>
  <si>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</si>
  <si>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</si>
  <si>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</si>
  <si>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</si>
  <si>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</si>
  <si>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</si>
  <si>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</si>
  <si>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</si>
  <si>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</si>
  <si>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</si>
  <si>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</si>
  <si>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</si>
  <si>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</si>
  <si>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</si>
  <si>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</si>
  <si>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</si>
  <si>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</si>
  <si>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</si>
  <si>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</si>
  <si>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</si>
  <si>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</si>
  <si>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</si>
  <si>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</si>
  <si>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</si>
  <si>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</si>
  <si>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</si>
  <si>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</si>
  <si>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</si>
  <si>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</si>
  <si>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</si>
  <si>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</si>
  <si>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</si>
  <si>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</si>
  <si>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</si>
  <si>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</si>
  <si>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</si>
  <si>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</si>
  <si>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</si>
  <si>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</si>
  <si>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</si>
  <si>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</si>
  <si>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</si>
  <si>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</si>
  <si>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</si>
  <si>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</si>
  <si>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</si>
  <si>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</si>
  <si>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</si>
  <si>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</si>
  <si>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</si>
  <si>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</si>
  <si>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</si>
  <si>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</si>
  <si>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</si>
  <si>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</si>
  <si>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</si>
  <si>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</si>
  <si>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</si>
  <si>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</si>
  <si>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</si>
  <si>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</si>
  <si>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</si>
  <si>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</si>
  <si>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</si>
  <si>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</si>
  <si>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</si>
  <si>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</si>
  <si>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</si>
  <si>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</si>
  <si>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</si>
  <si>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</si>
  <si>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</si>
  <si>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</si>
  <si>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</si>
  <si>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</si>
  <si>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</si>
  <si>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</si>
  <si>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</si>
  <si>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</si>
  <si>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</si>
  <si>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</si>
  <si>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</si>
  <si>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</si>
  <si>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</si>
  <si>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</si>
  <si>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</si>
  <si>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</si>
  <si>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</si>
  <si>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</si>
  <si>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</si>
  <si>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</si>
  <si>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</si>
  <si>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</si>
  <si>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</si>
  <si>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</si>
  <si>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</si>
  <si>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</si>
  <si>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</si>
  <si>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</si>
  <si>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</si>
  <si>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</si>
  <si>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</si>
  <si>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</si>
  <si>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</si>
  <si>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</si>
  <si>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</si>
  <si>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</si>
  <si>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</si>
  <si>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</si>
  <si>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</si>
  <si>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</si>
  <si>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</si>
  <si>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</si>
  <si>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</si>
  <si>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</si>
  <si>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</si>
  <si>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</si>
  <si>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</si>
  <si>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</si>
  <si>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</si>
  <si>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</si>
  <si>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</si>
  <si>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</si>
  <si>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</si>
  <si>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</si>
  <si>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</si>
  <si>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</si>
  <si>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</si>
  <si>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</si>
  <si>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</si>
  <si>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</si>
  <si>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</si>
  <si>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</si>
  <si>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</si>
  <si>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</si>
  <si>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</si>
  <si>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</si>
  <si>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</si>
  <si>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</si>
  <si>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</si>
  <si>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</si>
  <si>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</si>
  <si>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</si>
  <si>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</si>
  <si>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</si>
  <si>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</si>
  <si>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</si>
  <si>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</si>
  <si>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</si>
  <si>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</si>
  <si>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</si>
  <si>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</si>
  <si>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</si>
  <si>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</si>
  <si>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</si>
  <si>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</si>
  <si>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</si>
  <si>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</si>
  <si>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</si>
  <si>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</si>
  <si>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</si>
  <si>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</si>
  <si>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</si>
  <si>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</si>
  <si>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</si>
  <si>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</si>
  <si>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</si>
  <si>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</si>
  <si>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</si>
  <si>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</si>
  <si>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</si>
  <si>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</si>
  <si>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</si>
  <si>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</si>
  <si>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</si>
  <si>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</si>
  <si>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</si>
  <si>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</si>
  <si>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</si>
  <si>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</si>
  <si>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</si>
  <si>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</si>
  <si>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</si>
  <si>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</si>
  <si>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</si>
  <si>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</si>
  <si>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</si>
  <si>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</si>
  <si>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</si>
  <si>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</si>
  <si>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</si>
  <si>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</si>
  <si>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</si>
  <si>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</si>
  <si>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</si>
  <si>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</si>
  <si>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</si>
  <si>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</si>
  <si>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</si>
  <si>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</si>
  <si>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</si>
  <si>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</si>
  <si>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</si>
  <si>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</si>
  <si>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</si>
  <si>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</si>
  <si>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</si>
  <si>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</si>
  <si>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</si>
  <si>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</si>
  <si>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</si>
  <si>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</si>
  <si>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</si>
  <si>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</si>
  <si>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</si>
  <si>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</si>
  <si>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</si>
  <si>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</si>
  <si>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</si>
  <si>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</si>
  <si>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</si>
  <si>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</si>
  <si>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</si>
  <si>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</si>
  <si>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</si>
  <si>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</si>
  <si>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</si>
  <si>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</si>
  <si>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</si>
  <si>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</si>
  <si>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</si>
  <si>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</si>
  <si>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</si>
  <si>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</si>
  <si>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</si>
  <si>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</si>
  <si>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</si>
  <si>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</si>
  <si>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</si>
  <si>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</si>
  <si>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</si>
  <si>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</si>
  <si>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</si>
  <si>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</si>
  <si>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</si>
  <si>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</si>
  <si>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</si>
  <si>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</si>
  <si>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</si>
  <si>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</si>
  <si>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</si>
  <si>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</si>
  <si>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</si>
  <si>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</si>
  <si>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</si>
  <si>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</si>
  <si>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</si>
  <si>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</si>
  <si>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</si>
  <si>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</si>
  <si>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</si>
  <si>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</si>
  <si>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</si>
  <si>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</si>
  <si>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</si>
  <si>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</si>
  <si>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</si>
  <si>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</si>
  <si>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</si>
  <si>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</si>
  <si>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</si>
  <si>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</si>
  <si>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</si>
  <si>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</si>
  <si>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</si>
  <si>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</si>
  <si>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</si>
  <si>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</si>
  <si>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</si>
  <si>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</si>
  <si>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</si>
  <si>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</si>
  <si>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</si>
  <si>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</si>
  <si>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</si>
  <si>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</si>
  <si>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</si>
  <si>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</si>
  <si>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</si>
  <si>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</si>
  <si>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</si>
  <si>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</si>
  <si>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</si>
  <si>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</si>
  <si>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</si>
  <si>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</si>
  <si>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</si>
  <si>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</si>
  <si>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</si>
  <si>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</si>
  <si>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</si>
  <si>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</si>
  <si>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</si>
  <si>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</si>
  <si>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</si>
  <si>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</si>
  <si>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</si>
  <si>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</si>
  <si>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</si>
  <si>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</si>
  <si>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</si>
  <si>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</si>
  <si>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</si>
  <si>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</si>
  <si>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</si>
  <si>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</si>
  <si>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</si>
  <si>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</si>
  <si>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</si>
  <si>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</si>
  <si>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</si>
  <si>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</si>
  <si>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</si>
  <si>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</si>
  <si>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</si>
  <si>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</si>
  <si>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</si>
  <si>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</si>
  <si>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</si>
  <si>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</si>
  <si>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</si>
  <si>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</si>
  <si>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</si>
  <si>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</si>
  <si>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</si>
  <si>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</si>
  <si>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</si>
  <si>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</si>
  <si>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</si>
  <si>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</si>
  <si>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</si>
  <si>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</si>
  <si>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</si>
  <si>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</si>
  <si>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</si>
  <si>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</si>
  <si>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</si>
  <si>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</si>
  <si>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</si>
  <si>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</si>
  <si>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</si>
  <si>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</si>
  <si>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</si>
  <si>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</si>
  <si>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</si>
  <si>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</si>
  <si>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</si>
  <si>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</si>
  <si>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</si>
  <si>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</si>
  <si>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</si>
  <si>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</si>
  <si>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</si>
  <si>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</si>
  <si>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</si>
  <si>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</si>
  <si>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</si>
  <si>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</si>
  <si>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</si>
  <si>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</si>
  <si>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</si>
  <si>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</si>
  <si>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</si>
  <si>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</si>
  <si>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</si>
  <si>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</si>
  <si>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</si>
  <si>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</si>
  <si>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</si>
  <si>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</si>
  <si>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</si>
  <si>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</si>
  <si>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</si>
  <si>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</si>
  <si>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</si>
  <si>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</si>
  <si>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</si>
  <si>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</si>
  <si>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</si>
  <si>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</si>
  <si>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</si>
  <si>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</si>
  <si>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</si>
  <si>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</si>
  <si>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</si>
  <si>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</si>
  <si>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</si>
  <si>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</si>
  <si>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</si>
  <si>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</si>
  <si>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</si>
  <si>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</si>
  <si>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</si>
  <si>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</si>
  <si>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</si>
  <si>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</si>
  <si>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</si>
  <si>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</si>
  <si>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</si>
  <si>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</si>
  <si>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</si>
  <si>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</si>
  <si>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</si>
  <si>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</si>
  <si>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</si>
  <si>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</si>
  <si>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</si>
  <si>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</si>
  <si>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</si>
  <si>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</si>
  <si>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</si>
  <si>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</si>
  <si>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</si>
  <si>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</si>
  <si>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</si>
  <si>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</si>
  <si>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</si>
  <si>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</si>
  <si>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</si>
  <si>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</si>
  <si>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</si>
  <si>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</si>
  <si>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</si>
  <si>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</si>
  <si>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</si>
  <si>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</si>
  <si>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</si>
  <si>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</si>
  <si>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</si>
  <si>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</si>
  <si>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</si>
  <si>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</si>
  <si>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</si>
  <si>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</si>
  <si>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</si>
  <si>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</si>
  <si>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</si>
  <si>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</si>
  <si>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</si>
  <si>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</si>
  <si>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</si>
  <si>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</si>
  <si>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</si>
  <si>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</si>
  <si>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</si>
  <si>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</si>
  <si>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</si>
  <si>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</si>
  <si>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</si>
  <si>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</si>
  <si>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</si>
  <si>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</si>
  <si>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</si>
  <si>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</si>
  <si>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</si>
  <si>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</si>
  <si>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</si>
  <si>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</si>
  <si>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</si>
  <si>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</si>
  <si>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</si>
  <si>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</si>
  <si>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</si>
  <si>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</si>
  <si>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</si>
  <si>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</si>
  <si>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</si>
  <si>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</si>
  <si>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</si>
  <si>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</si>
  <si>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</si>
  <si>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</si>
  <si>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</si>
  <si>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</si>
  <si>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</si>
  <si>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</si>
  <si>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</si>
  <si>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</si>
  <si>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</si>
  <si>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</si>
  <si>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</si>
  <si>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</si>
  <si>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</si>
  <si>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</si>
  <si>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</si>
  <si>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</si>
  <si>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</si>
  <si>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</si>
  <si>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</si>
  <si>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</si>
  <si>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</si>
  <si>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</si>
  <si>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</si>
  <si>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</si>
  <si>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</si>
  <si>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</si>
  <si>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</si>
  <si>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</si>
  <si>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</si>
  <si>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</si>
  <si>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</si>
  <si>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</si>
  <si>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</si>
  <si>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</si>
  <si>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</si>
  <si>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</si>
  <si>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</si>
  <si>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</si>
  <si>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</si>
  <si>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</si>
  <si>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</si>
  <si>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</si>
  <si>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</si>
  <si>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</si>
  <si>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</si>
  <si>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</si>
  <si>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</si>
  <si>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</si>
  <si>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</si>
  <si>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</si>
  <si>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</si>
  <si>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</si>
  <si>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</si>
  <si>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</si>
  <si>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</si>
  <si>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</si>
  <si>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</si>
  <si>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</si>
  <si>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</si>
  <si>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</si>
  <si>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</si>
  <si>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</si>
  <si>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</si>
  <si>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</si>
  <si>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</si>
  <si>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</si>
  <si>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</si>
  <si>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</si>
  <si>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</si>
  <si>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</si>
  <si>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</si>
  <si>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</si>
  <si>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</si>
  <si>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</si>
  <si>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</si>
  <si>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</si>
  <si>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</si>
  <si>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</si>
  <si>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</si>
  <si>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</si>
  <si>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</si>
  <si>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</si>
  <si>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</si>
  <si>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</si>
  <si>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</si>
  <si>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</si>
  <si>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</si>
  <si>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</si>
  <si>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</si>
  <si>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</si>
  <si>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</si>
  <si>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</si>
  <si>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</si>
  <si>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</si>
  <si>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</si>
  <si>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</si>
  <si>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</si>
  <si>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</si>
  <si>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</si>
  <si>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</si>
  <si>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</si>
  <si>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</si>
  <si>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</si>
  <si>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</si>
  <si>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</si>
  <si>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</si>
  <si>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</si>
  <si>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</si>
  <si>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</si>
  <si>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</si>
  <si>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</si>
  <si>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</si>
  <si>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</si>
  <si>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</si>
  <si>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</si>
  <si>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36015</t>
  </si>
  <si>
    <t>ROESELARE</t>
  </si>
  <si>
    <t>Cultuurgrond (ha)</t>
  </si>
  <si>
    <t>Paarden&amp;pony's 200 - 600 kg</t>
  </si>
  <si>
    <t>Paarden&amp;pony's &lt; 200 kg</t>
  </si>
  <si>
    <t>op basis van VEA (maart 2018) en Inventaris Hernieuwbare Energiebronnen (juni 2018)</t>
  </si>
  <si>
    <t>VEA (juni 2018)</t>
  </si>
  <si>
    <t>Agrikracht nv</t>
  </si>
  <si>
    <t>Dulle-Grietlaan 17/9, 9050 Gentbrugge</t>
  </si>
  <si>
    <t>WKK-0134 Agrikracht</t>
  </si>
  <si>
    <t>interne verbrandingsmotor</t>
  </si>
  <si>
    <t>WKK interne verbrandinsgmotor (gas)</t>
  </si>
  <si>
    <t>Galgestraat 16, 8800 Rumbeke</t>
  </si>
  <si>
    <t>GASELWEST</t>
  </si>
  <si>
    <t>Shanks Vlaanderen nv</t>
  </si>
  <si>
    <t>Regenbeekstraat 7c , 8800 Roeselare</t>
  </si>
  <si>
    <t>WKK-0211 Shanks Vlaanderen nv</t>
  </si>
  <si>
    <t>Depovan nv</t>
  </si>
  <si>
    <t>Moorseelsesteenweg 32 , 8800 Rumbeke</t>
  </si>
  <si>
    <t>WKK-0197 Depovan NV</t>
  </si>
  <si>
    <t>REO Veiling</t>
  </si>
  <si>
    <t>Oostnieuwkerksesteenweg 101 , 8800 Roeselare</t>
  </si>
  <si>
    <t>WKK-0274 Reo Veling</t>
  </si>
  <si>
    <t>Provincie West-Vlaanderen</t>
  </si>
  <si>
    <t>Koning Leopold III laan 41, 8800 Rumbeke</t>
  </si>
  <si>
    <t>BGS-0053 Beitem-agr.verg</t>
  </si>
  <si>
    <t>biogas - hoofdzakelijk agrarische stromen</t>
  </si>
  <si>
    <t>niet WKK interne verbrandingsmotor (gas)</t>
  </si>
  <si>
    <t>Ieperseweg 87 , 8800 Roeselare</t>
  </si>
  <si>
    <t>Gaselwest</t>
  </si>
  <si>
    <t>Mandel Eneco Energie in faling</t>
  </si>
  <si>
    <t>Zandvoortstraat C47 11, 2800 Mechelen</t>
  </si>
  <si>
    <t>BGS-0072 Mandel Eneco biogas</t>
  </si>
  <si>
    <t>biogas - overig</t>
  </si>
  <si>
    <t>Regenbeekstraat 11 , 8800 Roeselare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</si>
</sst>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467268.07315716671</c:v>
                </c:pt>
                <c:pt idx="1">
                  <c:v>440310.58509071072</c:v>
                </c:pt>
                <c:pt idx="2">
                  <c:v>5955.0959999999995</c:v>
                </c:pt>
                <c:pt idx="3">
                  <c:v>105261.47475328983</c:v>
                </c:pt>
                <c:pt idx="4">
                  <c:v>728493.26125796908</c:v>
                </c:pt>
                <c:pt idx="5">
                  <c:v>277866.77196180489</c:v>
                </c:pt>
                <c:pt idx="6">
                  <c:v>5325.8907783971035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4880"/>
        <c:axId val="182396416"/>
      </c:barChart>
      <c:catAx>
        <c:axId val="182394880"/>
        <c:scaling>
          <c:orientation val="minMax"/>
        </c:scaling>
        <c:axPos val="b"/>
        <c:numFmt formatCode="General" sourceLinked="0"/>
        <c:tickLblPos val="nextTo"/>
        <c:crossAx val="182396416"/>
        <c:crosses val="autoZero"/>
        <c:auto val="1"/>
        <c:lblAlgn val="ctr"/>
        <c:lblOffset val="100"/>
      </c:catAx>
      <c:valAx>
        <c:axId val="182396416"/>
        <c:scaling>
          <c:orientation val="minMax"/>
        </c:scaling>
        <c:axPos val="l"/>
        <c:majorGridlines/>
        <c:numFmt formatCode="#,##0" sourceLinked="1"/>
        <c:tickLblPos val="nextTo"/>
        <c:crossAx val="1823948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467268.07315716671</c:v>
                </c:pt>
                <c:pt idx="1">
                  <c:v>440310.58509071072</c:v>
                </c:pt>
                <c:pt idx="2">
                  <c:v>5955.0959999999995</c:v>
                </c:pt>
                <c:pt idx="3">
                  <c:v>105261.47475328983</c:v>
                </c:pt>
                <c:pt idx="4">
                  <c:v>728493.26125796908</c:v>
                </c:pt>
                <c:pt idx="5">
                  <c:v>277866.77196180489</c:v>
                </c:pt>
                <c:pt idx="6">
                  <c:v>5325.8907783971035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82923.71687316001</c:v>
                </c:pt>
                <c:pt idx="1">
                  <c:v>83420.797103871417</c:v>
                </c:pt>
                <c:pt idx="2">
                  <c:v>1162.0302227218547</c:v>
                </c:pt>
                <c:pt idx="3">
                  <c:v>25730.592553181745</c:v>
                </c:pt>
                <c:pt idx="4">
                  <c:v>138520.39331597456</c:v>
                </c:pt>
                <c:pt idx="5">
                  <c:v>70313.858282395566</c:v>
                </c:pt>
                <c:pt idx="6">
                  <c:v>1361.4651524716953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91776"/>
        <c:axId val="182501760"/>
      </c:barChart>
      <c:catAx>
        <c:axId val="182491776"/>
        <c:scaling>
          <c:orientation val="minMax"/>
        </c:scaling>
        <c:axPos val="b"/>
        <c:numFmt formatCode="General" sourceLinked="0"/>
        <c:tickLblPos val="nextTo"/>
        <c:crossAx val="182501760"/>
        <c:crosses val="autoZero"/>
        <c:auto val="1"/>
        <c:lblAlgn val="ctr"/>
        <c:lblOffset val="100"/>
      </c:catAx>
      <c:valAx>
        <c:axId val="182501760"/>
        <c:scaling>
          <c:orientation val="minMax"/>
        </c:scaling>
        <c:axPos val="l"/>
        <c:majorGridlines/>
        <c:numFmt formatCode="#,##0" sourceLinked="1"/>
        <c:tickLblPos val="nextTo"/>
        <c:crossAx val="1824917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82923.71687316001</c:v>
                </c:pt>
                <c:pt idx="1">
                  <c:v>83420.797103871417</c:v>
                </c:pt>
                <c:pt idx="2">
                  <c:v>1162.0302227218547</c:v>
                </c:pt>
                <c:pt idx="3">
                  <c:v>25730.592553181745</c:v>
                </c:pt>
                <c:pt idx="4">
                  <c:v>138520.39331597456</c:v>
                </c:pt>
                <c:pt idx="5">
                  <c:v>70313.858282395566</c:v>
                </c:pt>
                <c:pt idx="6">
                  <c:v>1361.4651524716953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36015</v>
      </c>
      <c r="B6" s="398"/>
      <c r="C6" s="399"/>
    </row>
    <row r="7" spans="1:7" s="396" customFormat="1" ht="15.75" customHeight="1">
      <c r="A7" s="400" t="str">
        <f>txtMunicipality</f>
        <v>ROESELARE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36015</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25353</v>
      </c>
      <c r="C9" s="338">
        <v>26419</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2467</v>
      </c>
    </row>
    <row r="15" spans="1:6">
      <c r="A15" s="1212" t="s">
        <v>184</v>
      </c>
      <c r="B15" s="335">
        <v>17</v>
      </c>
    </row>
    <row r="16" spans="1:6">
      <c r="A16" s="1212" t="s">
        <v>6</v>
      </c>
      <c r="B16" s="335">
        <v>438</v>
      </c>
    </row>
    <row r="17" spans="1:6">
      <c r="A17" s="1212" t="s">
        <v>7</v>
      </c>
      <c r="B17" s="335">
        <v>468</v>
      </c>
    </row>
    <row r="18" spans="1:6">
      <c r="A18" s="1212" t="s">
        <v>8</v>
      </c>
      <c r="B18" s="335">
        <v>641</v>
      </c>
    </row>
    <row r="19" spans="1:6">
      <c r="A19" s="1212" t="s">
        <v>9</v>
      </c>
      <c r="B19" s="335">
        <v>862</v>
      </c>
    </row>
    <row r="20" spans="1:6">
      <c r="A20" s="1212" t="s">
        <v>10</v>
      </c>
      <c r="B20" s="335">
        <v>401</v>
      </c>
    </row>
    <row r="21" spans="1:6">
      <c r="A21" s="1212" t="s">
        <v>11</v>
      </c>
      <c r="B21" s="335">
        <v>16190</v>
      </c>
    </row>
    <row r="22" spans="1:6">
      <c r="A22" s="1212" t="s">
        <v>12</v>
      </c>
      <c r="B22" s="335">
        <v>34006</v>
      </c>
    </row>
    <row r="23" spans="1:6">
      <c r="A23" s="1212" t="s">
        <v>13</v>
      </c>
      <c r="B23" s="335">
        <v>633</v>
      </c>
    </row>
    <row r="24" spans="1:6">
      <c r="A24" s="1212" t="s">
        <v>14</v>
      </c>
      <c r="B24" s="335">
        <v>79</v>
      </c>
    </row>
    <row r="25" spans="1:6">
      <c r="A25" s="1212" t="s">
        <v>15</v>
      </c>
      <c r="B25" s="335">
        <v>4166</v>
      </c>
    </row>
    <row r="26" spans="1:6">
      <c r="A26" s="1212" t="s">
        <v>16</v>
      </c>
      <c r="B26" s="335">
        <v>601</v>
      </c>
    </row>
    <row r="27" spans="1:6">
      <c r="A27" s="1212" t="s">
        <v>17</v>
      </c>
      <c r="B27" s="335">
        <v>19</v>
      </c>
    </row>
    <row r="28" spans="1:6" s="341" customFormat="1">
      <c r="A28" s="1213" t="s">
        <v>18</v>
      </c>
      <c r="B28" s="1213">
        <v>99917</v>
      </c>
    </row>
    <row r="29" spans="1:6">
      <c r="A29" s="1213" t="s">
        <v>836</v>
      </c>
      <c r="B29" s="1213">
        <v>64</v>
      </c>
      <c r="C29" s="341"/>
      <c r="D29" s="341"/>
      <c r="E29" s="341"/>
      <c r="F29" s="341"/>
    </row>
    <row r="30" spans="1:6">
      <c r="A30" s="1208" t="s">
        <v>837</v>
      </c>
      <c r="B30" s="1208">
        <v>12</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9</v>
      </c>
      <c r="D36" s="335">
        <v>1242167.5371268301</v>
      </c>
      <c r="E36" s="335">
        <v>18</v>
      </c>
      <c r="F36" s="335">
        <v>380891.77164051501</v>
      </c>
    </row>
    <row r="37" spans="1:6">
      <c r="A37" s="1212" t="s">
        <v>25</v>
      </c>
      <c r="B37" s="1212" t="s">
        <v>28</v>
      </c>
      <c r="C37" s="335">
        <v>0</v>
      </c>
      <c r="D37" s="335">
        <v>0</v>
      </c>
      <c r="E37" s="335">
        <v>0</v>
      </c>
      <c r="F37" s="335">
        <v>0</v>
      </c>
    </row>
    <row r="38" spans="1:6">
      <c r="A38" s="1212" t="s">
        <v>25</v>
      </c>
      <c r="B38" s="1212" t="s">
        <v>29</v>
      </c>
      <c r="C38" s="335">
        <v>2</v>
      </c>
      <c r="D38" s="335">
        <v>31087.208519603999</v>
      </c>
      <c r="E38" s="335">
        <v>1</v>
      </c>
      <c r="F38" s="335">
        <v>14656.6445114626</v>
      </c>
    </row>
    <row r="39" spans="1:6">
      <c r="A39" s="1212" t="s">
        <v>30</v>
      </c>
      <c r="B39" s="1212" t="s">
        <v>31</v>
      </c>
      <c r="C39" s="335">
        <v>20201</v>
      </c>
      <c r="D39" s="335">
        <v>337835997.71420801</v>
      </c>
      <c r="E39" s="335">
        <v>24576</v>
      </c>
      <c r="F39" s="335">
        <v>86496821.227995604</v>
      </c>
    </row>
    <row r="40" spans="1:6">
      <c r="A40" s="1212" t="s">
        <v>30</v>
      </c>
      <c r="B40" s="1212" t="s">
        <v>29</v>
      </c>
      <c r="C40" s="335">
        <v>0</v>
      </c>
      <c r="D40" s="335">
        <v>0</v>
      </c>
      <c r="E40" s="335">
        <v>2</v>
      </c>
      <c r="F40" s="335">
        <v>29782.454209413401</v>
      </c>
    </row>
    <row r="41" spans="1:6">
      <c r="A41" s="1212" t="s">
        <v>32</v>
      </c>
      <c r="B41" s="1212" t="s">
        <v>33</v>
      </c>
      <c r="C41" s="335">
        <v>297</v>
      </c>
      <c r="D41" s="335">
        <v>9382044.8462703191</v>
      </c>
      <c r="E41" s="335">
        <v>611</v>
      </c>
      <c r="F41" s="335">
        <v>9978876.37646419</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39</v>
      </c>
      <c r="D44" s="335">
        <v>19166760.678703699</v>
      </c>
      <c r="E44" s="335">
        <v>133</v>
      </c>
      <c r="F44" s="335">
        <v>24561355.0789087</v>
      </c>
    </row>
    <row r="45" spans="1:6">
      <c r="A45" s="1212" t="s">
        <v>32</v>
      </c>
      <c r="B45" s="1212" t="s">
        <v>37</v>
      </c>
      <c r="C45" s="335">
        <v>10</v>
      </c>
      <c r="D45" s="335">
        <v>1887459.4807223701</v>
      </c>
      <c r="E45" s="335">
        <v>20</v>
      </c>
      <c r="F45" s="335">
        <v>32871528.5807577</v>
      </c>
    </row>
    <row r="46" spans="1:6">
      <c r="A46" s="1212" t="s">
        <v>32</v>
      </c>
      <c r="B46" s="1212" t="s">
        <v>38</v>
      </c>
      <c r="C46" s="335">
        <v>0</v>
      </c>
      <c r="D46" s="335">
        <v>0</v>
      </c>
      <c r="E46" s="335">
        <v>0</v>
      </c>
      <c r="F46" s="335">
        <v>0</v>
      </c>
    </row>
    <row r="47" spans="1:6">
      <c r="A47" s="1212" t="s">
        <v>32</v>
      </c>
      <c r="B47" s="1212" t="s">
        <v>39</v>
      </c>
      <c r="C47" s="335">
        <v>18</v>
      </c>
      <c r="D47" s="335">
        <v>22937240.974617999</v>
      </c>
      <c r="E47" s="335">
        <v>31</v>
      </c>
      <c r="F47" s="335">
        <v>24762724.490294099</v>
      </c>
    </row>
    <row r="48" spans="1:6">
      <c r="A48" s="1212" t="s">
        <v>32</v>
      </c>
      <c r="B48" s="1212" t="s">
        <v>29</v>
      </c>
      <c r="C48" s="335">
        <v>56</v>
      </c>
      <c r="D48" s="335">
        <v>83178301.723058105</v>
      </c>
      <c r="E48" s="335">
        <v>60</v>
      </c>
      <c r="F48" s="335">
        <v>38005787.628769398</v>
      </c>
    </row>
    <row r="49" spans="1:6">
      <c r="A49" s="1212" t="s">
        <v>32</v>
      </c>
      <c r="B49" s="1212" t="s">
        <v>40</v>
      </c>
      <c r="C49" s="335">
        <v>9</v>
      </c>
      <c r="D49" s="335">
        <v>782444.28712692996</v>
      </c>
      <c r="E49" s="335">
        <v>22</v>
      </c>
      <c r="F49" s="335">
        <v>1853314.8776759901</v>
      </c>
    </row>
    <row r="50" spans="1:6">
      <c r="A50" s="1212" t="s">
        <v>32</v>
      </c>
      <c r="B50" s="1212" t="s">
        <v>41</v>
      </c>
      <c r="C50" s="335">
        <v>80</v>
      </c>
      <c r="D50" s="335">
        <v>141756972.17939001</v>
      </c>
      <c r="E50" s="335">
        <v>114</v>
      </c>
      <c r="F50" s="335">
        <v>82989792.951316193</v>
      </c>
    </row>
    <row r="51" spans="1:6">
      <c r="A51" s="1212" t="s">
        <v>42</v>
      </c>
      <c r="B51" s="1212" t="s">
        <v>43</v>
      </c>
      <c r="C51" s="335">
        <v>33</v>
      </c>
      <c r="D51" s="335">
        <v>3831170.4777644798</v>
      </c>
      <c r="E51" s="335">
        <v>206</v>
      </c>
      <c r="F51" s="335">
        <v>18513190.986857999</v>
      </c>
    </row>
    <row r="52" spans="1:6">
      <c r="A52" s="1212" t="s">
        <v>42</v>
      </c>
      <c r="B52" s="1212" t="s">
        <v>29</v>
      </c>
      <c r="C52" s="335">
        <v>5</v>
      </c>
      <c r="D52" s="335">
        <v>150926.08602898699</v>
      </c>
      <c r="E52" s="335">
        <v>2</v>
      </c>
      <c r="F52" s="335">
        <v>58239.228582322801</v>
      </c>
    </row>
    <row r="53" spans="1:6">
      <c r="A53" s="1212" t="s">
        <v>44</v>
      </c>
      <c r="B53" s="1212" t="s">
        <v>45</v>
      </c>
      <c r="C53" s="335">
        <v>599</v>
      </c>
      <c r="D53" s="335">
        <v>17732983.187761299</v>
      </c>
      <c r="E53" s="335">
        <v>1005</v>
      </c>
      <c r="F53" s="335">
        <v>4456166.7434580298</v>
      </c>
    </row>
    <row r="54" spans="1:6">
      <c r="A54" s="1212" t="s">
        <v>46</v>
      </c>
      <c r="B54" s="1212" t="s">
        <v>47</v>
      </c>
      <c r="C54" s="335">
        <v>0</v>
      </c>
      <c r="D54" s="335">
        <v>0</v>
      </c>
      <c r="E54" s="335">
        <v>1</v>
      </c>
      <c r="F54" s="335">
        <v>5955096</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258</v>
      </c>
      <c r="D57" s="335">
        <v>75163942.486369193</v>
      </c>
      <c r="E57" s="335">
        <v>323</v>
      </c>
      <c r="F57" s="335">
        <v>5392826.3667683601</v>
      </c>
    </row>
    <row r="58" spans="1:6">
      <c r="A58" s="1212" t="s">
        <v>49</v>
      </c>
      <c r="B58" s="1212" t="s">
        <v>51</v>
      </c>
      <c r="C58" s="335">
        <v>274</v>
      </c>
      <c r="D58" s="335">
        <v>19459999.0307227</v>
      </c>
      <c r="E58" s="335">
        <v>327</v>
      </c>
      <c r="F58" s="335">
        <v>21412996.103698902</v>
      </c>
    </row>
    <row r="59" spans="1:6">
      <c r="A59" s="1212" t="s">
        <v>49</v>
      </c>
      <c r="B59" s="1212" t="s">
        <v>52</v>
      </c>
      <c r="C59" s="335">
        <v>732</v>
      </c>
      <c r="D59" s="335">
        <v>36917187.735248901</v>
      </c>
      <c r="E59" s="335">
        <v>1218</v>
      </c>
      <c r="F59" s="335">
        <v>52336469.519399598</v>
      </c>
    </row>
    <row r="60" spans="1:6">
      <c r="A60" s="1212" t="s">
        <v>49</v>
      </c>
      <c r="B60" s="1212" t="s">
        <v>53</v>
      </c>
      <c r="C60" s="335">
        <v>339</v>
      </c>
      <c r="D60" s="335">
        <v>32504323.854036499</v>
      </c>
      <c r="E60" s="335">
        <v>499</v>
      </c>
      <c r="F60" s="335">
        <v>15230702.7418839</v>
      </c>
    </row>
    <row r="61" spans="1:6">
      <c r="A61" s="1212" t="s">
        <v>49</v>
      </c>
      <c r="B61" s="1212" t="s">
        <v>54</v>
      </c>
      <c r="C61" s="335">
        <v>897</v>
      </c>
      <c r="D61" s="335">
        <v>44082541.069031298</v>
      </c>
      <c r="E61" s="335">
        <v>1656</v>
      </c>
      <c r="F61" s="335">
        <v>29997508.9872334</v>
      </c>
    </row>
    <row r="62" spans="1:6">
      <c r="A62" s="1212" t="s">
        <v>49</v>
      </c>
      <c r="B62" s="1212" t="s">
        <v>55</v>
      </c>
      <c r="C62" s="335">
        <v>44</v>
      </c>
      <c r="D62" s="335">
        <v>3175441.3784370502</v>
      </c>
      <c r="E62" s="335">
        <v>78</v>
      </c>
      <c r="F62" s="335">
        <v>2346320.7088389802</v>
      </c>
    </row>
    <row r="63" spans="1:6">
      <c r="A63" s="1212" t="s">
        <v>49</v>
      </c>
      <c r="B63" s="1212" t="s">
        <v>29</v>
      </c>
      <c r="C63" s="335">
        <v>95</v>
      </c>
      <c r="D63" s="335">
        <v>42155505.446811698</v>
      </c>
      <c r="E63" s="335">
        <v>76</v>
      </c>
      <c r="F63" s="335">
        <v>6546041.8639058704</v>
      </c>
    </row>
    <row r="64" spans="1:6">
      <c r="A64" s="1212" t="s">
        <v>56</v>
      </c>
      <c r="B64" s="1212" t="s">
        <v>57</v>
      </c>
      <c r="C64" s="335">
        <v>0</v>
      </c>
      <c r="D64" s="335">
        <v>0</v>
      </c>
      <c r="E64" s="335">
        <v>0</v>
      </c>
      <c r="F64" s="335">
        <v>0</v>
      </c>
    </row>
    <row r="65" spans="1:6">
      <c r="A65" s="1212" t="s">
        <v>56</v>
      </c>
      <c r="B65" s="1212" t="s">
        <v>29</v>
      </c>
      <c r="C65" s="335">
        <v>2</v>
      </c>
      <c r="D65" s="335">
        <v>60912.227451698403</v>
      </c>
      <c r="E65" s="335">
        <v>2</v>
      </c>
      <c r="F65" s="335">
        <v>71705.180639061204</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19</v>
      </c>
      <c r="D68" s="335">
        <v>1025488.7232472</v>
      </c>
      <c r="E68" s="335">
        <v>49</v>
      </c>
      <c r="F68" s="335">
        <v>1375928.58756569</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135022825</v>
      </c>
      <c r="E73" s="335">
        <v>141712359.61163843</v>
      </c>
    </row>
    <row r="74" spans="1:6">
      <c r="A74" s="1212" t="s">
        <v>64</v>
      </c>
      <c r="B74" s="1212" t="s">
        <v>727</v>
      </c>
      <c r="C74" s="1212" t="s">
        <v>728</v>
      </c>
      <c r="D74" s="335">
        <v>18313957.583480071</v>
      </c>
      <c r="E74" s="335">
        <v>19270686.712025456</v>
      </c>
    </row>
    <row r="75" spans="1:6">
      <c r="A75" s="1212" t="s">
        <v>65</v>
      </c>
      <c r="B75" s="1212" t="s">
        <v>725</v>
      </c>
      <c r="C75" s="1212" t="s">
        <v>729</v>
      </c>
      <c r="D75" s="335">
        <v>64796147</v>
      </c>
      <c r="E75" s="335">
        <v>68446519.715184838</v>
      </c>
    </row>
    <row r="76" spans="1:6">
      <c r="A76" s="1212" t="s">
        <v>65</v>
      </c>
      <c r="B76" s="1212" t="s">
        <v>727</v>
      </c>
      <c r="C76" s="1212" t="s">
        <v>730</v>
      </c>
      <c r="D76" s="335">
        <v>4105075.5834800727</v>
      </c>
      <c r="E76" s="335">
        <v>4352791.949933433</v>
      </c>
    </row>
    <row r="77" spans="1:6">
      <c r="A77" s="1212" t="s">
        <v>66</v>
      </c>
      <c r="B77" s="1212" t="s">
        <v>725</v>
      </c>
      <c r="C77" s="1212" t="s">
        <v>731</v>
      </c>
      <c r="D77" s="335">
        <v>65504028</v>
      </c>
      <c r="E77" s="335">
        <v>75081531.539657161</v>
      </c>
    </row>
    <row r="78" spans="1:6">
      <c r="A78" s="1208" t="s">
        <v>66</v>
      </c>
      <c r="B78" s="1208" t="s">
        <v>727</v>
      </c>
      <c r="C78" s="1208" t="s">
        <v>732</v>
      </c>
      <c r="D78" s="1208">
        <v>11840340</v>
      </c>
      <c r="E78" s="1208">
        <v>12422295.847706595</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1407036.8330398549</v>
      </c>
      <c r="C83" s="335">
        <v>1415431.2339749315</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10281.626203036529</v>
      </c>
    </row>
    <row r="92" spans="1:6">
      <c r="A92" s="1208" t="s">
        <v>69</v>
      </c>
      <c r="B92" s="338">
        <v>12644.667204059624</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15096</v>
      </c>
    </row>
    <row r="98" spans="1:6">
      <c r="A98" s="1212" t="s">
        <v>72</v>
      </c>
      <c r="B98" s="335">
        <v>2</v>
      </c>
    </row>
    <row r="99" spans="1:6">
      <c r="A99" s="1212" t="s">
        <v>73</v>
      </c>
      <c r="B99" s="335">
        <v>218</v>
      </c>
    </row>
    <row r="100" spans="1:6">
      <c r="A100" s="1212" t="s">
        <v>74</v>
      </c>
      <c r="B100" s="335">
        <v>1605</v>
      </c>
    </row>
    <row r="101" spans="1:6">
      <c r="A101" s="1212" t="s">
        <v>75</v>
      </c>
      <c r="B101" s="335">
        <v>277</v>
      </c>
    </row>
    <row r="102" spans="1:6">
      <c r="A102" s="1212" t="s">
        <v>76</v>
      </c>
      <c r="B102" s="335">
        <v>397</v>
      </c>
    </row>
    <row r="103" spans="1:6">
      <c r="A103" s="1212" t="s">
        <v>77</v>
      </c>
      <c r="B103" s="335">
        <v>430</v>
      </c>
    </row>
    <row r="104" spans="1:6">
      <c r="A104" s="1212" t="s">
        <v>78</v>
      </c>
      <c r="B104" s="335">
        <v>3828</v>
      </c>
    </row>
    <row r="105" spans="1:6">
      <c r="A105" s="1208" t="s">
        <v>79</v>
      </c>
      <c r="B105" s="1208">
        <v>8</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1</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84</v>
      </c>
      <c r="C123" s="335">
        <v>84</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432</v>
      </c>
    </row>
    <row r="130" spans="1:6">
      <c r="A130" s="1212" t="s">
        <v>295</v>
      </c>
      <c r="B130" s="335">
        <v>3</v>
      </c>
    </row>
    <row r="131" spans="1:6">
      <c r="A131" s="1212" t="s">
        <v>296</v>
      </c>
      <c r="B131" s="335">
        <v>11</v>
      </c>
    </row>
    <row r="132" spans="1:6">
      <c r="A132" s="1208" t="s">
        <v>297</v>
      </c>
      <c r="B132" s="338">
        <v>21</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498723.49005935999</v>
      </c>
      <c r="C3" s="43" t="s">
        <v>170</v>
      </c>
      <c r="D3" s="43"/>
      <c r="E3" s="156"/>
      <c r="F3" s="43"/>
      <c r="G3" s="43"/>
      <c r="H3" s="43"/>
      <c r="I3" s="43"/>
      <c r="J3" s="43"/>
      <c r="K3" s="96"/>
    </row>
    <row r="4" spans="1:11">
      <c r="A4" s="366" t="s">
        <v>171</v>
      </c>
      <c r="B4" s="49">
        <f>IF(ISERROR('SEAP template'!B69),0,'SEAP template'!B69)</f>
        <v>65662.793407096149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1610.534117647059</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0.1951320722154361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2300.7630252100848</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41355.000000000007</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5.56344583535264E-2</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5955.0959999999995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5955.0959999999995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0.1951320722154361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1162.0302227218547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86526.603682205023</v>
      </c>
      <c r="C5" s="17">
        <f>IF(ISERROR('Eigen informatie GS &amp; warmtenet'!B57),0,'Eigen informatie GS &amp; warmtenet'!B57)</f>
        <v>0</v>
      </c>
      <c r="D5" s="30">
        <f>(SUM(HH_hh_gas_kWh,HH_rest_gas_kWh)/1000)*0.902</f>
        <v>304728.06993821566</v>
      </c>
      <c r="E5" s="17">
        <f>B46*B57</f>
        <v>10917.42837279716</v>
      </c>
      <c r="F5" s="17">
        <f>B51*B62</f>
        <v>0</v>
      </c>
      <c r="G5" s="18"/>
      <c r="H5" s="17"/>
      <c r="I5" s="17"/>
      <c r="J5" s="17">
        <f>B50*B61+C50*C61</f>
        <v>0</v>
      </c>
      <c r="K5" s="17"/>
      <c r="L5" s="17"/>
      <c r="M5" s="17"/>
      <c r="N5" s="17">
        <f>B48*B59+C48*C59</f>
        <v>52005.664960912349</v>
      </c>
      <c r="O5" s="17">
        <f>B69*B70*B71</f>
        <v>806.68000000000018</v>
      </c>
      <c r="P5" s="17">
        <f>B77*B78*B79/1000-B77*B78*B79/1000/B80</f>
        <v>2002</v>
      </c>
    </row>
    <row r="6" spans="1:16">
      <c r="A6" s="16" t="s">
        <v>634</v>
      </c>
      <c r="B6" s="831">
        <f>kWh_PV_kleiner_dan_10kW</f>
        <v>10281.626203036529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96808.229885241555</v>
      </c>
      <c r="C8" s="21">
        <f>C5</f>
        <v>0</v>
      </c>
      <c r="D8" s="21">
        <f>D5</f>
        <v>304728.06993821566</v>
      </c>
      <c r="E8" s="21">
        <f>E5</f>
        <v>10917.42837279716</v>
      </c>
      <c r="F8" s="21">
        <f>F5</f>
        <v>0</v>
      </c>
      <c r="G8" s="21"/>
      <c r="H8" s="21"/>
      <c r="I8" s="21"/>
      <c r="J8" s="21">
        <f>J5</f>
        <v>0</v>
      </c>
      <c r="K8" s="21"/>
      <c r="L8" s="21">
        <f>L5</f>
        <v>0</v>
      </c>
      <c r="M8" s="21">
        <f>M5</f>
        <v>0</v>
      </c>
      <c r="N8" s="21">
        <f>N5</f>
        <v>52005.664960912349</v>
      </c>
      <c r="O8" s="21">
        <f>O5</f>
        <v>806.68000000000018</v>
      </c>
      <c r="P8" s="21">
        <f>P5</f>
        <v>2002</v>
      </c>
    </row>
    <row r="9" spans="1:16">
      <c r="B9" s="19"/>
      <c r="C9" s="19"/>
      <c r="D9" s="261"/>
      <c r="E9" s="19"/>
      <c r="F9" s="19"/>
      <c r="G9" s="19"/>
      <c r="H9" s="19"/>
      <c r="I9" s="19"/>
      <c r="J9" s="19"/>
      <c r="K9" s="19"/>
      <c r="L9" s="19"/>
      <c r="M9" s="19"/>
      <c r="N9" s="19"/>
      <c r="O9" s="19"/>
      <c r="P9" s="19"/>
    </row>
    <row r="10" spans="1:16">
      <c r="A10" s="24" t="s">
        <v>214</v>
      </c>
      <c r="B10" s="25">
        <f ca="1">'EF ele_warmte'!B12</f>
        <v>0.1951320722154361</v>
      </c>
      <c r="C10" s="25">
        <f ca="1">'EF ele_warmte'!B22</f>
        <v>5.56344583535264E-2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18890.390505015494</v>
      </c>
      <c r="C12" s="23">
        <f ca="1">C10*C8</f>
        <v>0</v>
      </c>
      <c r="D12" s="23">
        <f>D8*D10</f>
        <v>61555.070127519568</v>
      </c>
      <c r="E12" s="23">
        <f>E10*E8</f>
        <v>2478.2562406249554</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15096</v>
      </c>
      <c r="C18" s="168" t="s">
        <v>111</v>
      </c>
      <c r="D18" s="230"/>
      <c r="E18" s="15"/>
    </row>
    <row r="19" spans="1:7">
      <c r="A19" s="173" t="s">
        <v>72</v>
      </c>
      <c r="B19" s="37">
        <f>aantalw2001_ander</f>
        <v>2</v>
      </c>
      <c r="C19" s="168" t="s">
        <v>111</v>
      </c>
      <c r="D19" s="231"/>
      <c r="E19" s="15"/>
    </row>
    <row r="20" spans="1:7">
      <c r="A20" s="173" t="s">
        <v>73</v>
      </c>
      <c r="B20" s="37">
        <f>aantalw2001_propaan</f>
        <v>218</v>
      </c>
      <c r="C20" s="169">
        <f>IF(ISERROR(B20/SUM($B$20,$B$21,$B$22)*100),0,B20/SUM($B$20,$B$21,$B$22)*100)</f>
        <v>10.380952380952381</v>
      </c>
      <c r="D20" s="231"/>
      <c r="E20" s="15"/>
    </row>
    <row r="21" spans="1:7">
      <c r="A21" s="173" t="s">
        <v>74</v>
      </c>
      <c r="B21" s="37">
        <f>aantalw2001_elektriciteit</f>
        <v>1605</v>
      </c>
      <c r="C21" s="169">
        <f>IF(ISERROR(B21/SUM($B$20,$B$21,$B$22)*100),0,B21/SUM($B$20,$B$21,$B$22)*100)</f>
        <v>76.428571428571416</v>
      </c>
      <c r="D21" s="231"/>
      <c r="E21" s="15"/>
    </row>
    <row r="22" spans="1:7">
      <c r="A22" s="173" t="s">
        <v>75</v>
      </c>
      <c r="B22" s="37">
        <f>aantalw2001_hout</f>
        <v>277</v>
      </c>
      <c r="C22" s="169">
        <f>IF(ISERROR(B22/SUM($B$20,$B$21,$B$22)*100),0,B22/SUM($B$20,$B$21,$B$22)*100)</f>
        <v>13.190476190476192</v>
      </c>
      <c r="D22" s="231"/>
      <c r="E22" s="15"/>
    </row>
    <row r="23" spans="1:7">
      <c r="A23" s="173" t="s">
        <v>76</v>
      </c>
      <c r="B23" s="37">
        <f>aantalw2001_niet_gespec</f>
        <v>397</v>
      </c>
      <c r="C23" s="168" t="s">
        <v>111</v>
      </c>
      <c r="D23" s="230"/>
      <c r="E23" s="15"/>
    </row>
    <row r="24" spans="1:7">
      <c r="A24" s="173" t="s">
        <v>77</v>
      </c>
      <c r="B24" s="37">
        <f>aantalw2001_steenkool</f>
        <v>430</v>
      </c>
      <c r="C24" s="168" t="s">
        <v>111</v>
      </c>
      <c r="D24" s="231"/>
      <c r="E24" s="15"/>
    </row>
    <row r="25" spans="1:7">
      <c r="A25" s="173" t="s">
        <v>78</v>
      </c>
      <c r="B25" s="37">
        <f>aantalw2001_stookolie</f>
        <v>3828</v>
      </c>
      <c r="C25" s="168" t="s">
        <v>111</v>
      </c>
      <c r="D25" s="230"/>
      <c r="E25" s="52"/>
    </row>
    <row r="26" spans="1:7">
      <c r="A26" s="173" t="s">
        <v>79</v>
      </c>
      <c r="B26" s="37">
        <f>aantalw2001_WP</f>
        <v>8</v>
      </c>
      <c r="C26" s="168" t="s">
        <v>111</v>
      </c>
      <c r="D26" s="230"/>
      <c r="E26" s="15"/>
    </row>
    <row r="27" spans="1:7" s="15" customFormat="1">
      <c r="A27" s="173"/>
      <c r="B27" s="29"/>
      <c r="C27" s="36"/>
      <c r="D27" s="230"/>
    </row>
    <row r="28" spans="1:7" s="15" customFormat="1">
      <c r="A28" s="232" t="s">
        <v>745</v>
      </c>
      <c r="B28" s="37">
        <f>aantalHuishoudens2011</f>
        <v>25353</v>
      </c>
      <c r="C28" s="36"/>
      <c r="D28" s="230"/>
    </row>
    <row r="29" spans="1:7" s="15" customFormat="1">
      <c r="A29" s="232" t="s">
        <v>746</v>
      </c>
      <c r="B29" s="37">
        <f>SUM(HH_hh_gas_aantal,HH_rest_gas_aantal)</f>
        <v>20201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20201</v>
      </c>
      <c r="C32" s="169">
        <f>IF(ISERROR(B32/SUM($B$32,$B$34,$B$35,$B$36,$B$38,$B$39)*100),0,B32/SUM($B$32,$B$34,$B$35,$B$36,$B$38,$B$39)*100)</f>
        <v>80.010297845373884</v>
      </c>
      <c r="D32" s="235"/>
      <c r="G32" s="15"/>
    </row>
    <row r="33" spans="1:7">
      <c r="A33" s="173" t="s">
        <v>72</v>
      </c>
      <c r="B33" s="34" t="s">
        <v>111</v>
      </c>
      <c r="C33" s="169"/>
      <c r="D33" s="235"/>
      <c r="G33" s="15"/>
    </row>
    <row r="34" spans="1:7">
      <c r="A34" s="173" t="s">
        <v>73</v>
      </c>
      <c r="B34" s="33">
        <f>IF((($B$28-$B$32-$B$39-$B$77-$B$38)*C20/100)&lt;0,0,($B$28-$B$32-$B$39-$B$77-$B$38)*C20/100)</f>
        <v>523.92666666666673</v>
      </c>
      <c r="C34" s="169">
        <f>IF(ISERROR(B34/SUM($B$32,$B$34,$B$35,$B$36,$B$38,$B$39)*100),0,B34/SUM($B$32,$B$34,$B$35,$B$36,$B$38,$B$39)*100)</f>
        <v>2.0751214617659488</v>
      </c>
      <c r="D34" s="235"/>
      <c r="G34" s="15"/>
    </row>
    <row r="35" spans="1:7">
      <c r="A35" s="173" t="s">
        <v>74</v>
      </c>
      <c r="B35" s="33">
        <f>IF((($B$28-$B$32-$B$39-$B$77-$B$38)*C21/100)&lt;0,0,($B$28-$B$32-$B$39-$B$77-$B$38)*C21/100)</f>
        <v>3857.3499999999995</v>
      </c>
      <c r="C35" s="169">
        <f>IF(ISERROR(B35/SUM($B$32,$B$34,$B$35,$B$36,$B$38,$B$39)*100),0,B35/SUM($B$32,$B$34,$B$35,$B$36,$B$38,$B$39)*100)</f>
        <v>15.277843789607095</v>
      </c>
      <c r="D35" s="235"/>
      <c r="G35" s="15"/>
    </row>
    <row r="36" spans="1:7">
      <c r="A36" s="173" t="s">
        <v>75</v>
      </c>
      <c r="B36" s="33">
        <f>IF((($B$28-$B$32-$B$39-$B$77-$B$38)*C22/100)&lt;0,0,($B$28-$B$32-$B$39-$B$77-$B$38)*C22/100)</f>
        <v>665.72333333333347</v>
      </c>
      <c r="C36" s="169">
        <f>IF(ISERROR(B36/SUM($B$32,$B$34,$B$35,$B$36,$B$38,$B$39)*100),0,B36/SUM($B$32,$B$34,$B$35,$B$36,$B$38,$B$39)*100)</f>
        <v>2.6367369032530634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20201</v>
      </c>
      <c r="C44" s="34" t="s">
        <v>111</v>
      </c>
      <c r="D44" s="176"/>
    </row>
    <row r="45" spans="1:7">
      <c r="A45" s="173" t="s">
        <v>72</v>
      </c>
      <c r="B45" s="33" t="str">
        <f t="shared" si="0"/>
        <v>-</v>
      </c>
      <c r="C45" s="34" t="s">
        <v>111</v>
      </c>
      <c r="D45" s="176"/>
    </row>
    <row r="46" spans="1:7">
      <c r="A46" s="173" t="s">
        <v>73</v>
      </c>
      <c r="B46" s="33">
        <f t="shared" si="0"/>
        <v>523.92666666666673</v>
      </c>
      <c r="C46" s="34" t="s">
        <v>111</v>
      </c>
      <c r="D46" s="176"/>
    </row>
    <row r="47" spans="1:7">
      <c r="A47" s="173" t="s">
        <v>74</v>
      </c>
      <c r="B47" s="33">
        <f t="shared" si="0"/>
        <v>3857.3499999999995</v>
      </c>
      <c r="C47" s="34" t="s">
        <v>111</v>
      </c>
      <c r="D47" s="176"/>
    </row>
    <row r="48" spans="1:7">
      <c r="A48" s="173" t="s">
        <v>75</v>
      </c>
      <c r="B48" s="33">
        <f t="shared" si="0"/>
        <v>665.72333333333347</v>
      </c>
      <c r="C48" s="33">
        <f>B48*10</f>
        <v>6657.2333333333345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516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105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133262.86629172901</v>
      </c>
      <c r="C5" s="17">
        <f>IF(ISERROR('Eigen informatie GS &amp; warmtenet'!B58),0,'Eigen informatie GS &amp; warmtenet'!B58)</f>
        <v>0</v>
      </c>
      <c r="D5" s="30">
        <f>SUM(D6:D12)</f>
        <v>228619.96478259296</v>
      </c>
      <c r="E5" s="17">
        <f>SUM(E6:E12)</f>
        <v>1858.0944890060603</v>
      </c>
      <c r="F5" s="17">
        <f>SUM(F6:F12)</f>
        <v>25275.093336906542</v>
      </c>
      <c r="G5" s="18"/>
      <c r="H5" s="17"/>
      <c r="I5" s="17"/>
      <c r="J5" s="17">
        <f>SUM(J6:J12)</f>
        <v>0</v>
      </c>
      <c r="K5" s="17"/>
      <c r="L5" s="17"/>
      <c r="M5" s="17"/>
      <c r="N5" s="17">
        <f>SUM(N6:N12)</f>
        <v>4671.3673122231894</v>
      </c>
      <c r="O5" s="17">
        <f>B38*B39*B40</f>
        <v>4.6900000000000004</v>
      </c>
      <c r="P5" s="17">
        <f>B46*B47*B48/1000-B46*B47*B48/1000/B49</f>
        <v>209.73333333333335</v>
      </c>
      <c r="R5" s="32"/>
    </row>
    <row r="6" spans="1:18">
      <c r="A6" s="32" t="s">
        <v>54</v>
      </c>
      <c r="B6" s="37">
        <f>B26</f>
        <v>29997.508987233399</v>
      </c>
      <c r="C6" s="33"/>
      <c r="D6" s="37">
        <f>IF(ISERROR(TER_kantoor_gas_kWh/1000),0,TER_kantoor_gas_kWh/1000)*0.902</f>
        <v>39762.452044266232</v>
      </c>
      <c r="E6" s="33">
        <f>$C$26*'E Balans VL '!I12/100/3.6*1000000</f>
        <v>116.54667325808522</v>
      </c>
      <c r="F6" s="33">
        <f>$C$26*('E Balans VL '!L12+'E Balans VL '!N12)/100/3.6*1000000</f>
        <v>4562.3481613883232</v>
      </c>
      <c r="G6" s="34"/>
      <c r="H6" s="33"/>
      <c r="I6" s="33"/>
      <c r="J6" s="33">
        <f>$C$26*('E Balans VL '!D12+'E Balans VL '!E12)/100/3.6*1000000</f>
        <v>0</v>
      </c>
      <c r="K6" s="33"/>
      <c r="L6" s="33"/>
      <c r="M6" s="33"/>
      <c r="N6" s="33">
        <f>$C$26*'E Balans VL '!Y12/100/3.6*1000000</f>
        <v>16.53222106504257</v>
      </c>
      <c r="O6" s="33"/>
      <c r="P6" s="33"/>
      <c r="R6" s="32"/>
    </row>
    <row r="7" spans="1:18">
      <c r="A7" s="32" t="s">
        <v>53</v>
      </c>
      <c r="B7" s="37">
        <f t="shared" ref="B7:B12" si="0">B27</f>
        <v>15230.702741883901</v>
      </c>
      <c r="C7" s="33"/>
      <c r="D7" s="37">
        <f>IF(ISERROR(TER_horeca_gas_kWh/1000),0,TER_horeca_gas_kWh/1000)*0.902</f>
        <v>29318.900116340923</v>
      </c>
      <c r="E7" s="33">
        <f>$C$27*'E Balans VL '!I9/100/3.6*1000000</f>
        <v>857.9495574655715</v>
      </c>
      <c r="F7" s="33">
        <f>$C$27*('E Balans VL '!L9+'E Balans VL '!N9)/100/3.6*1000000</f>
        <v>4391.6228272005319</v>
      </c>
      <c r="G7" s="34"/>
      <c r="H7" s="33"/>
      <c r="I7" s="33"/>
      <c r="J7" s="33">
        <f>$C$27*('E Balans VL '!D9+'E Balans VL '!E9)/100/3.6*1000000</f>
        <v>0</v>
      </c>
      <c r="K7" s="33"/>
      <c r="L7" s="33"/>
      <c r="M7" s="33"/>
      <c r="N7" s="33">
        <f>$C$27*'E Balans VL '!Y9/100/3.6*1000000</f>
        <v>4.2051178808560774</v>
      </c>
      <c r="O7" s="33"/>
      <c r="P7" s="33"/>
      <c r="R7" s="32"/>
    </row>
    <row r="8" spans="1:18">
      <c r="A8" s="6" t="s">
        <v>52</v>
      </c>
      <c r="B8" s="37">
        <f t="shared" si="0"/>
        <v>52336.469519399601</v>
      </c>
      <c r="C8" s="33"/>
      <c r="D8" s="37">
        <f>IF(ISERROR(TER_handel_gas_kWh/1000),0,TER_handel_gas_kWh/1000)*0.902</f>
        <v>33299.303337194513</v>
      </c>
      <c r="E8" s="33">
        <f>$C$28*'E Balans VL '!I13/100/3.6*1000000</f>
        <v>754.34608575272853</v>
      </c>
      <c r="F8" s="33">
        <f>$C$28*('E Balans VL '!L13+'E Balans VL '!N13)/100/3.6*1000000</f>
        <v>9092.0635896492877</v>
      </c>
      <c r="G8" s="34"/>
      <c r="H8" s="33"/>
      <c r="I8" s="33"/>
      <c r="J8" s="33">
        <f>$C$28*('E Balans VL '!D13+'E Balans VL '!E13)/100/3.6*1000000</f>
        <v>0</v>
      </c>
      <c r="K8" s="33"/>
      <c r="L8" s="33"/>
      <c r="M8" s="33"/>
      <c r="N8" s="33">
        <f>$C$28*'E Balans VL '!Y13/100/3.6*1000000</f>
        <v>156.805888895929</v>
      </c>
      <c r="O8" s="33"/>
      <c r="P8" s="33"/>
      <c r="R8" s="32"/>
    </row>
    <row r="9" spans="1:18">
      <c r="A9" s="32" t="s">
        <v>51</v>
      </c>
      <c r="B9" s="37">
        <f t="shared" si="0"/>
        <v>21412.996103698901</v>
      </c>
      <c r="C9" s="33"/>
      <c r="D9" s="37">
        <f>IF(ISERROR(TER_gezond_gas_kWh/1000),0,TER_gezond_gas_kWh/1000)*0.902</f>
        <v>17552.919125711876</v>
      </c>
      <c r="E9" s="33">
        <f>$C$29*'E Balans VL '!I10/100/3.6*1000000</f>
        <v>22.874629883521568</v>
      </c>
      <c r="F9" s="33">
        <f>$C$29*('E Balans VL '!L10+'E Balans VL '!N10)/100/3.6*1000000</f>
        <v>3493.1104298850087</v>
      </c>
      <c r="G9" s="34"/>
      <c r="H9" s="33"/>
      <c r="I9" s="33"/>
      <c r="J9" s="33">
        <f>$C$29*('E Balans VL '!D10+'E Balans VL '!E10)/100/3.6*1000000</f>
        <v>0</v>
      </c>
      <c r="K9" s="33"/>
      <c r="L9" s="33"/>
      <c r="M9" s="33"/>
      <c r="N9" s="33">
        <f>$C$29*'E Balans VL '!Y10/100/3.6*1000000</f>
        <v>220.43457687575653</v>
      </c>
      <c r="O9" s="33"/>
      <c r="P9" s="33"/>
      <c r="R9" s="32"/>
    </row>
    <row r="10" spans="1:18">
      <c r="A10" s="32" t="s">
        <v>50</v>
      </c>
      <c r="B10" s="37">
        <f t="shared" si="0"/>
        <v>5392.8263667683605</v>
      </c>
      <c r="C10" s="33"/>
      <c r="D10" s="37">
        <f>IF(ISERROR(TER_ander_gas_kWh/1000),0,TER_ander_gas_kWh/1000)*0.902</f>
        <v>67797.876122705013</v>
      </c>
      <c r="E10" s="33">
        <f>$C$30*'E Balans VL '!I14/100/3.6*1000000</f>
        <v>24.800788150982729</v>
      </c>
      <c r="F10" s="33">
        <f>$C$30*('E Balans VL '!L14+'E Balans VL '!N14)/100/3.6*1000000</f>
        <v>1616.4001671528363</v>
      </c>
      <c r="G10" s="34"/>
      <c r="H10" s="33"/>
      <c r="I10" s="33"/>
      <c r="J10" s="33">
        <f>$C$30*('E Balans VL '!D14+'E Balans VL '!E14)/100/3.6*1000000</f>
        <v>0</v>
      </c>
      <c r="K10" s="33"/>
      <c r="L10" s="33"/>
      <c r="M10" s="33"/>
      <c r="N10" s="33">
        <f>$C$30*'E Balans VL '!Y14/100/3.6*1000000</f>
        <v>3753.7631358846374</v>
      </c>
      <c r="O10" s="33"/>
      <c r="P10" s="33"/>
      <c r="R10" s="32"/>
    </row>
    <row r="11" spans="1:18">
      <c r="A11" s="32" t="s">
        <v>55</v>
      </c>
      <c r="B11" s="37">
        <f t="shared" si="0"/>
        <v>2346.32070883898</v>
      </c>
      <c r="C11" s="33"/>
      <c r="D11" s="37">
        <f>IF(ISERROR(TER_onderwijs_gas_kWh/1000),0,TER_onderwijs_gas_kWh/1000)*0.902</f>
        <v>2864.248123350219</v>
      </c>
      <c r="E11" s="33">
        <f>$C$31*'E Balans VL '!I11/100/3.6*1000000</f>
        <v>2.1765210192178941</v>
      </c>
      <c r="F11" s="33">
        <f>$C$31*('E Balans VL '!L11+'E Balans VL '!N11)/100/3.6*1000000</f>
        <v>824.20853871073814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6546.0418639058707</v>
      </c>
      <c r="C12" s="33"/>
      <c r="D12" s="37">
        <f>IF(ISERROR(TER_rest_gas_kWh/1000),0,TER_rest_gas_kWh/1000)*0.902</f>
        <v>38024.265913024159</v>
      </c>
      <c r="E12" s="33">
        <f>$C$32*'E Balans VL '!I8/100/3.6*1000000</f>
        <v>79.400233475952675</v>
      </c>
      <c r="F12" s="33">
        <f>$C$32*('E Balans VL '!L8+'E Balans VL '!N8)/100/3.6*1000000</f>
        <v>1295.339622919822</v>
      </c>
      <c r="G12" s="34"/>
      <c r="H12" s="33"/>
      <c r="I12" s="33"/>
      <c r="J12" s="33">
        <f>$C$32*('E Balans VL '!D8+'E Balans VL '!E8)/100/3.6*1000000</f>
        <v>0</v>
      </c>
      <c r="K12" s="33"/>
      <c r="L12" s="33"/>
      <c r="M12" s="33"/>
      <c r="N12" s="33">
        <f>$C$32*'E Balans VL '!Y8/100/3.6*1000000</f>
        <v>519.62637162096792</v>
      </c>
      <c r="O12" s="33"/>
      <c r="P12" s="33"/>
      <c r="R12" s="32"/>
    </row>
    <row r="13" spans="1:18">
      <c r="A13" s="16" t="s">
        <v>497</v>
      </c>
      <c r="B13" s="249">
        <f ca="1">'lokale energieproductie'!N90+'lokale energieproductie'!N59</f>
        <v>29088</v>
      </c>
      <c r="C13" s="249">
        <f ca="1">'lokale energieproductie'!O90+'lokale energieproductie'!O59</f>
        <v>41355.000000000007</v>
      </c>
      <c r="D13" s="312">
        <f ca="1">('lokale energieproductie'!P59+'lokale energieproductie'!P90)*(-1)</f>
        <v>-19362.857142857145</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-63745.71428571429</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162350.86629172901</v>
      </c>
      <c r="C16" s="21">
        <f t="shared" ca="1" si="1"/>
        <v>41355.000000000007</v>
      </c>
      <c r="D16" s="21">
        <f t="shared" ca="1" si="1"/>
        <v>209257.1076397358</v>
      </c>
      <c r="E16" s="21">
        <f t="shared" si="1"/>
        <v>1858.0944890060603</v>
      </c>
      <c r="F16" s="21">
        <f t="shared" ca="1" si="1"/>
        <v>25275.093336906542</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209.73333333333335</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0.1951320722154361</v>
      </c>
      <c r="C18" s="25">
        <f ca="1">'EF ele_warmte'!B22</f>
        <v>5.56344583535264E-2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31679.860965476277</v>
      </c>
      <c r="C20" s="23">
        <f t="shared" ref="C20:P20" ca="1" si="2">C16*C18</f>
        <v>2300.7630252100848</v>
      </c>
      <c r="D20" s="23">
        <f t="shared" ca="1" si="2"/>
        <v>42269.935743226633</v>
      </c>
      <c r="E20" s="23">
        <f t="shared" si="2"/>
        <v>421.78744900437567</v>
      </c>
      <c r="F20" s="23">
        <f t="shared" ca="1" si="2"/>
        <v>6748.4499209540472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29997.508987233399</v>
      </c>
      <c r="C26" s="39">
        <f>IF(ISERROR(B26*3.6/1000000/'E Balans VL '!Z12*100),0,B26*3.6/1000000/'E Balans VL '!Z12*100)</f>
        <v>0.63716194972316764</v>
      </c>
      <c r="D26" s="239" t="s">
        <v>692</v>
      </c>
      <c r="F26" s="6"/>
    </row>
    <row r="27" spans="1:18">
      <c r="A27" s="233" t="s">
        <v>53</v>
      </c>
      <c r="B27" s="33">
        <f>IF(ISERROR(TER_horeca_ele_kWh/1000),0,TER_horeca_ele_kWh/1000)</f>
        <v>15230.702741883901</v>
      </c>
      <c r="C27" s="39">
        <f>IF(ISERROR(B27*3.6/1000000/'E Balans VL '!Z9*100),0,B27*3.6/1000000/'E Balans VL '!Z9*100)</f>
        <v>1.184279894353671</v>
      </c>
      <c r="D27" s="239" t="s">
        <v>692</v>
      </c>
      <c r="F27" s="6"/>
    </row>
    <row r="28" spans="1:18">
      <c r="A28" s="173" t="s">
        <v>52</v>
      </c>
      <c r="B28" s="33">
        <f>IF(ISERROR(TER_handel_ele_kWh/1000),0,TER_handel_ele_kWh/1000)</f>
        <v>52336.469519399601</v>
      </c>
      <c r="C28" s="39">
        <f>IF(ISERROR(B28*3.6/1000000/'E Balans VL '!Z13*100),0,B28*3.6/1000000/'E Balans VL '!Z13*100)</f>
        <v>1.4974079868130996</v>
      </c>
      <c r="D28" s="239" t="s">
        <v>692</v>
      </c>
      <c r="F28" s="6"/>
    </row>
    <row r="29" spans="1:18">
      <c r="A29" s="233" t="s">
        <v>51</v>
      </c>
      <c r="B29" s="33">
        <f>IF(ISERROR(TER_gezond_ele_kWh/1000),0,TER_gezond_ele_kWh/1000)</f>
        <v>21412.996103698901</v>
      </c>
      <c r="C29" s="39">
        <f>IF(ISERROR(B29*3.6/1000000/'E Balans VL '!Z10*100),0,B29*3.6/1000000/'E Balans VL '!Z10*100)</f>
        <v>2.3345141536571496</v>
      </c>
      <c r="D29" s="239" t="s">
        <v>692</v>
      </c>
      <c r="F29" s="6"/>
    </row>
    <row r="30" spans="1:18">
      <c r="A30" s="233" t="s">
        <v>50</v>
      </c>
      <c r="B30" s="33">
        <f>IF(ISERROR(TER_ander_ele_kWh/1000),0,TER_ander_ele_kWh/1000)</f>
        <v>5392.8263667683605</v>
      </c>
      <c r="C30" s="39">
        <f>IF(ISERROR(B30*3.6/1000000/'E Balans VL '!Z14*100),0,B30*3.6/1000000/'E Balans VL '!Z14*100)</f>
        <v>0.39463480018349234</v>
      </c>
      <c r="D30" s="239" t="s">
        <v>692</v>
      </c>
      <c r="F30" s="6"/>
    </row>
    <row r="31" spans="1:18">
      <c r="A31" s="233" t="s">
        <v>55</v>
      </c>
      <c r="B31" s="33">
        <f>IF(ISERROR(TER_onderwijs_ele_kWh/1000),0,TER_onderwijs_ele_kWh/1000)</f>
        <v>2346.32070883898</v>
      </c>
      <c r="C31" s="39">
        <f>IF(ISERROR(B31*3.6/1000000/'E Balans VL '!Z11*100),0,B31*3.6/1000000/'E Balans VL '!Z11*100)</f>
        <v>0.47126025670002297</v>
      </c>
      <c r="D31" s="239" t="s">
        <v>692</v>
      </c>
    </row>
    <row r="32" spans="1:18">
      <c r="A32" s="233" t="s">
        <v>260</v>
      </c>
      <c r="B32" s="33">
        <f>IF(ISERROR(TER_rest_ele_kWh/1000),0,TER_rest_ele_kWh/1000)</f>
        <v>6546.0418639058707</v>
      </c>
      <c r="C32" s="39">
        <f>IF(ISERROR(B32*3.6/1000000/'E Balans VL '!Z8*100),0,B32*3.6/1000000/'E Balans VL '!Z8*100)</f>
        <v>5.3346268599869781E-2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215023.37998418626</v>
      </c>
      <c r="C5" s="17">
        <f>IF(ISERROR('Eigen informatie GS &amp; warmtenet'!B59),0,'Eigen informatie GS &amp; warmtenet'!B59)</f>
        <v>0</v>
      </c>
      <c r="D5" s="30">
        <f>SUM(D6:D15)</f>
        <v>251740.28420124028</v>
      </c>
      <c r="E5" s="17">
        <f>SUM(E6:E15)</f>
        <v>12811.506187308643</v>
      </c>
      <c r="F5" s="17">
        <f>SUM(F6:F15)</f>
        <v>159939.37913631031</v>
      </c>
      <c r="G5" s="18"/>
      <c r="H5" s="17"/>
      <c r="I5" s="17"/>
      <c r="J5" s="17">
        <f>SUM(J6:J15)</f>
        <v>279.29961109802412</v>
      </c>
      <c r="K5" s="17"/>
      <c r="L5" s="17"/>
      <c r="M5" s="17"/>
      <c r="N5" s="17">
        <f>SUM(N6:N15)</f>
        <v>88699.412137825566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24561.355078908702</v>
      </c>
      <c r="C8" s="33"/>
      <c r="D8" s="37">
        <f>IF( ISERROR(IND_metaal_Gas_kWH/1000),0,IND_metaal_Gas_kWH/1000)*0.902</f>
        <v>17288.418132190738</v>
      </c>
      <c r="E8" s="33">
        <f>C30*'E Balans VL '!I18/100/3.6*1000000</f>
        <v>705.49430988324059</v>
      </c>
      <c r="F8" s="33">
        <f>C30*'E Balans VL '!L18/100/3.6*1000000+C30*'E Balans VL '!N18/100/3.6*1000000</f>
        <v>6299.5151949951842</v>
      </c>
      <c r="G8" s="34"/>
      <c r="H8" s="33"/>
      <c r="I8" s="33"/>
      <c r="J8" s="40">
        <f>C30*'E Balans VL '!D18/100/3.6*1000000+C30*'E Balans VL '!E18/100/3.6*1000000</f>
        <v>0</v>
      </c>
      <c r="K8" s="33"/>
      <c r="L8" s="33"/>
      <c r="M8" s="33"/>
      <c r="N8" s="33">
        <f>C30*'E Balans VL '!Y18/100/3.6*1000000</f>
        <v>666.89092722135911</v>
      </c>
      <c r="O8" s="33"/>
      <c r="P8" s="33"/>
      <c r="R8" s="32"/>
    </row>
    <row r="9" spans="1:18">
      <c r="A9" s="6" t="s">
        <v>33</v>
      </c>
      <c r="B9" s="37">
        <f t="shared" si="0"/>
        <v>9978.8763764641899</v>
      </c>
      <c r="C9" s="33"/>
      <c r="D9" s="37">
        <f>IF( ISERROR(IND_andere_gas_kWh/1000),0,IND_andere_gas_kWh/1000)*0.902</f>
        <v>8462.6044513358283</v>
      </c>
      <c r="E9" s="33">
        <f>C31*'E Balans VL '!I19/100/3.6*1000000</f>
        <v>2701.0364840717848</v>
      </c>
      <c r="F9" s="33">
        <f>C31*'E Balans VL '!L19/100/3.6*1000000+C31*'E Balans VL '!N19/100/3.6*1000000</f>
        <v>6646.9876524308993</v>
      </c>
      <c r="G9" s="34"/>
      <c r="H9" s="33"/>
      <c r="I9" s="33"/>
      <c r="J9" s="40">
        <f>C31*'E Balans VL '!D19/100/3.6*1000000+C31*'E Balans VL '!E19/100/3.6*1000000</f>
        <v>0</v>
      </c>
      <c r="K9" s="33"/>
      <c r="L9" s="33"/>
      <c r="M9" s="33"/>
      <c r="N9" s="33">
        <f>C31*'E Balans VL '!Y19/100/3.6*1000000</f>
        <v>3257.9373735877793</v>
      </c>
      <c r="O9" s="33"/>
      <c r="P9" s="33"/>
      <c r="R9" s="32"/>
    </row>
    <row r="10" spans="1:18">
      <c r="A10" s="6" t="s">
        <v>41</v>
      </c>
      <c r="B10" s="37">
        <f t="shared" si="0"/>
        <v>82989.792951316194</v>
      </c>
      <c r="C10" s="33"/>
      <c r="D10" s="37">
        <f>IF( ISERROR(IND_voed_gas_kWh/1000),0,IND_voed_gas_kWh/1000)*0.902</f>
        <v>127864.78890580981</v>
      </c>
      <c r="E10" s="33">
        <f>C32*'E Balans VL '!I20/100/3.6*1000000</f>
        <v>6768.8381771973172</v>
      </c>
      <c r="F10" s="33">
        <f>C32*'E Balans VL '!L20/100/3.6*1000000+C32*'E Balans VL '!N20/100/3.6*1000000</f>
        <v>123745.31078417294</v>
      </c>
      <c r="G10" s="34"/>
      <c r="H10" s="33"/>
      <c r="I10" s="33"/>
      <c r="J10" s="40">
        <f>C32*'E Balans VL '!D20/100/3.6*1000000+C32*'E Balans VL '!E20/100/3.6*1000000</f>
        <v>1.0978542246510792</v>
      </c>
      <c r="K10" s="33"/>
      <c r="L10" s="33"/>
      <c r="M10" s="33"/>
      <c r="N10" s="33">
        <f>C32*'E Balans VL '!Y20/100/3.6*1000000</f>
        <v>24379.472775065904</v>
      </c>
      <c r="O10" s="33"/>
      <c r="P10" s="33"/>
      <c r="R10" s="32"/>
    </row>
    <row r="11" spans="1:18">
      <c r="A11" s="6" t="s">
        <v>40</v>
      </c>
      <c r="B11" s="37">
        <f t="shared" si="0"/>
        <v>1853.3148776759901</v>
      </c>
      <c r="C11" s="33"/>
      <c r="D11" s="37">
        <f>IF( ISERROR(IND_textiel_gas_kWh/1000),0,IND_textiel_gas_kWh/1000)*0.902</f>
        <v>705.76474698849086</v>
      </c>
      <c r="E11" s="33">
        <f>C33*'E Balans VL '!I21/100/3.6*1000000</f>
        <v>0.36736492703984797</v>
      </c>
      <c r="F11" s="33">
        <f>C33*'E Balans VL '!L21/100/3.6*1000000+C33*'E Balans VL '!N21/100/3.6*1000000</f>
        <v>68.259822976344765</v>
      </c>
      <c r="G11" s="34"/>
      <c r="H11" s="33"/>
      <c r="I11" s="33"/>
      <c r="J11" s="40">
        <f>C33*'E Balans VL '!D21/100/3.6*1000000+C33*'E Balans VL '!E21/100/3.6*1000000</f>
        <v>0</v>
      </c>
      <c r="K11" s="33"/>
      <c r="L11" s="33"/>
      <c r="M11" s="33"/>
      <c r="N11" s="33">
        <f>C33*'E Balans VL '!Y21/100/3.6*1000000</f>
        <v>8.6174463269631882</v>
      </c>
      <c r="O11" s="33"/>
      <c r="P11" s="33"/>
      <c r="R11" s="32"/>
    </row>
    <row r="12" spans="1:18">
      <c r="A12" s="6" t="s">
        <v>37</v>
      </c>
      <c r="B12" s="37">
        <f t="shared" si="0"/>
        <v>32871.528580757702</v>
      </c>
      <c r="C12" s="33"/>
      <c r="D12" s="37">
        <f>IF( ISERROR(IND_min_gas_kWh/1000),0,IND_min_gas_kWh/1000)*0.902</f>
        <v>1702.4884516115778</v>
      </c>
      <c r="E12" s="33">
        <f>C34*'E Balans VL '!I22/100/3.6*1000000</f>
        <v>256.06204524289626</v>
      </c>
      <c r="F12" s="33">
        <f>C34*'E Balans VL '!L22/100/3.6*1000000+C34*'E Balans VL '!N22/100/3.6*1000000</f>
        <v>12397.120563534663</v>
      </c>
      <c r="G12" s="34"/>
      <c r="H12" s="33"/>
      <c r="I12" s="33"/>
      <c r="J12" s="40">
        <f>C34*'E Balans VL '!D22/100/3.6*1000000+C34*'E Balans VL '!E22/100/3.6*1000000</f>
        <v>180.7905331401943</v>
      </c>
      <c r="K12" s="33"/>
      <c r="L12" s="33"/>
      <c r="M12" s="33"/>
      <c r="N12" s="33">
        <f>C34*'E Balans VL '!Y22/100/3.6*1000000</f>
        <v>0</v>
      </c>
      <c r="O12" s="33"/>
      <c r="P12" s="33"/>
      <c r="R12" s="32"/>
    </row>
    <row r="13" spans="1:18">
      <c r="A13" s="6" t="s">
        <v>39</v>
      </c>
      <c r="B13" s="37">
        <f t="shared" si="0"/>
        <v>24762.724490294098</v>
      </c>
      <c r="C13" s="33"/>
      <c r="D13" s="37">
        <f>IF( ISERROR(IND_papier_gas_kWh/1000),0,IND_papier_gas_kWh/1000)*0.902</f>
        <v>20689.391359105433</v>
      </c>
      <c r="E13" s="33">
        <f>C35*'E Balans VL '!I23/100/3.6*1000000</f>
        <v>259.43465121435025</v>
      </c>
      <c r="F13" s="33">
        <f>C35*'E Balans VL '!L23/100/3.6*1000000+C35*'E Balans VL '!N23/100/3.6*1000000</f>
        <v>1847.7988905604275</v>
      </c>
      <c r="G13" s="34"/>
      <c r="H13" s="33"/>
      <c r="I13" s="33"/>
      <c r="J13" s="40">
        <f>C35*'E Balans VL '!D23/100/3.6*1000000+C35*'E Balans VL '!E23/100/3.6*1000000</f>
        <v>0</v>
      </c>
      <c r="K13" s="33"/>
      <c r="L13" s="33"/>
      <c r="M13" s="33"/>
      <c r="N13" s="33">
        <f>C35*'E Balans VL '!Y23/100/3.6*1000000</f>
        <v>52927.738943353361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38005.787628769394</v>
      </c>
      <c r="C15" s="33"/>
      <c r="D15" s="37">
        <f>IF( ISERROR(IND_rest_gas_kWh/1000),0,IND_rest_gas_kWh/1000)*0.902</f>
        <v>75026.828154198403</v>
      </c>
      <c r="E15" s="33">
        <f>C37*'E Balans VL '!I15/100/3.6*1000000</f>
        <v>2120.2731547720145</v>
      </c>
      <c r="F15" s="33">
        <f>C37*'E Balans VL '!L15/100/3.6*1000000+C37*'E Balans VL '!N15/100/3.6*1000000</f>
        <v>8934.3862276398504</v>
      </c>
      <c r="G15" s="34"/>
      <c r="H15" s="33"/>
      <c r="I15" s="33"/>
      <c r="J15" s="40">
        <f>C37*'E Balans VL '!D15/100/3.6*1000000+C37*'E Balans VL '!E15/100/3.6*1000000</f>
        <v>97.41122373317873</v>
      </c>
      <c r="K15" s="33"/>
      <c r="L15" s="33"/>
      <c r="M15" s="33"/>
      <c r="N15" s="33">
        <f>C37*'E Balans VL '!Y15/100/3.6*1000000</f>
        <v>7458.7546722701954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215023.37998418626</v>
      </c>
      <c r="C18" s="21">
        <f>C5+C16</f>
        <v>0</v>
      </c>
      <c r="D18" s="21">
        <f>MAX((D5+D16),0)</f>
        <v>251740.28420124028</v>
      </c>
      <c r="E18" s="21">
        <f>MAX((E5+E16),0)</f>
        <v>12811.506187308643</v>
      </c>
      <c r="F18" s="21">
        <f>MAX((F5+F16),0)</f>
        <v>159939.37913631031</v>
      </c>
      <c r="G18" s="21"/>
      <c r="H18" s="21"/>
      <c r="I18" s="21"/>
      <c r="J18" s="21">
        <f>MAX((J5+J16),0)</f>
        <v>279.29961109802412</v>
      </c>
      <c r="K18" s="21"/>
      <c r="L18" s="21">
        <f>MAX((L5+L16),0)</f>
        <v>0</v>
      </c>
      <c r="M18" s="21"/>
      <c r="N18" s="21">
        <f>MAX((N5+N16),0)</f>
        <v>88699.412137825566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0.1951320722154361</v>
      </c>
      <c r="C20" s="25">
        <f ca="1">'EF ele_warmte'!B22</f>
        <v>5.56344583535264E-2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41957.957711081392</v>
      </c>
      <c r="C22" s="23">
        <f ca="1">C18*C20</f>
        <v>0</v>
      </c>
      <c r="D22" s="23">
        <f>D18*D20</f>
        <v>50851.53740865054</v>
      </c>
      <c r="E22" s="23">
        <f>E18*E20</f>
        <v>2908.211904519062</v>
      </c>
      <c r="F22" s="23">
        <f>F18*F20</f>
        <v>42703.814229394855</v>
      </c>
      <c r="G22" s="23"/>
      <c r="H22" s="23"/>
      <c r="I22" s="23"/>
      <c r="J22" s="23">
        <f>J18*J20</f>
        <v>98.872062328700537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24561.355078908702</v>
      </c>
      <c r="C30" s="39">
        <f>IF(ISERROR(B30*3.6/1000000/'E Balans VL '!Z18*100),0,B30*3.6/1000000/'E Balans VL '!Z18*100)</f>
        <v>2.4167746413040572</v>
      </c>
      <c r="D30" s="239" t="s">
        <v>692</v>
      </c>
    </row>
    <row r="31" spans="1:18">
      <c r="A31" s="6" t="s">
        <v>33</v>
      </c>
      <c r="B31" s="37">
        <f>IF( ISERROR(IND_ander_ele_kWh/1000),0,IND_ander_ele_kWh/1000)</f>
        <v>9978.8763764641899</v>
      </c>
      <c r="C31" s="39">
        <f>IF(ISERROR(B31*3.6/1000000/'E Balans VL '!Z19*100),0,B31*3.6/1000000/'E Balans VL '!Z19*100)</f>
        <v>0.43457210612374181</v>
      </c>
      <c r="D31" s="239" t="s">
        <v>692</v>
      </c>
    </row>
    <row r="32" spans="1:18">
      <c r="A32" s="173" t="s">
        <v>41</v>
      </c>
      <c r="B32" s="37">
        <f>IF( ISERROR(IND_voed_ele_kWh/1000),0,IND_voed_ele_kWh/1000)</f>
        <v>82989.792951316194</v>
      </c>
      <c r="C32" s="39">
        <f>IF(ISERROR(B32*3.6/1000000/'E Balans VL '!Z20*100),0,B32*3.6/1000000/'E Balans VL '!Z20*100)</f>
        <v>15.746116369496926</v>
      </c>
      <c r="D32" s="239" t="s">
        <v>692</v>
      </c>
    </row>
    <row r="33" spans="1:5">
      <c r="A33" s="173" t="s">
        <v>40</v>
      </c>
      <c r="B33" s="37">
        <f>IF( ISERROR(IND_textiel_ele_kWh/1000),0,IND_textiel_ele_kWh/1000)</f>
        <v>1853.3148776759901</v>
      </c>
      <c r="C33" s="39">
        <f>IF(ISERROR(B33*3.6/1000000/'E Balans VL '!Z21*100),0,B33*3.6/1000000/'E Balans VL '!Z21*100)</f>
        <v>0.10581488088228214</v>
      </c>
      <c r="D33" s="239" t="s">
        <v>692</v>
      </c>
    </row>
    <row r="34" spans="1:5">
      <c r="A34" s="173" t="s">
        <v>37</v>
      </c>
      <c r="B34" s="37">
        <f>IF( ISERROR(IND_min_ele_kWh/1000),0,IND_min_ele_kWh/1000)</f>
        <v>32871.528580757702</v>
      </c>
      <c r="C34" s="39">
        <f>IF(ISERROR(B34*3.6/1000000/'E Balans VL '!Z22*100),0,B34*3.6/1000000/'E Balans VL '!Z22*100)</f>
        <v>4.6220670040558947</v>
      </c>
      <c r="D34" s="239" t="s">
        <v>692</v>
      </c>
    </row>
    <row r="35" spans="1:5">
      <c r="A35" s="173" t="s">
        <v>39</v>
      </c>
      <c r="B35" s="37">
        <f>IF( ISERROR(IND_papier_ele_kWh/1000),0,IND_papier_ele_kWh/1000)</f>
        <v>24762.724490294098</v>
      </c>
      <c r="C35" s="39">
        <f>IF(ISERROR(B35*3.6/1000000/'E Balans VL '!Z22*100),0,B35*3.6/1000000/'E Balans VL '!Z22*100)</f>
        <v>3.4818877228640557</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38005.787628769394</v>
      </c>
      <c r="C37" s="39">
        <f>IF(ISERROR(B37*3.6/1000000/'E Balans VL '!Z15*100),0,B37*3.6/1000000/'E Balans VL '!Z15*100)</f>
        <v>0.29288127440910722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18571.430215440323</v>
      </c>
      <c r="C5" s="17">
        <f>'Eigen informatie GS &amp; warmtenet'!B60</f>
        <v>0</v>
      </c>
      <c r="D5" s="30">
        <f>IF(ISERROR(SUM(LB_lb_gas_kWh,LB_rest_gas_kWh,onbekend_gas_kWh)/1000),0,SUM(LB_lb_gas_kWh,LB_rest_gas_kWh,onbekend_gas_kWh)/1000)*0.902</f>
        <v>19587.001935902397</v>
      </c>
      <c r="E5" s="17">
        <f>B17*'E Balans VL '!I25/3.6*1000000/100</f>
        <v>234.02394558108313</v>
      </c>
      <c r="F5" s="17">
        <f>B17*('E Balans VL '!L25/3.6*1000000+'E Balans VL '!N25/3.6*1000000)/100</f>
        <v>64076.086664531642</v>
      </c>
      <c r="G5" s="18"/>
      <c r="H5" s="17"/>
      <c r="I5" s="17"/>
      <c r="J5" s="17">
        <f>('E Balans VL '!D25+'E Balans VL '!E25)/3.6*1000000*landbouw!B17/100</f>
        <v>2792.9319918343908</v>
      </c>
      <c r="K5" s="17"/>
      <c r="L5" s="17">
        <f>L6*(-1)</f>
        <v>0</v>
      </c>
      <c r="M5" s="17"/>
      <c r="N5" s="17">
        <f>N6*(-1)</f>
        <v>38995.71428571429</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-38995.71428571429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18571.430215440323</v>
      </c>
      <c r="C8" s="21">
        <f>C5+C6</f>
        <v>0</v>
      </c>
      <c r="D8" s="21">
        <f>MAX((D5+D6),0)</f>
        <v>19587.001935902397</v>
      </c>
      <c r="E8" s="21">
        <f>MAX((E5+E6),0)</f>
        <v>234.02394558108313</v>
      </c>
      <c r="F8" s="21">
        <f>MAX((F5+F6),0)</f>
        <v>64076.086664531642</v>
      </c>
      <c r="G8" s="21"/>
      <c r="H8" s="21"/>
      <c r="I8" s="21"/>
      <c r="J8" s="21">
        <f>MAX((J5+J6),0)</f>
        <v>2792.9319918343908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0.1951320722154361</v>
      </c>
      <c r="C10" s="31">
        <f ca="1">'EF ele_warmte'!B22</f>
        <v>5.56344583535264E-2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3623.8816619432332</v>
      </c>
      <c r="C12" s="23">
        <f ca="1">C8*C10</f>
        <v>0</v>
      </c>
      <c r="D12" s="23">
        <f>D8*D10</f>
        <v>3956.5743910522847</v>
      </c>
      <c r="E12" s="23">
        <f>E8*E10</f>
        <v>53.123435646905868</v>
      </c>
      <c r="F12" s="23">
        <f>F8*F10</f>
        <v>17108.315139429949</v>
      </c>
      <c r="G12" s="23"/>
      <c r="H12" s="23"/>
      <c r="I12" s="23"/>
      <c r="J12" s="23">
        <f>J8*J10</f>
        <v>988.6979251093743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2.5901291775502102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275.28953054567552</v>
      </c>
      <c r="C26" s="249">
        <f>B26*'GWP N2O_CH4'!B5</f>
        <v>5781.0801414591861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276.24580904091613</v>
      </c>
      <c r="C27" s="249">
        <f>B27*'GWP N2O_CH4'!B5</f>
        <v>5801.1619898592389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4.5317954511905914</v>
      </c>
      <c r="C28" s="249">
        <f>B28*'GWP N2O_CH4'!B4</f>
        <v>1404.8565898690833</v>
      </c>
      <c r="D28" s="50"/>
    </row>
    <row r="29" spans="1:4">
      <c r="A29" s="41" t="s">
        <v>277</v>
      </c>
      <c r="B29" s="249">
        <f>B34*'ha_N2O bodem landbouw'!B4</f>
        <v>14.694991792058831</v>
      </c>
      <c r="C29" s="249">
        <f>B29*'GWP N2O_CH4'!B4</f>
        <v>4555.4474555382376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3.6691926140208671E-3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5.2155657946266701E-5</v>
      </c>
      <c r="C5" s="448" t="s">
        <v>211</v>
      </c>
      <c r="D5" s="433">
        <f>SUM(D6:D11)</f>
        <v>8.8764878828753076E-5</v>
      </c>
      <c r="E5" s="433">
        <f>SUM(E6:E11)</f>
        <v>2.8570261242720626E-3</v>
      </c>
      <c r="F5" s="446" t="s">
        <v>211</v>
      </c>
      <c r="G5" s="433">
        <f>SUM(G6:G11)</f>
        <v>0.82030260502444152</v>
      </c>
      <c r="H5" s="433">
        <f>SUM(H6:H11)</f>
        <v>0.13426683372591239</v>
      </c>
      <c r="I5" s="448" t="s">
        <v>211</v>
      </c>
      <c r="J5" s="448" t="s">
        <v>211</v>
      </c>
      <c r="K5" s="448" t="s">
        <v>211</v>
      </c>
      <c r="L5" s="448" t="s">
        <v>211</v>
      </c>
      <c r="M5" s="433">
        <f>SUM(M6:M11)</f>
        <v>4.2752993651096804E-2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2.6542004559117106E-5</v>
      </c>
      <c r="C6" s="949"/>
      <c r="D6" s="949">
        <f>vkm_2011_GW_PW*SUMIFS(TableVerdeelsleutelVkm[CNG],TableVerdeelsleutelVkm[Voertuigtype],"Lichte voertuigen")*SUMIFS(TableECFTransport[EnergieConsumptieFactor (PJ per km)],TableECFTransport[Index],CONCATENATE($A6,"_CNG_CNG"))</f>
        <v>3.7588669557270128E-5</v>
      </c>
      <c r="E6" s="949">
        <f>vkm_2011_GW_PW*SUMIFS(TableVerdeelsleutelVkm[LPG],TableVerdeelsleutelVkm[Voertuigtype],"Lichte voertuigen")*SUMIFS(TableECFTransport[EnergieConsumptieFactor (PJ per km)],TableECFTransport[Index],CONCATENATE($A6,"_LPG_LPG"))</f>
        <v>1.1805363656267743E-3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0.21217471039621472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5.7013274937798938E-2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1.2012360900269635E-2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0.17287915118455774</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6.159432841733828E-5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7.8013168099845057E-3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1.2737251120965824E-5</v>
      </c>
      <c r="C8" s="949"/>
      <c r="D8" s="436">
        <f>vkm_2011_NGW_PW*SUMIFS(TableVerdeelsleutelVkm[CNG],TableVerdeelsleutelVkm[Voertuigtype],"Lichte voertuigen")*SUMIFS(TableECFTransport[EnergieConsumptieFactor (PJ per km)],TableECFTransport[Index],CONCATENATE($A8,"_CNG_CNG"))</f>
        <v>3.2135786202787548E-5</v>
      </c>
      <c r="E8" s="436">
        <f>vkm_2011_NGW_PW*SUMIFS(TableVerdeelsleutelVkm[LPG],TableVerdeelsleutelVkm[Voertuigtype],"Lichte voertuigen")*SUMIFS(TableECFTransport[EnergieConsumptieFactor (PJ per km)],TableECFTransport[Index],CONCATENATE($A8,"_LPG_LPG"))</f>
        <v>9.2961603786957463E-4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0.15757893290244851</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4.7031735562031086E-2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9.1221516911059054E-3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4.9431967764598926E-2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1.6665974135597085E-5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2.2306185383497981E-3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1.2876402266183771E-5</v>
      </c>
      <c r="C10" s="949"/>
      <c r="D10" s="436">
        <f>vkm_2011_SW_PW*SUMIFS(TableVerdeelsleutelVkm[CNG],TableVerdeelsleutelVkm[Voertuigtype],"Lichte voertuigen")*SUMIFS(TableECFTransport[EnergieConsumptieFactor (PJ per km)],TableECFTransport[Index],CONCATENATE($A10,"_CNG_CNG"))</f>
        <v>1.9040423068695403E-5</v>
      </c>
      <c r="E10" s="436">
        <f>vkm_2011_SW_PW*SUMIFS(TableVerdeelsleutelVkm[LPG],TableVerdeelsleutelVkm[Voertuigtype],"Lichte voertuigen")*SUMIFS(TableECFTransport[EnergieConsumptieFactor (PJ per km)],TableECFTransport[Index],CONCATENATE($A10,"_LPG_LPG"))</f>
        <v>7.4687372077571353E-4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0.12156908500054564</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3.010257888354291E-2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6.7729009117508676E-3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0.10666875777607603</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4.0984039986521851E-5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4.8136447996360897E-3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14.487682762851861</v>
      </c>
      <c r="C14" s="21"/>
      <c r="D14" s="21">
        <f t="shared" ref="D14:M14" si="0">((D5)*10^9/3600)+D12</f>
        <v>24.656910785764744</v>
      </c>
      <c r="E14" s="21">
        <f t="shared" si="0"/>
        <v>793.61836785335072</v>
      </c>
      <c r="F14" s="21"/>
      <c r="G14" s="21">
        <f t="shared" si="0"/>
        <v>227861.83472901152</v>
      </c>
      <c r="H14" s="21">
        <f t="shared" si="0"/>
        <v>37296.34270164233</v>
      </c>
      <c r="I14" s="21"/>
      <c r="J14" s="21"/>
      <c r="K14" s="21"/>
      <c r="L14" s="21"/>
      <c r="M14" s="21">
        <f t="shared" si="0"/>
        <v>11875.831569749113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0.1951320722154361</v>
      </c>
      <c r="C16" s="56">
        <f ca="1">'EF ele_warmte'!B22</f>
        <v>5.56344583535264E-2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2.8270115591151384</v>
      </c>
      <c r="C18" s="23"/>
      <c r="D18" s="23">
        <f t="shared" ref="D18:M18" si="1">D14*D16</f>
        <v>4.9806959787244782</v>
      </c>
      <c r="E18" s="23">
        <f t="shared" si="1"/>
        <v>180.15136950271062</v>
      </c>
      <c r="F18" s="23"/>
      <c r="G18" s="23">
        <f t="shared" si="1"/>
        <v>60839.109872646077</v>
      </c>
      <c r="H18" s="23">
        <f t="shared" si="1"/>
        <v>9286.7893327089405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1.8356833516472295E-2</v>
      </c>
      <c r="H50" s="323">
        <f t="shared" si="2"/>
        <v>0</v>
      </c>
      <c r="I50" s="323">
        <f t="shared" si="2"/>
        <v>0</v>
      </c>
      <c r="J50" s="323">
        <f t="shared" si="2"/>
        <v>0</v>
      </c>
      <c r="K50" s="323">
        <f t="shared" si="2"/>
        <v>0</v>
      </c>
      <c r="L50" s="323">
        <f t="shared" si="2"/>
        <v>0</v>
      </c>
      <c r="M50" s="323">
        <f t="shared" si="2"/>
        <v>8.1637328575727614E-4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1.8356833516472295E-2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8.1637328575727614E-4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5099.1204212423045</v>
      </c>
      <c r="H54" s="21">
        <f t="shared" si="3"/>
        <v>0</v>
      </c>
      <c r="I54" s="21">
        <f t="shared" si="3"/>
        <v>0</v>
      </c>
      <c r="J54" s="21">
        <f t="shared" si="3"/>
        <v>0</v>
      </c>
      <c r="K54" s="21">
        <f t="shared" si="3"/>
        <v>0</v>
      </c>
      <c r="L54" s="21">
        <f t="shared" si="3"/>
        <v>0</v>
      </c>
      <c r="M54" s="21">
        <f t="shared" si="3"/>
        <v>226.77035715479892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0.1951320722154361</v>
      </c>
      <c r="C56" s="56">
        <f ca="1">'EF ele_warmte'!B22</f>
        <v>5.56344583535264E-2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1361.4651524716953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4"/>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22926.293407096153</v>
      </c>
      <c r="C6" s="1142"/>
      <c r="D6" s="1145"/>
      <c r="E6" s="1145"/>
      <c r="F6" s="1148"/>
      <c r="G6" s="1151"/>
      <c r="H6" s="1139"/>
      <c r="I6" s="1145"/>
      <c r="J6" s="1145"/>
      <c r="K6" s="1145"/>
      <c r="L6" s="1175"/>
      <c r="M6" s="561"/>
      <c r="N6" s="1187"/>
      <c r="O6" s="1188"/>
      <c r="Q6" s="559"/>
      <c r="R6" s="1172"/>
      <c r="S6" s="1172"/>
    </row>
    <row r="7" spans="1:19" s="549" customFormat="1">
      <c r="A7" s="562" t="s">
        <v>252</v>
      </c>
      <c r="B7" s="563">
        <f>N57</f>
        <v>28948.5</v>
      </c>
      <c r="C7" s="564">
        <f>B100</f>
        <v>7972.9411764705883</v>
      </c>
      <c r="D7" s="565"/>
      <c r="E7" s="565">
        <f>E100</f>
        <v>0</v>
      </c>
      <c r="F7" s="566"/>
      <c r="G7" s="567"/>
      <c r="H7" s="565">
        <f>I100</f>
        <v>0</v>
      </c>
      <c r="I7" s="565">
        <f>G100+F100</f>
        <v>0</v>
      </c>
      <c r="J7" s="565">
        <f>H100+D100+C100</f>
        <v>26084.117647058825</v>
      </c>
      <c r="K7" s="565"/>
      <c r="L7" s="568"/>
      <c r="M7" s="569">
        <f>C7*$C$11+D7*$D$11+E7*$E$11+F7*$F$11+G7*$G$11+H7*$H$11+I7*$I$11+J7*$J$11</f>
        <v>1610.534117647059</v>
      </c>
      <c r="N7" s="1187"/>
      <c r="O7" s="1188"/>
      <c r="Q7" s="559"/>
      <c r="R7" s="1172"/>
      <c r="S7" s="1172"/>
    </row>
    <row r="8" spans="1:19" s="549" customFormat="1" ht="17.45" customHeight="1" thickBot="1">
      <c r="A8" s="570" t="s">
        <v>248</v>
      </c>
      <c r="B8" s="571">
        <f>N88+'Eigen informatie GS &amp; warmtenet'!B12</f>
        <v>13788</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39394.285714285717</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65662.793407096149</v>
      </c>
      <c r="C9" s="580">
        <f t="shared" ref="C9:L9" si="0">SUM(C7:C8)</f>
        <v>7972.9411764705883</v>
      </c>
      <c r="D9" s="580">
        <f t="shared" si="0"/>
        <v>0</v>
      </c>
      <c r="E9" s="580">
        <f t="shared" si="0"/>
        <v>0</v>
      </c>
      <c r="F9" s="580">
        <f t="shared" si="0"/>
        <v>0</v>
      </c>
      <c r="G9" s="580">
        <f t="shared" si="0"/>
        <v>0</v>
      </c>
      <c r="H9" s="580">
        <f t="shared" si="0"/>
        <v>0</v>
      </c>
      <c r="I9" s="580">
        <f t="shared" si="0"/>
        <v>0</v>
      </c>
      <c r="J9" s="580">
        <f t="shared" si="0"/>
        <v>65478.403361344543</v>
      </c>
      <c r="K9" s="580">
        <f t="shared" si="0"/>
        <v>0</v>
      </c>
      <c r="L9" s="580">
        <f t="shared" si="0"/>
        <v>0</v>
      </c>
      <c r="M9" s="581">
        <f>SUM(M4:M8)</f>
        <v>1610.534117647059</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41355.000000000007</v>
      </c>
      <c r="C16" s="596">
        <f>B101</f>
        <v>11389.915966386558</v>
      </c>
      <c r="D16" s="597"/>
      <c r="E16" s="597">
        <f>E101</f>
        <v>0</v>
      </c>
      <c r="F16" s="598"/>
      <c r="G16" s="599"/>
      <c r="H16" s="596">
        <f>I101</f>
        <v>0</v>
      </c>
      <c r="I16" s="597">
        <f>G101+F101</f>
        <v>0</v>
      </c>
      <c r="J16" s="597">
        <f>H101+D101+C101</f>
        <v>37263.025210084044</v>
      </c>
      <c r="K16" s="597"/>
      <c r="L16" s="600"/>
      <c r="M16" s="601">
        <f>C16*$C$21+E16*$E$21+H16*$H$21+I16*$I$21+J16*$J$21+D16*$D$21+F16*$F$21+G16*$G$21+K16*$K$21+L16*$L$21</f>
        <v>2300.7630252100848</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41355.000000000007</v>
      </c>
      <c r="C19" s="579">
        <f>SUM(C16:C18)</f>
        <v>11389.915966386558</v>
      </c>
      <c r="D19" s="579">
        <f t="shared" ref="D19:M19" si="1">SUM(D16:D18)</f>
        <v>0</v>
      </c>
      <c r="E19" s="579">
        <f t="shared" si="1"/>
        <v>0</v>
      </c>
      <c r="F19" s="579">
        <f t="shared" si="1"/>
        <v>0</v>
      </c>
      <c r="G19" s="579">
        <f t="shared" si="1"/>
        <v>0</v>
      </c>
      <c r="H19" s="579">
        <f t="shared" si="1"/>
        <v>0</v>
      </c>
      <c r="I19" s="579">
        <f t="shared" si="1"/>
        <v>0</v>
      </c>
      <c r="J19" s="579">
        <f t="shared" si="1"/>
        <v>37263.025210084044</v>
      </c>
      <c r="K19" s="579">
        <f t="shared" si="1"/>
        <v>0</v>
      </c>
      <c r="L19" s="579">
        <f t="shared" si="1"/>
        <v>0</v>
      </c>
      <c r="M19" s="606">
        <f t="shared" si="1"/>
        <v>2300.7630252100848</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36015</v>
      </c>
      <c r="C27" s="839">
        <v>8800</v>
      </c>
      <c r="D27" s="658" t="s">
        <v>840</v>
      </c>
      <c r="E27" s="657" t="s">
        <v>841</v>
      </c>
      <c r="F27" s="657" t="s">
        <v>842</v>
      </c>
      <c r="G27" s="657" t="s">
        <v>843</v>
      </c>
      <c r="H27" s="657" t="s">
        <v>844</v>
      </c>
      <c r="I27" s="657" t="s">
        <v>845</v>
      </c>
      <c r="J27" s="838">
        <v>39667</v>
      </c>
      <c r="K27" s="838">
        <v>39692</v>
      </c>
      <c r="L27" s="657" t="s">
        <v>846</v>
      </c>
      <c r="M27" s="657">
        <v>835</v>
      </c>
      <c r="N27" s="657">
        <v>3757.5</v>
      </c>
      <c r="O27" s="657">
        <v>5367.8571428571431</v>
      </c>
      <c r="P27" s="657">
        <v>0</v>
      </c>
      <c r="Q27" s="657">
        <v>10735.714285714286</v>
      </c>
      <c r="R27" s="657">
        <v>0</v>
      </c>
      <c r="S27" s="657">
        <v>0</v>
      </c>
      <c r="T27" s="657">
        <v>0</v>
      </c>
      <c r="U27" s="657">
        <v>0</v>
      </c>
      <c r="V27" s="657">
        <v>0</v>
      </c>
      <c r="W27" s="657">
        <v>0</v>
      </c>
      <c r="X27" s="657">
        <v>1600</v>
      </c>
      <c r="Y27" s="657" t="s">
        <v>50</v>
      </c>
      <c r="Z27" s="659" t="s">
        <v>156</v>
      </c>
    </row>
    <row r="28" spans="1:26" s="611" customFormat="1" ht="63.75">
      <c r="A28" s="610"/>
      <c r="B28" s="839">
        <v>36015</v>
      </c>
      <c r="C28" s="839">
        <v>8800</v>
      </c>
      <c r="D28" s="658" t="s">
        <v>847</v>
      </c>
      <c r="E28" s="657" t="s">
        <v>848</v>
      </c>
      <c r="F28" s="657" t="s">
        <v>849</v>
      </c>
      <c r="G28" s="657" t="s">
        <v>843</v>
      </c>
      <c r="H28" s="657" t="s">
        <v>844</v>
      </c>
      <c r="I28" s="657" t="s">
        <v>848</v>
      </c>
      <c r="J28" s="838">
        <v>39925</v>
      </c>
      <c r="K28" s="838">
        <v>39925</v>
      </c>
      <c r="L28" s="657" t="s">
        <v>846</v>
      </c>
      <c r="M28" s="657">
        <v>4024</v>
      </c>
      <c r="N28" s="657">
        <v>18108</v>
      </c>
      <c r="O28" s="657">
        <v>25868.571428571428</v>
      </c>
      <c r="P28" s="657">
        <v>12934.285714285716</v>
      </c>
      <c r="Q28" s="657">
        <v>38802.857142857145</v>
      </c>
      <c r="R28" s="657">
        <v>0</v>
      </c>
      <c r="S28" s="657">
        <v>0</v>
      </c>
      <c r="T28" s="657">
        <v>0</v>
      </c>
      <c r="U28" s="657">
        <v>0</v>
      </c>
      <c r="V28" s="657">
        <v>0</v>
      </c>
      <c r="W28" s="657">
        <v>0</v>
      </c>
      <c r="X28" s="657">
        <v>1600</v>
      </c>
      <c r="Y28" s="657" t="s">
        <v>50</v>
      </c>
      <c r="Z28" s="659" t="s">
        <v>156</v>
      </c>
    </row>
    <row r="29" spans="1:26" s="611" customFormat="1" ht="63.75">
      <c r="A29" s="610"/>
      <c r="B29" s="839">
        <v>36015</v>
      </c>
      <c r="C29" s="839">
        <v>8800</v>
      </c>
      <c r="D29" s="658" t="s">
        <v>850</v>
      </c>
      <c r="E29" s="657" t="s">
        <v>851</v>
      </c>
      <c r="F29" s="657" t="s">
        <v>852</v>
      </c>
      <c r="G29" s="657" t="s">
        <v>843</v>
      </c>
      <c r="H29" s="657" t="s">
        <v>844</v>
      </c>
      <c r="I29" s="657" t="s">
        <v>851</v>
      </c>
      <c r="J29" s="838">
        <v>40105</v>
      </c>
      <c r="K29" s="838">
        <v>40105</v>
      </c>
      <c r="L29" s="657" t="s">
        <v>846</v>
      </c>
      <c r="M29" s="657">
        <v>1074</v>
      </c>
      <c r="N29" s="657">
        <v>4833</v>
      </c>
      <c r="O29" s="657">
        <v>6904.2857142857147</v>
      </c>
      <c r="P29" s="657">
        <v>0</v>
      </c>
      <c r="Q29" s="657">
        <v>0</v>
      </c>
      <c r="R29" s="657">
        <v>13808.571428571429</v>
      </c>
      <c r="S29" s="657">
        <v>0</v>
      </c>
      <c r="T29" s="657">
        <v>0</v>
      </c>
      <c r="U29" s="657">
        <v>0</v>
      </c>
      <c r="V29" s="657">
        <v>0</v>
      </c>
      <c r="W29" s="657">
        <v>0</v>
      </c>
      <c r="X29" s="657">
        <v>1600</v>
      </c>
      <c r="Y29" s="657" t="s">
        <v>50</v>
      </c>
      <c r="Z29" s="659" t="s">
        <v>156</v>
      </c>
    </row>
    <row r="30" spans="1:26" s="611" customFormat="1" ht="25.5">
      <c r="A30" s="610"/>
      <c r="B30" s="839">
        <v>36015</v>
      </c>
      <c r="C30" s="839">
        <v>8800</v>
      </c>
      <c r="D30" s="658" t="s">
        <v>853</v>
      </c>
      <c r="E30" s="657" t="s">
        <v>854</v>
      </c>
      <c r="F30" s="657" t="s">
        <v>855</v>
      </c>
      <c r="G30" s="657" t="s">
        <v>843</v>
      </c>
      <c r="H30" s="657" t="s">
        <v>844</v>
      </c>
      <c r="I30" s="657" t="s">
        <v>854</v>
      </c>
      <c r="J30" s="838">
        <v>40269</v>
      </c>
      <c r="K30" s="838">
        <v>40275</v>
      </c>
      <c r="L30" s="657" t="s">
        <v>846</v>
      </c>
      <c r="M30" s="657">
        <v>500</v>
      </c>
      <c r="N30" s="657">
        <v>2250</v>
      </c>
      <c r="O30" s="657">
        <v>3214.2857142857142</v>
      </c>
      <c r="P30" s="657">
        <v>6428.5714285714294</v>
      </c>
      <c r="Q30" s="657">
        <v>0</v>
      </c>
      <c r="R30" s="657">
        <v>0</v>
      </c>
      <c r="S30" s="657">
        <v>0</v>
      </c>
      <c r="T30" s="657">
        <v>0</v>
      </c>
      <c r="U30" s="657">
        <v>0</v>
      </c>
      <c r="V30" s="657">
        <v>0</v>
      </c>
      <c r="W30" s="657">
        <v>0</v>
      </c>
      <c r="X30" s="657">
        <v>1100</v>
      </c>
      <c r="Y30" s="657" t="s">
        <v>52</v>
      </c>
      <c r="Z30" s="659" t="s">
        <v>156</v>
      </c>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6433</v>
      </c>
      <c r="N57" s="615">
        <f>SUM(N27:N56)</f>
        <v>28948.5</v>
      </c>
      <c r="O57" s="615">
        <f t="shared" ref="O57:W57" si="2">SUM(O27:O56)</f>
        <v>41355.000000000007</v>
      </c>
      <c r="P57" s="615">
        <f t="shared" si="2"/>
        <v>19362.857142857145</v>
      </c>
      <c r="Q57" s="615">
        <f t="shared" si="2"/>
        <v>49538.571428571435</v>
      </c>
      <c r="R57" s="615">
        <f t="shared" si="2"/>
        <v>13808.571428571429</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6433</v>
      </c>
      <c r="N59" s="615">
        <f ca="1">SUMIF($Z$27:AB56,"tertiair",N27:N56)</f>
        <v>28948.5</v>
      </c>
      <c r="O59" s="615">
        <f ca="1">SUMIF($Z$27:AC56,"tertiair",O27:O56)</f>
        <v>41355.000000000007</v>
      </c>
      <c r="P59" s="615">
        <f ca="1">SUMIF($Z$27:AD56,"tertiair",P27:P56)</f>
        <v>19362.857142857145</v>
      </c>
      <c r="Q59" s="615">
        <f ca="1">SUMIF($Z$27:AE56,"tertiair",Q27:Q56)</f>
        <v>49538.571428571435</v>
      </c>
      <c r="R59" s="615">
        <f ca="1">SUMIF($Z$27:AF56,"tertiair",R27:R56)</f>
        <v>13808.571428571429</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38.25">
      <c r="A63" s="612"/>
      <c r="B63" s="839">
        <v>36015</v>
      </c>
      <c r="C63" s="839">
        <v>8800</v>
      </c>
      <c r="D63" s="660" t="s">
        <v>856</v>
      </c>
      <c r="E63" s="660" t="s">
        <v>857</v>
      </c>
      <c r="F63" s="660" t="s">
        <v>858</v>
      </c>
      <c r="G63" s="660" t="s">
        <v>859</v>
      </c>
      <c r="H63" s="660" t="s">
        <v>860</v>
      </c>
      <c r="I63" s="660" t="s">
        <v>861</v>
      </c>
      <c r="J63" s="838">
        <v>39114</v>
      </c>
      <c r="K63" s="838">
        <v>39192</v>
      </c>
      <c r="L63" s="660" t="s">
        <v>862</v>
      </c>
      <c r="M63" s="660">
        <v>31</v>
      </c>
      <c r="N63" s="660">
        <v>139.5</v>
      </c>
      <c r="O63" s="660">
        <v>0</v>
      </c>
      <c r="P63" s="660">
        <v>0</v>
      </c>
      <c r="Q63" s="660">
        <v>398.57142857142861</v>
      </c>
      <c r="R63" s="660">
        <v>0</v>
      </c>
      <c r="S63" s="660">
        <v>0</v>
      </c>
      <c r="T63" s="660">
        <v>0</v>
      </c>
      <c r="U63" s="660">
        <v>0</v>
      </c>
      <c r="V63" s="660">
        <v>0</v>
      </c>
      <c r="W63" s="660">
        <v>0</v>
      </c>
      <c r="X63" s="660">
        <v>1300</v>
      </c>
      <c r="Y63" s="660" t="s">
        <v>54</v>
      </c>
      <c r="Z63" s="661" t="s">
        <v>156</v>
      </c>
    </row>
    <row r="64" spans="1:26" s="626" customFormat="1" ht="25.5">
      <c r="A64" s="612"/>
      <c r="B64" s="839">
        <v>36015</v>
      </c>
      <c r="C64" s="839">
        <v>8800</v>
      </c>
      <c r="D64" s="660" t="s">
        <v>863</v>
      </c>
      <c r="E64" s="660" t="s">
        <v>864</v>
      </c>
      <c r="F64" s="660" t="s">
        <v>865</v>
      </c>
      <c r="G64" s="660" t="s">
        <v>866</v>
      </c>
      <c r="H64" s="660" t="s">
        <v>860</v>
      </c>
      <c r="I64" s="660" t="s">
        <v>867</v>
      </c>
      <c r="J64" s="838">
        <v>39896</v>
      </c>
      <c r="K64" s="838">
        <v>39896</v>
      </c>
      <c r="L64" s="660" t="s">
        <v>862</v>
      </c>
      <c r="M64" s="660">
        <v>3033</v>
      </c>
      <c r="N64" s="660">
        <v>13648.5</v>
      </c>
      <c r="O64" s="660">
        <v>0</v>
      </c>
      <c r="P64" s="660">
        <v>0</v>
      </c>
      <c r="Q64" s="660">
        <v>38995.71428571429</v>
      </c>
      <c r="R64" s="660">
        <v>0</v>
      </c>
      <c r="S64" s="660">
        <v>0</v>
      </c>
      <c r="T64" s="660">
        <v>0</v>
      </c>
      <c r="U64" s="660">
        <v>0</v>
      </c>
      <c r="V64" s="660">
        <v>0</v>
      </c>
      <c r="W64" s="660">
        <v>0</v>
      </c>
      <c r="X64" s="660">
        <v>10</v>
      </c>
      <c r="Y64" s="660" t="s">
        <v>112</v>
      </c>
      <c r="Z64" s="661" t="s">
        <v>112</v>
      </c>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3064</v>
      </c>
      <c r="N88" s="615">
        <f t="shared" ref="N88:W88" si="5">SUM(N63:N87)</f>
        <v>13788</v>
      </c>
      <c r="O88" s="615">
        <f t="shared" si="5"/>
        <v>0</v>
      </c>
      <c r="P88" s="615">
        <f t="shared" si="5"/>
        <v>0</v>
      </c>
      <c r="Q88" s="615">
        <f t="shared" si="5"/>
        <v>39394.285714285717</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31</v>
      </c>
      <c r="N90" s="615">
        <f t="shared" ref="N90:W90" si="7">SUMIF($Z$63:$Z$88,"tertiair",N63:N88)</f>
        <v>139.5</v>
      </c>
      <c r="O90" s="615">
        <f t="shared" si="7"/>
        <v>0</v>
      </c>
      <c r="P90" s="615">
        <f t="shared" si="7"/>
        <v>0</v>
      </c>
      <c r="Q90" s="615">
        <f t="shared" si="7"/>
        <v>398.57142857142861</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3033</v>
      </c>
      <c r="N91" s="620">
        <f t="shared" si="8"/>
        <v>13648.5</v>
      </c>
      <c r="O91" s="620">
        <f t="shared" si="8"/>
        <v>0</v>
      </c>
      <c r="P91" s="620">
        <f t="shared" si="8"/>
        <v>0</v>
      </c>
      <c r="Q91" s="620">
        <f t="shared" si="8"/>
        <v>38995.71428571429</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0.58823529411764719</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7972.9411764705883</v>
      </c>
      <c r="C100" s="649">
        <f t="shared" si="9"/>
        <v>20398.235294117647</v>
      </c>
      <c r="D100" s="649">
        <f t="shared" si="9"/>
        <v>5685.8823529411766</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11389.915966386558</v>
      </c>
      <c r="C101" s="652">
        <f t="shared" ref="C101:H101" si="10">$B$97*Q57</f>
        <v>29140.336134453792</v>
      </c>
      <c r="D101" s="652">
        <f t="shared" si="10"/>
        <v>8122.6890756302546</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168305.962291729</v>
      </c>
      <c r="D10" s="704">
        <f ca="1">tertiair!C16</f>
        <v>41355.000000000007</v>
      </c>
      <c r="E10" s="704">
        <f ca="1">tertiair!D16</f>
        <v>209257.1076397358</v>
      </c>
      <c r="F10" s="704">
        <f>tertiair!E16</f>
        <v>1858.0944890060603</v>
      </c>
      <c r="G10" s="704">
        <f ca="1">tertiair!F16</f>
        <v>25275.093336906542</v>
      </c>
      <c r="H10" s="704">
        <f>tertiair!G16</f>
        <v>0</v>
      </c>
      <c r="I10" s="704">
        <f>tertiair!H16</f>
        <v>0</v>
      </c>
      <c r="J10" s="704">
        <f>tertiair!I16</f>
        <v>0</v>
      </c>
      <c r="K10" s="704">
        <f>tertiair!J16</f>
        <v>0</v>
      </c>
      <c r="L10" s="704">
        <f>tertiair!K16</f>
        <v>0</v>
      </c>
      <c r="M10" s="704">
        <f ca="1">tertiair!L16</f>
        <v>0</v>
      </c>
      <c r="N10" s="704">
        <f>tertiair!M16</f>
        <v>0</v>
      </c>
      <c r="O10" s="704">
        <f ca="1">tertiair!N16</f>
        <v>0</v>
      </c>
      <c r="P10" s="704">
        <f>tertiair!O16</f>
        <v>4.6900000000000004</v>
      </c>
      <c r="Q10" s="705">
        <f>tertiair!P16</f>
        <v>209.73333333333335</v>
      </c>
      <c r="R10" s="707">
        <f ca="1">SUM(C10:Q10)</f>
        <v>446265.68109071068</v>
      </c>
      <c r="S10" s="67"/>
    </row>
    <row r="11" spans="1:19" s="459" customFormat="1">
      <c r="A11" s="858" t="s">
        <v>225</v>
      </c>
      <c r="B11" s="863"/>
      <c r="C11" s="704">
        <f>huishoudens!B8</f>
        <v>96808.229885241555</v>
      </c>
      <c r="D11" s="704">
        <f>huishoudens!C8</f>
        <v>0</v>
      </c>
      <c r="E11" s="704">
        <f>huishoudens!D8</f>
        <v>304728.06993821566</v>
      </c>
      <c r="F11" s="704">
        <f>huishoudens!E8</f>
        <v>10917.42837279716</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52005.664960912349</v>
      </c>
      <c r="P11" s="704">
        <f>huishoudens!O8</f>
        <v>806.68000000000018</v>
      </c>
      <c r="Q11" s="705">
        <f>huishoudens!P8</f>
        <v>2002</v>
      </c>
      <c r="R11" s="707">
        <f>SUM(C11:Q11)</f>
        <v>467268.07315716671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215023.37998418626</v>
      </c>
      <c r="D13" s="704">
        <f>industrie!C18</f>
        <v>0</v>
      </c>
      <c r="E13" s="704">
        <f>industrie!D18</f>
        <v>251740.28420124028</v>
      </c>
      <c r="F13" s="704">
        <f>industrie!E18</f>
        <v>12811.506187308643</v>
      </c>
      <c r="G13" s="704">
        <f>industrie!F18</f>
        <v>159939.37913631031</v>
      </c>
      <c r="H13" s="704">
        <f>industrie!G18</f>
        <v>0</v>
      </c>
      <c r="I13" s="704">
        <f>industrie!H18</f>
        <v>0</v>
      </c>
      <c r="J13" s="704">
        <f>industrie!I18</f>
        <v>0</v>
      </c>
      <c r="K13" s="704">
        <f>industrie!J18</f>
        <v>279.29961109802412</v>
      </c>
      <c r="L13" s="704">
        <f>industrie!K18</f>
        <v>0</v>
      </c>
      <c r="M13" s="704">
        <f>industrie!L18</f>
        <v>0</v>
      </c>
      <c r="N13" s="704">
        <f>industrie!M18</f>
        <v>0</v>
      </c>
      <c r="O13" s="704">
        <f>industrie!N18</f>
        <v>88699.412137825566</v>
      </c>
      <c r="P13" s="704">
        <f>industrie!O18</f>
        <v>0</v>
      </c>
      <c r="Q13" s="705">
        <f>industrie!P18</f>
        <v>0</v>
      </c>
      <c r="R13" s="707">
        <f>SUM(C13:Q13)</f>
        <v>728493.26125796908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480137.5721611568</v>
      </c>
      <c r="D15" s="709">
        <f t="shared" ref="D15:Q15" ca="1" si="0">SUM(D9:D14)</f>
        <v>41355.000000000007</v>
      </c>
      <c r="E15" s="709">
        <f t="shared" ca="1" si="0"/>
        <v>765725.46177919174</v>
      </c>
      <c r="F15" s="709">
        <f t="shared" si="0"/>
        <v>25587.029049111865</v>
      </c>
      <c r="G15" s="709">
        <f t="shared" ca="1" si="0"/>
        <v>185214.47247321685</v>
      </c>
      <c r="H15" s="709">
        <f t="shared" si="0"/>
        <v>0</v>
      </c>
      <c r="I15" s="709">
        <f t="shared" si="0"/>
        <v>0</v>
      </c>
      <c r="J15" s="709">
        <f t="shared" si="0"/>
        <v>0</v>
      </c>
      <c r="K15" s="709">
        <f t="shared" si="0"/>
        <v>279.29961109802412</v>
      </c>
      <c r="L15" s="709">
        <f t="shared" si="0"/>
        <v>0</v>
      </c>
      <c r="M15" s="709">
        <f t="shared" ca="1" si="0"/>
        <v>0</v>
      </c>
      <c r="N15" s="709">
        <f t="shared" si="0"/>
        <v>0</v>
      </c>
      <c r="O15" s="709">
        <f t="shared" ca="1" si="0"/>
        <v>140705.07709873791</v>
      </c>
      <c r="P15" s="709">
        <f t="shared" si="0"/>
        <v>811.37000000000023</v>
      </c>
      <c r="Q15" s="710">
        <f t="shared" si="0"/>
        <v>2211.7333333333336</v>
      </c>
      <c r="R15" s="711">
        <f ca="1">SUM(R9:R14)</f>
        <v>1642027.0155058466</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5099.1204212423045</v>
      </c>
      <c r="I18" s="704">
        <f>transport!H54</f>
        <v>0</v>
      </c>
      <c r="J18" s="704">
        <f>transport!I54</f>
        <v>0</v>
      </c>
      <c r="K18" s="704">
        <f>transport!J54</f>
        <v>0</v>
      </c>
      <c r="L18" s="704">
        <f>transport!K54</f>
        <v>0</v>
      </c>
      <c r="M18" s="704">
        <f>transport!L54</f>
        <v>0</v>
      </c>
      <c r="N18" s="704">
        <f>transport!M54</f>
        <v>226.77035715479892</v>
      </c>
      <c r="O18" s="704">
        <f>transport!N54</f>
        <v>0</v>
      </c>
      <c r="P18" s="704">
        <f>transport!O54</f>
        <v>0</v>
      </c>
      <c r="Q18" s="705">
        <f>transport!P54</f>
        <v>0</v>
      </c>
      <c r="R18" s="707">
        <f>SUM(C18:Q18)</f>
        <v>5325.8907783971035</v>
      </c>
      <c r="S18" s="67"/>
    </row>
    <row r="19" spans="1:19" s="459" customFormat="1" ht="15" thickBot="1">
      <c r="A19" s="858" t="s">
        <v>307</v>
      </c>
      <c r="B19" s="863"/>
      <c r="C19" s="713">
        <f>transport!B14</f>
        <v>14.487682762851861</v>
      </c>
      <c r="D19" s="713">
        <f>transport!C14</f>
        <v>0</v>
      </c>
      <c r="E19" s="713">
        <f>transport!D14</f>
        <v>24.656910785764744</v>
      </c>
      <c r="F19" s="713">
        <f>transport!E14</f>
        <v>793.61836785335072</v>
      </c>
      <c r="G19" s="713">
        <f>transport!F14</f>
        <v>0</v>
      </c>
      <c r="H19" s="713">
        <f>transport!G14</f>
        <v>227861.83472901152</v>
      </c>
      <c r="I19" s="713">
        <f>transport!H14</f>
        <v>37296.34270164233</v>
      </c>
      <c r="J19" s="713">
        <f>transport!I14</f>
        <v>0</v>
      </c>
      <c r="K19" s="713">
        <f>transport!J14</f>
        <v>0</v>
      </c>
      <c r="L19" s="713">
        <f>transport!K14</f>
        <v>0</v>
      </c>
      <c r="M19" s="713">
        <f>transport!L14</f>
        <v>0</v>
      </c>
      <c r="N19" s="713">
        <f>transport!M14</f>
        <v>11875.831569749113</v>
      </c>
      <c r="O19" s="713">
        <f>transport!N14</f>
        <v>0</v>
      </c>
      <c r="P19" s="713">
        <f>transport!O14</f>
        <v>0</v>
      </c>
      <c r="Q19" s="714">
        <f>transport!P14</f>
        <v>0</v>
      </c>
      <c r="R19" s="715">
        <f>SUM(C19:Q19)</f>
        <v>277866.77196180489</v>
      </c>
      <c r="S19" s="67"/>
    </row>
    <row r="20" spans="1:19" s="459" customFormat="1" ht="15.75" thickBot="1">
      <c r="A20" s="716" t="s">
        <v>230</v>
      </c>
      <c r="B20" s="866"/>
      <c r="C20" s="861">
        <f>SUM(C17:C19)</f>
        <v>14.487682762851861</v>
      </c>
      <c r="D20" s="717">
        <f t="shared" ref="D20:R20" si="1">SUM(D17:D19)</f>
        <v>0</v>
      </c>
      <c r="E20" s="717">
        <f t="shared" si="1"/>
        <v>24.656910785764744</v>
      </c>
      <c r="F20" s="717">
        <f t="shared" si="1"/>
        <v>793.61836785335072</v>
      </c>
      <c r="G20" s="717">
        <f t="shared" si="1"/>
        <v>0</v>
      </c>
      <c r="H20" s="717">
        <f t="shared" si="1"/>
        <v>232960.95515025384</v>
      </c>
      <c r="I20" s="717">
        <f t="shared" si="1"/>
        <v>37296.34270164233</v>
      </c>
      <c r="J20" s="717">
        <f t="shared" si="1"/>
        <v>0</v>
      </c>
      <c r="K20" s="717">
        <f t="shared" si="1"/>
        <v>0</v>
      </c>
      <c r="L20" s="717">
        <f t="shared" si="1"/>
        <v>0</v>
      </c>
      <c r="M20" s="717">
        <f t="shared" si="1"/>
        <v>0</v>
      </c>
      <c r="N20" s="717">
        <f t="shared" si="1"/>
        <v>12102.601926903912</v>
      </c>
      <c r="O20" s="717">
        <f t="shared" si="1"/>
        <v>0</v>
      </c>
      <c r="P20" s="717">
        <f t="shared" si="1"/>
        <v>0</v>
      </c>
      <c r="Q20" s="718">
        <f t="shared" si="1"/>
        <v>0</v>
      </c>
      <c r="R20" s="719">
        <f t="shared" si="1"/>
        <v>283192.66274020198</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18571.430215440323</v>
      </c>
      <c r="D22" s="713">
        <f>+landbouw!C8</f>
        <v>0</v>
      </c>
      <c r="E22" s="713">
        <f>+landbouw!D8</f>
        <v>19587.001935902397</v>
      </c>
      <c r="F22" s="713">
        <f>+landbouw!E8</f>
        <v>234.02394558108313</v>
      </c>
      <c r="G22" s="713">
        <f>+landbouw!F8</f>
        <v>64076.086664531642</v>
      </c>
      <c r="H22" s="713">
        <f>+landbouw!G8</f>
        <v>0</v>
      </c>
      <c r="I22" s="713">
        <f>+landbouw!H8</f>
        <v>0</v>
      </c>
      <c r="J22" s="713">
        <f>+landbouw!I8</f>
        <v>0</v>
      </c>
      <c r="K22" s="713">
        <f>+landbouw!J8</f>
        <v>2792.9319918343908</v>
      </c>
      <c r="L22" s="713">
        <f>+landbouw!K8</f>
        <v>0</v>
      </c>
      <c r="M22" s="713">
        <f>+landbouw!L8</f>
        <v>0</v>
      </c>
      <c r="N22" s="713">
        <f>+landbouw!M8</f>
        <v>0</v>
      </c>
      <c r="O22" s="713">
        <f>+landbouw!N8</f>
        <v>0</v>
      </c>
      <c r="P22" s="713">
        <f>+landbouw!O8</f>
        <v>0</v>
      </c>
      <c r="Q22" s="714">
        <f>+landbouw!P8</f>
        <v>0</v>
      </c>
      <c r="R22" s="715">
        <f>SUM(C22:Q22)</f>
        <v>105261.47475328983</v>
      </c>
      <c r="S22" s="67"/>
    </row>
    <row r="23" spans="1:19" s="459" customFormat="1" ht="17.25" thickTop="1" thickBot="1">
      <c r="A23" s="720" t="s">
        <v>116</v>
      </c>
      <c r="B23" s="852"/>
      <c r="C23" s="721">
        <f ca="1">C20+C15+C22</f>
        <v>498723.49005935999</v>
      </c>
      <c r="D23" s="721">
        <f t="shared" ref="D23:Q23" ca="1" si="2">D20+D15+D22</f>
        <v>41355.000000000007</v>
      </c>
      <c r="E23" s="721">
        <f t="shared" ca="1" si="2"/>
        <v>785337.12062587985</v>
      </c>
      <c r="F23" s="721">
        <f t="shared" si="2"/>
        <v>26614.671362546298</v>
      </c>
      <c r="G23" s="721">
        <f t="shared" ca="1" si="2"/>
        <v>249290.5591377485</v>
      </c>
      <c r="H23" s="721">
        <f t="shared" si="2"/>
        <v>232960.95515025384</v>
      </c>
      <c r="I23" s="721">
        <f t="shared" si="2"/>
        <v>37296.34270164233</v>
      </c>
      <c r="J23" s="721">
        <f t="shared" si="2"/>
        <v>0</v>
      </c>
      <c r="K23" s="721">
        <f t="shared" si="2"/>
        <v>3072.2316029324147</v>
      </c>
      <c r="L23" s="721">
        <f t="shared" si="2"/>
        <v>0</v>
      </c>
      <c r="M23" s="721">
        <f t="shared" ca="1" si="2"/>
        <v>0</v>
      </c>
      <c r="N23" s="721">
        <f t="shared" si="2"/>
        <v>12102.601926903912</v>
      </c>
      <c r="O23" s="721">
        <f t="shared" ca="1" si="2"/>
        <v>140705.07709873791</v>
      </c>
      <c r="P23" s="721">
        <f t="shared" si="2"/>
        <v>811.37000000000023</v>
      </c>
      <c r="Q23" s="722">
        <f t="shared" si="2"/>
        <v>2211.7333333333336</v>
      </c>
      <c r="R23" s="723">
        <f ca="1">R20+R15+R22</f>
        <v>2030481.1529993382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32841.891188198133</v>
      </c>
      <c r="D36" s="704">
        <f ca="1">tertiair!C20</f>
        <v>2300.7630252100848</v>
      </c>
      <c r="E36" s="704">
        <f ca="1">tertiair!D20</f>
        <v>42269.935743226633</v>
      </c>
      <c r="F36" s="704">
        <f>tertiair!E20</f>
        <v>421.78744900437567</v>
      </c>
      <c r="G36" s="704">
        <f ca="1">tertiair!F20</f>
        <v>6748.4499209540472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84582.82732659328</v>
      </c>
    </row>
    <row r="37" spans="1:18">
      <c r="A37" s="873" t="s">
        <v>225</v>
      </c>
      <c r="B37" s="880"/>
      <c r="C37" s="704">
        <f ca="1">huishoudens!B12</f>
        <v>18890.390505015494</v>
      </c>
      <c r="D37" s="704">
        <f ca="1">huishoudens!C12</f>
        <v>0</v>
      </c>
      <c r="E37" s="704">
        <f>huishoudens!D12</f>
        <v>61555.070127519568</v>
      </c>
      <c r="F37" s="704">
        <f>huishoudens!E12</f>
        <v>2478.2562406249554</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82923.71687316001</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41957.957711081392</v>
      </c>
      <c r="D39" s="704">
        <f ca="1">industrie!C22</f>
        <v>0</v>
      </c>
      <c r="E39" s="704">
        <f>industrie!D22</f>
        <v>50851.53740865054</v>
      </c>
      <c r="F39" s="704">
        <f>industrie!E22</f>
        <v>2908.211904519062</v>
      </c>
      <c r="G39" s="704">
        <f>industrie!F22</f>
        <v>42703.814229394855</v>
      </c>
      <c r="H39" s="704">
        <f>industrie!G22</f>
        <v>0</v>
      </c>
      <c r="I39" s="704">
        <f>industrie!H22</f>
        <v>0</v>
      </c>
      <c r="J39" s="704">
        <f>industrie!I22</f>
        <v>0</v>
      </c>
      <c r="K39" s="704">
        <f>industrie!J22</f>
        <v>98.872062328700537</v>
      </c>
      <c r="L39" s="704">
        <f>industrie!K22</f>
        <v>0</v>
      </c>
      <c r="M39" s="704">
        <f>industrie!L22</f>
        <v>0</v>
      </c>
      <c r="N39" s="704">
        <f>industrie!M22</f>
        <v>0</v>
      </c>
      <c r="O39" s="704">
        <f>industrie!N22</f>
        <v>0</v>
      </c>
      <c r="P39" s="704">
        <f>industrie!O22</f>
        <v>0</v>
      </c>
      <c r="Q39" s="814">
        <f>industrie!P22</f>
        <v>0</v>
      </c>
      <c r="R39" s="906">
        <f ca="1">SUM(C39:Q39)</f>
        <v>138520.39331597456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93690.239404295018</v>
      </c>
      <c r="D41" s="749">
        <f t="shared" ref="D41:R41" ca="1" si="4">SUM(D35:D40)</f>
        <v>2300.7630252100848</v>
      </c>
      <c r="E41" s="749">
        <f t="shared" ca="1" si="4"/>
        <v>154676.54327939675</v>
      </c>
      <c r="F41" s="749">
        <f t="shared" si="4"/>
        <v>5808.2555941483934</v>
      </c>
      <c r="G41" s="749">
        <f t="shared" ca="1" si="4"/>
        <v>49452.264150348899</v>
      </c>
      <c r="H41" s="749">
        <f t="shared" si="4"/>
        <v>0</v>
      </c>
      <c r="I41" s="749">
        <f t="shared" si="4"/>
        <v>0</v>
      </c>
      <c r="J41" s="749">
        <f t="shared" si="4"/>
        <v>0</v>
      </c>
      <c r="K41" s="749">
        <f t="shared" si="4"/>
        <v>98.872062328700537</v>
      </c>
      <c r="L41" s="749">
        <f t="shared" si="4"/>
        <v>0</v>
      </c>
      <c r="M41" s="749">
        <f t="shared" ca="1" si="4"/>
        <v>0</v>
      </c>
      <c r="N41" s="749">
        <f t="shared" si="4"/>
        <v>0</v>
      </c>
      <c r="O41" s="749">
        <f t="shared" ca="1" si="4"/>
        <v>0</v>
      </c>
      <c r="P41" s="749">
        <f t="shared" si="4"/>
        <v>0</v>
      </c>
      <c r="Q41" s="750">
        <f t="shared" si="4"/>
        <v>0</v>
      </c>
      <c r="R41" s="751">
        <f t="shared" ca="1" si="4"/>
        <v>306026.93751572783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1361.4651524716953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1361.4651524716953</v>
      </c>
    </row>
    <row r="45" spans="1:18" ht="15" thickBot="1">
      <c r="A45" s="876" t="s">
        <v>307</v>
      </c>
      <c r="B45" s="886"/>
      <c r="C45" s="713">
        <f ca="1">transport!B18</f>
        <v>2.8270115591151384</v>
      </c>
      <c r="D45" s="713">
        <f>transport!C18</f>
        <v>0</v>
      </c>
      <c r="E45" s="713">
        <f>transport!D18</f>
        <v>4.9806959787244782</v>
      </c>
      <c r="F45" s="713">
        <f>transport!E18</f>
        <v>180.15136950271062</v>
      </c>
      <c r="G45" s="713">
        <f>transport!F18</f>
        <v>0</v>
      </c>
      <c r="H45" s="713">
        <f>transport!G18</f>
        <v>60839.109872646077</v>
      </c>
      <c r="I45" s="713">
        <f>transport!H18</f>
        <v>9286.7893327089405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70313.858282395566</v>
      </c>
    </row>
    <row r="46" spans="1:18" ht="15.75" thickBot="1">
      <c r="A46" s="874" t="s">
        <v>230</v>
      </c>
      <c r="B46" s="887"/>
      <c r="C46" s="749">
        <f t="shared" ref="C46:R46" ca="1" si="5">SUM(C43:C45)</f>
        <v>2.8270115591151384</v>
      </c>
      <c r="D46" s="749">
        <f t="shared" ca="1" si="5"/>
        <v>0</v>
      </c>
      <c r="E46" s="749">
        <f t="shared" si="5"/>
        <v>4.9806959787244782</v>
      </c>
      <c r="F46" s="749">
        <f t="shared" si="5"/>
        <v>180.15136950271062</v>
      </c>
      <c r="G46" s="749">
        <f t="shared" si="5"/>
        <v>0</v>
      </c>
      <c r="H46" s="749">
        <f t="shared" si="5"/>
        <v>62200.575025117774</v>
      </c>
      <c r="I46" s="749">
        <f t="shared" si="5"/>
        <v>9286.7893327089405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71675.323434867256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3623.8816619432332</v>
      </c>
      <c r="D48" s="704">
        <f ca="1">+landbouw!C12</f>
        <v>0</v>
      </c>
      <c r="E48" s="704">
        <f>+landbouw!D12</f>
        <v>3956.5743910522847</v>
      </c>
      <c r="F48" s="704">
        <f>+landbouw!E12</f>
        <v>53.123435646905868</v>
      </c>
      <c r="G48" s="704">
        <f>+landbouw!F12</f>
        <v>17108.315139429949</v>
      </c>
      <c r="H48" s="704">
        <f>+landbouw!G12</f>
        <v>0</v>
      </c>
      <c r="I48" s="704">
        <f>+landbouw!H12</f>
        <v>0</v>
      </c>
      <c r="J48" s="704">
        <f>+landbouw!I12</f>
        <v>0</v>
      </c>
      <c r="K48" s="704">
        <f>+landbouw!J12</f>
        <v>988.6979251093743</v>
      </c>
      <c r="L48" s="704">
        <f>+landbouw!K12</f>
        <v>0</v>
      </c>
      <c r="M48" s="704">
        <f>+landbouw!L12</f>
        <v>0</v>
      </c>
      <c r="N48" s="704">
        <f>+landbouw!M12</f>
        <v>0</v>
      </c>
      <c r="O48" s="704">
        <f>+landbouw!N12</f>
        <v>0</v>
      </c>
      <c r="P48" s="704">
        <f>+landbouw!O12</f>
        <v>0</v>
      </c>
      <c r="Q48" s="705">
        <f>+landbouw!P12</f>
        <v>0</v>
      </c>
      <c r="R48" s="747">
        <f ca="1">SUM(C48:Q48)</f>
        <v>25730.592553181745</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97316.948077797366</v>
      </c>
      <c r="D53" s="759">
        <f t="shared" ref="D53:Q53" ca="1" si="6">D41+D46+D48</f>
        <v>2300.7630252100848</v>
      </c>
      <c r="E53" s="759">
        <f t="shared" ca="1" si="6"/>
        <v>158638.09836642776</v>
      </c>
      <c r="F53" s="759">
        <f t="shared" si="6"/>
        <v>6041.5303992980098</v>
      </c>
      <c r="G53" s="759">
        <f t="shared" ca="1" si="6"/>
        <v>66560.579289778849</v>
      </c>
      <c r="H53" s="759">
        <f t="shared" si="6"/>
        <v>62200.575025117774</v>
      </c>
      <c r="I53" s="759">
        <f t="shared" si="6"/>
        <v>9286.7893327089405</v>
      </c>
      <c r="J53" s="759">
        <f t="shared" si="6"/>
        <v>0</v>
      </c>
      <c r="K53" s="759">
        <f t="shared" si="6"/>
        <v>1087.5699874380748</v>
      </c>
      <c r="L53" s="759">
        <f t="shared" si="6"/>
        <v>0</v>
      </c>
      <c r="M53" s="759">
        <f t="shared" ca="1" si="6"/>
        <v>0</v>
      </c>
      <c r="N53" s="759">
        <f t="shared" si="6"/>
        <v>0</v>
      </c>
      <c r="O53" s="759">
        <f t="shared" ca="1" si="6"/>
        <v>0</v>
      </c>
      <c r="P53" s="759">
        <f>P41+P46+P48</f>
        <v>0</v>
      </c>
      <c r="Q53" s="760">
        <f t="shared" si="6"/>
        <v>0</v>
      </c>
      <c r="R53" s="761">
        <f ca="1">R41+R46+R48</f>
        <v>403432.85350377683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0.1951320722154361</v>
      </c>
      <c r="D55" s="824">
        <f t="shared" ca="1" si="7"/>
        <v>5.56344583535264E-2</v>
      </c>
      <c r="E55" s="824">
        <f t="shared" ca="1" si="7"/>
        <v>0.20200000000000004</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22926.293407096153</v>
      </c>
      <c r="C66" s="781">
        <f>'lokale energieproductie'!B6</f>
        <v>22926.293407096153</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28948.5</v>
      </c>
      <c r="C67" s="780">
        <f>B67*IFERROR(SUM(J67:L67)/SUM(D67:M67),0)</f>
        <v>22171.5</v>
      </c>
      <c r="D67" s="812">
        <f>'lokale energieproductie'!C7</f>
        <v>7972.9411764705883</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26084.117647058825</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1610.534117647059</v>
      </c>
      <c r="P67" s="910">
        <v>0</v>
      </c>
      <c r="Q67" s="771"/>
      <c r="R67" s="728"/>
    </row>
    <row r="68" spans="1:18" ht="30.75" thickBot="1">
      <c r="A68" s="787" t="s">
        <v>353</v>
      </c>
      <c r="B68" s="780">
        <f>'lokale energieproductie'!B8</f>
        <v>13788</v>
      </c>
      <c r="C68" s="780">
        <f>B68*IFERROR(SUM(J68:L68)/SUM(D68:M68),0)</f>
        <v>13788</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39394.285714285717</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65662.793407096149</v>
      </c>
      <c r="C69" s="789">
        <f>SUM(C64:C68)</f>
        <v>58885.793407096149</v>
      </c>
      <c r="D69" s="790">
        <f t="shared" ref="D69:M69" si="8">SUM(D67:D68)</f>
        <v>7972.9411764705883</v>
      </c>
      <c r="E69" s="790">
        <f t="shared" si="8"/>
        <v>0</v>
      </c>
      <c r="F69" s="790">
        <f t="shared" si="8"/>
        <v>0</v>
      </c>
      <c r="G69" s="790">
        <f t="shared" si="8"/>
        <v>0</v>
      </c>
      <c r="H69" s="790">
        <f t="shared" si="8"/>
        <v>0</v>
      </c>
      <c r="I69" s="790">
        <f t="shared" si="8"/>
        <v>0</v>
      </c>
      <c r="J69" s="790">
        <f t="shared" si="8"/>
        <v>0</v>
      </c>
      <c r="K69" s="790">
        <f t="shared" si="8"/>
        <v>65478.403361344543</v>
      </c>
      <c r="L69" s="790">
        <f t="shared" si="8"/>
        <v>0</v>
      </c>
      <c r="M69" s="918">
        <f t="shared" si="8"/>
        <v>0</v>
      </c>
      <c r="N69" s="791">
        <v>0</v>
      </c>
      <c r="O69" s="791">
        <f>SUM(O67:O68)</f>
        <v>1610.534117647059</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41355.000000000007</v>
      </c>
      <c r="C78" s="803">
        <f>B78*IFERROR(SUM(I78:L78)/SUM(D78:M78),0)</f>
        <v>31673.571428571435</v>
      </c>
      <c r="D78" s="818">
        <f>'lokale energieproductie'!C16</f>
        <v>11389.915966386558</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37263.025210084044</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2300.7630252100848</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41355.000000000007</v>
      </c>
      <c r="C81" s="789">
        <f>SUM(C78:C80)</f>
        <v>31673.571428571435</v>
      </c>
      <c r="D81" s="789">
        <f t="shared" ref="D81:P81" si="9">SUM(D78:D80)</f>
        <v>11389.915966386558</v>
      </c>
      <c r="E81" s="789">
        <f t="shared" si="9"/>
        <v>0</v>
      </c>
      <c r="F81" s="789">
        <f t="shared" si="9"/>
        <v>0</v>
      </c>
      <c r="G81" s="789">
        <f t="shared" si="9"/>
        <v>0</v>
      </c>
      <c r="H81" s="789">
        <f t="shared" si="9"/>
        <v>0</v>
      </c>
      <c r="I81" s="789">
        <f t="shared" si="9"/>
        <v>0</v>
      </c>
      <c r="J81" s="789">
        <f t="shared" si="9"/>
        <v>0</v>
      </c>
      <c r="K81" s="789">
        <f t="shared" si="9"/>
        <v>37263.025210084044</v>
      </c>
      <c r="L81" s="789">
        <f t="shared" si="9"/>
        <v>0</v>
      </c>
      <c r="M81" s="789">
        <f t="shared" si="9"/>
        <v>0</v>
      </c>
      <c r="N81" s="789">
        <v>0</v>
      </c>
      <c r="O81" s="789">
        <f>SUM(O78:O80)</f>
        <v>2300.7630252100848</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96808.229885241555</v>
      </c>
      <c r="C4" s="463">
        <f>huishoudens!C8</f>
        <v>0</v>
      </c>
      <c r="D4" s="463">
        <f>huishoudens!D8</f>
        <v>304728.06993821566</v>
      </c>
      <c r="E4" s="463">
        <f>huishoudens!E8</f>
        <v>10917.42837279716</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52005.664960912349</v>
      </c>
      <c r="O4" s="463">
        <f>huishoudens!O8</f>
        <v>806.68000000000018</v>
      </c>
      <c r="P4" s="464">
        <f>huishoudens!P8</f>
        <v>2002</v>
      </c>
      <c r="Q4" s="465">
        <f>SUM(B4:P4)</f>
        <v>467268.07315716671</v>
      </c>
    </row>
    <row r="5" spans="1:17">
      <c r="A5" s="462" t="s">
        <v>156</v>
      </c>
      <c r="B5" s="463">
        <f ca="1">tertiair!B16</f>
        <v>162350.86629172901</v>
      </c>
      <c r="C5" s="463">
        <f ca="1">tertiair!C16</f>
        <v>41355.000000000007</v>
      </c>
      <c r="D5" s="463">
        <f ca="1">tertiair!D16</f>
        <v>209257.1076397358</v>
      </c>
      <c r="E5" s="463">
        <f>tertiair!E16</f>
        <v>1858.0944890060603</v>
      </c>
      <c r="F5" s="463">
        <f ca="1">tertiair!F16</f>
        <v>25275.093336906542</v>
      </c>
      <c r="G5" s="463">
        <f>tertiair!G16</f>
        <v>0</v>
      </c>
      <c r="H5" s="463">
        <f>tertiair!H16</f>
        <v>0</v>
      </c>
      <c r="I5" s="463">
        <f>tertiair!I16</f>
        <v>0</v>
      </c>
      <c r="J5" s="463">
        <f>tertiair!J16</f>
        <v>0</v>
      </c>
      <c r="K5" s="463">
        <f>tertiair!K16</f>
        <v>0</v>
      </c>
      <c r="L5" s="463">
        <f ca="1">tertiair!L16</f>
        <v>0</v>
      </c>
      <c r="M5" s="463">
        <f>tertiair!M16</f>
        <v>0</v>
      </c>
      <c r="N5" s="463">
        <f ca="1">tertiair!N16</f>
        <v>0</v>
      </c>
      <c r="O5" s="463">
        <f>tertiair!O16</f>
        <v>4.6900000000000004</v>
      </c>
      <c r="P5" s="464">
        <f>tertiair!P16</f>
        <v>209.73333333333335</v>
      </c>
      <c r="Q5" s="462">
        <f t="shared" ref="Q5:Q13" ca="1" si="0">SUM(B5:P5)</f>
        <v>440310.58509071072</v>
      </c>
    </row>
    <row r="6" spans="1:17">
      <c r="A6" s="462" t="s">
        <v>194</v>
      </c>
      <c r="B6" s="463">
        <f>'openbare verlichting'!B8</f>
        <v>5955.0959999999995</v>
      </c>
      <c r="C6" s="463"/>
      <c r="D6" s="463"/>
      <c r="E6" s="463"/>
      <c r="F6" s="463"/>
      <c r="G6" s="463"/>
      <c r="H6" s="463"/>
      <c r="I6" s="463"/>
      <c r="J6" s="463"/>
      <c r="K6" s="463"/>
      <c r="L6" s="463"/>
      <c r="M6" s="463"/>
      <c r="N6" s="463"/>
      <c r="O6" s="463"/>
      <c r="P6" s="464"/>
      <c r="Q6" s="462">
        <f t="shared" si="0"/>
        <v>5955.0959999999995</v>
      </c>
    </row>
    <row r="7" spans="1:17">
      <c r="A7" s="462" t="s">
        <v>112</v>
      </c>
      <c r="B7" s="463">
        <f>landbouw!B8</f>
        <v>18571.430215440323</v>
      </c>
      <c r="C7" s="463">
        <f>landbouw!C8</f>
        <v>0</v>
      </c>
      <c r="D7" s="463">
        <f>landbouw!D8</f>
        <v>19587.001935902397</v>
      </c>
      <c r="E7" s="463">
        <f>landbouw!E8</f>
        <v>234.02394558108313</v>
      </c>
      <c r="F7" s="463">
        <f>landbouw!F8</f>
        <v>64076.086664531642</v>
      </c>
      <c r="G7" s="463">
        <f>landbouw!G8</f>
        <v>0</v>
      </c>
      <c r="H7" s="463">
        <f>landbouw!H8</f>
        <v>0</v>
      </c>
      <c r="I7" s="463">
        <f>landbouw!I8</f>
        <v>0</v>
      </c>
      <c r="J7" s="463">
        <f>landbouw!J8</f>
        <v>2792.9319918343908</v>
      </c>
      <c r="K7" s="463">
        <f>landbouw!K8</f>
        <v>0</v>
      </c>
      <c r="L7" s="463">
        <f>landbouw!L8</f>
        <v>0</v>
      </c>
      <c r="M7" s="463">
        <f>landbouw!M8</f>
        <v>0</v>
      </c>
      <c r="N7" s="463">
        <f>landbouw!N8</f>
        <v>0</v>
      </c>
      <c r="O7" s="463">
        <f>landbouw!O8</f>
        <v>0</v>
      </c>
      <c r="P7" s="464">
        <f>landbouw!P8</f>
        <v>0</v>
      </c>
      <c r="Q7" s="462">
        <f t="shared" si="0"/>
        <v>105261.47475328983</v>
      </c>
    </row>
    <row r="8" spans="1:17">
      <c r="A8" s="462" t="s">
        <v>657</v>
      </c>
      <c r="B8" s="463">
        <f>industrie!B18</f>
        <v>215023.37998418626</v>
      </c>
      <c r="C8" s="463">
        <f>industrie!C18</f>
        <v>0</v>
      </c>
      <c r="D8" s="463">
        <f>industrie!D18</f>
        <v>251740.28420124028</v>
      </c>
      <c r="E8" s="463">
        <f>industrie!E18</f>
        <v>12811.506187308643</v>
      </c>
      <c r="F8" s="463">
        <f>industrie!F18</f>
        <v>159939.37913631031</v>
      </c>
      <c r="G8" s="463">
        <f>industrie!G18</f>
        <v>0</v>
      </c>
      <c r="H8" s="463">
        <f>industrie!H18</f>
        <v>0</v>
      </c>
      <c r="I8" s="463">
        <f>industrie!I18</f>
        <v>0</v>
      </c>
      <c r="J8" s="463">
        <f>industrie!J18</f>
        <v>279.29961109802412</v>
      </c>
      <c r="K8" s="463">
        <f>industrie!K18</f>
        <v>0</v>
      </c>
      <c r="L8" s="463">
        <f>industrie!L18</f>
        <v>0</v>
      </c>
      <c r="M8" s="463">
        <f>industrie!M18</f>
        <v>0</v>
      </c>
      <c r="N8" s="463">
        <f>industrie!N18</f>
        <v>88699.412137825566</v>
      </c>
      <c r="O8" s="463">
        <f>industrie!O18</f>
        <v>0</v>
      </c>
      <c r="P8" s="464">
        <f>industrie!P18</f>
        <v>0</v>
      </c>
      <c r="Q8" s="462">
        <f t="shared" si="0"/>
        <v>728493.26125796908</v>
      </c>
    </row>
    <row r="9" spans="1:17" s="468" customFormat="1">
      <c r="A9" s="466" t="s">
        <v>574</v>
      </c>
      <c r="B9" s="467">
        <f>transport!B14</f>
        <v>14.487682762851861</v>
      </c>
      <c r="C9" s="467">
        <f>transport!C14</f>
        <v>0</v>
      </c>
      <c r="D9" s="467">
        <f>transport!D14</f>
        <v>24.656910785764744</v>
      </c>
      <c r="E9" s="467">
        <f>transport!E14</f>
        <v>793.61836785335072</v>
      </c>
      <c r="F9" s="467">
        <f>transport!F14</f>
        <v>0</v>
      </c>
      <c r="G9" s="467">
        <f>transport!G14</f>
        <v>227861.83472901152</v>
      </c>
      <c r="H9" s="467">
        <f>transport!H14</f>
        <v>37296.34270164233</v>
      </c>
      <c r="I9" s="467">
        <f>transport!I14</f>
        <v>0</v>
      </c>
      <c r="J9" s="467">
        <f>transport!J14</f>
        <v>0</v>
      </c>
      <c r="K9" s="467">
        <f>transport!K14</f>
        <v>0</v>
      </c>
      <c r="L9" s="467">
        <f>transport!L14</f>
        <v>0</v>
      </c>
      <c r="M9" s="467">
        <f>transport!M14</f>
        <v>11875.831569749113</v>
      </c>
      <c r="N9" s="467">
        <f>transport!N14</f>
        <v>0</v>
      </c>
      <c r="O9" s="467">
        <f>transport!O14</f>
        <v>0</v>
      </c>
      <c r="P9" s="467">
        <f>transport!P14</f>
        <v>0</v>
      </c>
      <c r="Q9" s="466">
        <f>SUM(B9:P9)</f>
        <v>277866.77196180489</v>
      </c>
    </row>
    <row r="10" spans="1:17">
      <c r="A10" s="462" t="s">
        <v>564</v>
      </c>
      <c r="B10" s="463">
        <f>transport!B54</f>
        <v>0</v>
      </c>
      <c r="C10" s="463">
        <f>transport!C54</f>
        <v>0</v>
      </c>
      <c r="D10" s="463">
        <f>transport!D54</f>
        <v>0</v>
      </c>
      <c r="E10" s="463">
        <f>transport!E54</f>
        <v>0</v>
      </c>
      <c r="F10" s="463">
        <f>transport!F54</f>
        <v>0</v>
      </c>
      <c r="G10" s="463">
        <f>transport!G54</f>
        <v>5099.1204212423045</v>
      </c>
      <c r="H10" s="463">
        <f>transport!H54</f>
        <v>0</v>
      </c>
      <c r="I10" s="463">
        <f>transport!I54</f>
        <v>0</v>
      </c>
      <c r="J10" s="463">
        <f>transport!J54</f>
        <v>0</v>
      </c>
      <c r="K10" s="463">
        <f>transport!K54</f>
        <v>0</v>
      </c>
      <c r="L10" s="463">
        <f>transport!L54</f>
        <v>0</v>
      </c>
      <c r="M10" s="463">
        <f>transport!M54</f>
        <v>226.77035715479892</v>
      </c>
      <c r="N10" s="463">
        <f>transport!N54</f>
        <v>0</v>
      </c>
      <c r="O10" s="463">
        <f>transport!O54</f>
        <v>0</v>
      </c>
      <c r="P10" s="464">
        <f>transport!P54</f>
        <v>0</v>
      </c>
      <c r="Q10" s="462">
        <f t="shared" si="0"/>
        <v>5325.8907783971035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498723.49005936005</v>
      </c>
      <c r="C14" s="473">
        <f t="shared" ref="C14:Q14" ca="1" si="1">SUM(C4:C13)</f>
        <v>41355.000000000007</v>
      </c>
      <c r="D14" s="473">
        <f t="shared" ca="1" si="1"/>
        <v>785337.12062587985</v>
      </c>
      <c r="E14" s="473">
        <f t="shared" si="1"/>
        <v>26614.671362546294</v>
      </c>
      <c r="F14" s="473">
        <f t="shared" ca="1" si="1"/>
        <v>249290.5591377485</v>
      </c>
      <c r="G14" s="473">
        <f t="shared" si="1"/>
        <v>232960.95515025384</v>
      </c>
      <c r="H14" s="473">
        <f t="shared" si="1"/>
        <v>37296.34270164233</v>
      </c>
      <c r="I14" s="473">
        <f t="shared" si="1"/>
        <v>0</v>
      </c>
      <c r="J14" s="473">
        <f t="shared" si="1"/>
        <v>3072.2316029324147</v>
      </c>
      <c r="K14" s="473">
        <f t="shared" si="1"/>
        <v>0</v>
      </c>
      <c r="L14" s="473">
        <f t="shared" ca="1" si="1"/>
        <v>0</v>
      </c>
      <c r="M14" s="473">
        <f t="shared" si="1"/>
        <v>12102.601926903912</v>
      </c>
      <c r="N14" s="473">
        <f t="shared" ca="1" si="1"/>
        <v>140705.07709873791</v>
      </c>
      <c r="O14" s="473">
        <f t="shared" si="1"/>
        <v>811.37000000000023</v>
      </c>
      <c r="P14" s="474">
        <f t="shared" si="1"/>
        <v>2211.7333333333336</v>
      </c>
      <c r="Q14" s="474">
        <f t="shared" ca="1" si="1"/>
        <v>2030481.1529993385</v>
      </c>
    </row>
    <row r="16" spans="1:17">
      <c r="A16" s="476" t="s">
        <v>569</v>
      </c>
      <c r="B16" s="829">
        <f ca="1">huishoudens!B10</f>
        <v>0.1951320722154361</v>
      </c>
      <c r="C16" s="829">
        <f ca="1">huishoudens!C10</f>
        <v>5.56344583535264E-2</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18890.390505015494</v>
      </c>
      <c r="C21" s="463">
        <f t="shared" ref="C21:C30" ca="1" si="3">C4*$C$16</f>
        <v>0</v>
      </c>
      <c r="D21" s="463">
        <f t="shared" ref="D21:D30" si="4">D4*$D$16</f>
        <v>61555.070127519568</v>
      </c>
      <c r="E21" s="463">
        <f t="shared" ref="E21:E30" si="5">E4*$E$16</f>
        <v>2478.2562406249554</v>
      </c>
      <c r="F21" s="463">
        <f t="shared" ref="F21:F30" si="6">F4*$F$16</f>
        <v>0</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82923.71687316001</v>
      </c>
    </row>
    <row r="22" spans="1:17">
      <c r="A22" s="462" t="s">
        <v>156</v>
      </c>
      <c r="B22" s="463">
        <f t="shared" ca="1" si="2"/>
        <v>31679.860965476277</v>
      </c>
      <c r="C22" s="463">
        <f t="shared" ca="1" si="3"/>
        <v>2300.7630252100848</v>
      </c>
      <c r="D22" s="463">
        <f t="shared" ca="1" si="4"/>
        <v>42269.935743226633</v>
      </c>
      <c r="E22" s="463">
        <f t="shared" si="5"/>
        <v>421.78744900437567</v>
      </c>
      <c r="F22" s="463">
        <f t="shared" ca="1" si="6"/>
        <v>6748.4499209540472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83420.797103871417</v>
      </c>
    </row>
    <row r="23" spans="1:17">
      <c r="A23" s="462" t="s">
        <v>194</v>
      </c>
      <c r="B23" s="463">
        <f t="shared" ca="1" si="2"/>
        <v>1162.0302227218547</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1162.0302227218547</v>
      </c>
    </row>
    <row r="24" spans="1:17">
      <c r="A24" s="462" t="s">
        <v>112</v>
      </c>
      <c r="B24" s="463">
        <f t="shared" ca="1" si="2"/>
        <v>3623.8816619432332</v>
      </c>
      <c r="C24" s="463">
        <f t="shared" ca="1" si="3"/>
        <v>0</v>
      </c>
      <c r="D24" s="463">
        <f t="shared" si="4"/>
        <v>3956.5743910522847</v>
      </c>
      <c r="E24" s="463">
        <f t="shared" si="5"/>
        <v>53.123435646905868</v>
      </c>
      <c r="F24" s="463">
        <f t="shared" si="6"/>
        <v>17108.315139429949</v>
      </c>
      <c r="G24" s="463">
        <f t="shared" si="7"/>
        <v>0</v>
      </c>
      <c r="H24" s="463">
        <f t="shared" si="8"/>
        <v>0</v>
      </c>
      <c r="I24" s="463">
        <f t="shared" si="9"/>
        <v>0</v>
      </c>
      <c r="J24" s="463">
        <f t="shared" si="10"/>
        <v>988.6979251093743</v>
      </c>
      <c r="K24" s="463">
        <f t="shared" si="11"/>
        <v>0</v>
      </c>
      <c r="L24" s="463">
        <f t="shared" si="12"/>
        <v>0</v>
      </c>
      <c r="M24" s="463">
        <f t="shared" si="13"/>
        <v>0</v>
      </c>
      <c r="N24" s="463">
        <f t="shared" si="14"/>
        <v>0</v>
      </c>
      <c r="O24" s="463">
        <f t="shared" si="15"/>
        <v>0</v>
      </c>
      <c r="P24" s="464">
        <f t="shared" si="16"/>
        <v>0</v>
      </c>
      <c r="Q24" s="462">
        <f t="shared" ca="1" si="17"/>
        <v>25730.592553181745</v>
      </c>
    </row>
    <row r="25" spans="1:17">
      <c r="A25" s="462" t="s">
        <v>657</v>
      </c>
      <c r="B25" s="463">
        <f t="shared" ca="1" si="2"/>
        <v>41957.957711081392</v>
      </c>
      <c r="C25" s="463">
        <f t="shared" ca="1" si="3"/>
        <v>0</v>
      </c>
      <c r="D25" s="463">
        <f t="shared" si="4"/>
        <v>50851.53740865054</v>
      </c>
      <c r="E25" s="463">
        <f t="shared" si="5"/>
        <v>2908.211904519062</v>
      </c>
      <c r="F25" s="463">
        <f t="shared" si="6"/>
        <v>42703.814229394855</v>
      </c>
      <c r="G25" s="463">
        <f t="shared" si="7"/>
        <v>0</v>
      </c>
      <c r="H25" s="463">
        <f t="shared" si="8"/>
        <v>0</v>
      </c>
      <c r="I25" s="463">
        <f t="shared" si="9"/>
        <v>0</v>
      </c>
      <c r="J25" s="463">
        <f t="shared" si="10"/>
        <v>98.872062328700537</v>
      </c>
      <c r="K25" s="463">
        <f t="shared" si="11"/>
        <v>0</v>
      </c>
      <c r="L25" s="463">
        <f t="shared" si="12"/>
        <v>0</v>
      </c>
      <c r="M25" s="463">
        <f t="shared" si="13"/>
        <v>0</v>
      </c>
      <c r="N25" s="463">
        <f t="shared" si="14"/>
        <v>0</v>
      </c>
      <c r="O25" s="463">
        <f t="shared" si="15"/>
        <v>0</v>
      </c>
      <c r="P25" s="464">
        <f t="shared" si="16"/>
        <v>0</v>
      </c>
      <c r="Q25" s="462">
        <f t="shared" ca="1" si="17"/>
        <v>138520.39331597456</v>
      </c>
    </row>
    <row r="26" spans="1:17" s="468" customFormat="1">
      <c r="A26" s="466" t="s">
        <v>574</v>
      </c>
      <c r="B26" s="823">
        <f t="shared" ca="1" si="2"/>
        <v>2.8270115591151384</v>
      </c>
      <c r="C26" s="467">
        <f t="shared" ca="1" si="3"/>
        <v>0</v>
      </c>
      <c r="D26" s="467">
        <f t="shared" si="4"/>
        <v>4.9806959787244782</v>
      </c>
      <c r="E26" s="467">
        <f t="shared" si="5"/>
        <v>180.15136950271062</v>
      </c>
      <c r="F26" s="467">
        <f t="shared" si="6"/>
        <v>0</v>
      </c>
      <c r="G26" s="467">
        <f t="shared" si="7"/>
        <v>60839.109872646077</v>
      </c>
      <c r="H26" s="467">
        <f t="shared" si="8"/>
        <v>9286.7893327089405</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70313.858282395566</v>
      </c>
    </row>
    <row r="27" spans="1:17">
      <c r="A27" s="462" t="s">
        <v>564</v>
      </c>
      <c r="B27" s="463">
        <f t="shared" ca="1" si="2"/>
        <v>0</v>
      </c>
      <c r="C27" s="463">
        <f t="shared" ca="1" si="3"/>
        <v>0</v>
      </c>
      <c r="D27" s="463">
        <f t="shared" si="4"/>
        <v>0</v>
      </c>
      <c r="E27" s="463">
        <f t="shared" si="5"/>
        <v>0</v>
      </c>
      <c r="F27" s="463">
        <f t="shared" si="6"/>
        <v>0</v>
      </c>
      <c r="G27" s="463">
        <f t="shared" si="7"/>
        <v>1361.4651524716953</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1361.4651524716953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97316.948077797366</v>
      </c>
      <c r="C31" s="473">
        <f t="shared" ca="1" si="18"/>
        <v>2300.7630252100848</v>
      </c>
      <c r="D31" s="473">
        <f t="shared" ca="1" si="18"/>
        <v>158638.09836642776</v>
      </c>
      <c r="E31" s="473">
        <f t="shared" si="18"/>
        <v>6041.5303992980089</v>
      </c>
      <c r="F31" s="473">
        <f t="shared" ca="1" si="18"/>
        <v>66560.579289778849</v>
      </c>
      <c r="G31" s="473">
        <f t="shared" si="18"/>
        <v>62200.575025117774</v>
      </c>
      <c r="H31" s="473">
        <f t="shared" si="18"/>
        <v>9286.7893327089405</v>
      </c>
      <c r="I31" s="473">
        <f t="shared" si="18"/>
        <v>0</v>
      </c>
      <c r="J31" s="473">
        <f t="shared" si="18"/>
        <v>1087.5699874380748</v>
      </c>
      <c r="K31" s="473">
        <f t="shared" si="18"/>
        <v>0</v>
      </c>
      <c r="L31" s="473">
        <f t="shared" ca="1" si="18"/>
        <v>0</v>
      </c>
      <c r="M31" s="473">
        <f t="shared" si="18"/>
        <v>0</v>
      </c>
      <c r="N31" s="473">
        <f t="shared" ca="1" si="18"/>
        <v>0</v>
      </c>
      <c r="O31" s="473">
        <f t="shared" si="18"/>
        <v>0</v>
      </c>
      <c r="P31" s="474">
        <f t="shared" si="18"/>
        <v>0</v>
      </c>
      <c r="Q31" s="474">
        <f t="shared" ca="1" si="18"/>
        <v>403432.85350377689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0.1951320722154361</v>
      </c>
      <c r="C17" s="513">
        <f ca="1">'EF ele_warmte'!B22</f>
        <v>5.56344583535264E-2</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0.1951320722154361</v>
      </c>
      <c r="C17" s="513">
        <f ca="1">'EF ele_warmte'!B22</f>
        <v>5.56344583535264E-2</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0.1951320722154361</v>
      </c>
      <c r="C29" s="514">
        <f ca="1">'EF ele_warmte'!B22</f>
        <v>5.56344583535264E-2</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2018-06-27T09:31:20Z</dcterms:modified>
</cp:coreProperties>
</file>