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<sst xmlns="http://schemas.openxmlformats.org/spreadsheetml/2006/main" count="1970" uniqueCount="847">
  <si>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</si>
  <si>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</si>
  <si>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</si>
  <si>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</si>
  <si>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</si>
  <si>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</si>
  <si>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</si>
  <si>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</si>
  <si>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</si>
  <si>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</si>
  <si>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</si>
  <si>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</si>
  <si>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</si>
  <si>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</si>
  <si>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</si>
  <si>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</si>
  <si>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</si>
  <si>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</si>
  <si>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</si>
  <si>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</si>
  <si>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</si>
  <si>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</si>
  <si>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</si>
  <si>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</si>
  <si>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</si>
  <si>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</si>
  <si>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</si>
  <si>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</si>
  <si>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</si>
  <si>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</si>
  <si>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</si>
  <si>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</si>
  <si>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</si>
  <si>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</si>
  <si>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</si>
  <si>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</si>
  <si>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</si>
  <si>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</si>
  <si>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</si>
  <si>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</si>
  <si>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</si>
  <si>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</si>
  <si>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</si>
  <si>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</si>
  <si>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</si>
  <si>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</si>
  <si>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</si>
  <si>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</si>
  <si>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</si>
  <si>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</si>
  <si>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</si>
  <si>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</si>
  <si>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</si>
  <si>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</si>
  <si>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</si>
  <si>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</si>
  <si>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</si>
  <si>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</si>
  <si>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</si>
  <si>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</si>
  <si>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</si>
  <si>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</si>
  <si>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</si>
  <si>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</si>
  <si>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</si>
  <si>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</si>
  <si>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</si>
  <si>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</si>
  <si>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</si>
  <si>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</si>
  <si>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</si>
  <si>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</si>
  <si>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</si>
  <si>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</si>
  <si>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</si>
  <si>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</si>
  <si>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</si>
  <si>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</si>
  <si>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</si>
  <si>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</si>
  <si>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</si>
  <si>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</si>
  <si>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</si>
  <si>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</si>
  <si>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</si>
  <si>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</si>
  <si>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</si>
  <si>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</si>
  <si>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</si>
  <si>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</si>
  <si>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</si>
  <si>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</si>
  <si>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</si>
  <si>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</si>
  <si>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</si>
  <si>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</si>
  <si>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</si>
  <si>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</si>
  <si>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</si>
  <si>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</si>
  <si>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</si>
  <si>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</si>
  <si>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</si>
  <si>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</si>
  <si>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</si>
  <si>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</si>
  <si>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</si>
  <si>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</si>
  <si>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</si>
  <si>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</si>
  <si>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</si>
  <si>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</si>
  <si>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</si>
  <si>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</si>
  <si>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</si>
  <si>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</si>
  <si>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</si>
  <si>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</si>
  <si>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</si>
  <si>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</si>
  <si>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</si>
  <si>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</si>
  <si>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</si>
  <si>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</si>
  <si>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</si>
  <si>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</si>
  <si>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</si>
  <si>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</si>
  <si>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</si>
  <si>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</si>
  <si>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</si>
  <si>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</si>
  <si>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</si>
  <si>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</si>
  <si>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</si>
  <si>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</si>
  <si>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</si>
  <si>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</si>
  <si>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</si>
  <si>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</si>
  <si>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</si>
  <si>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</si>
  <si>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</si>
  <si>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</si>
  <si>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</si>
  <si>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</si>
  <si>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</si>
  <si>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</si>
  <si>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</si>
  <si>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</si>
  <si>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</si>
  <si>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</si>
  <si>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</si>
  <si>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</si>
  <si>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</si>
  <si>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</si>
  <si>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</si>
  <si>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</si>
  <si>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</si>
  <si>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</si>
  <si>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</si>
  <si>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</si>
  <si>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</si>
  <si>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</si>
  <si>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</si>
  <si>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</si>
  <si>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</si>
  <si>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</si>
  <si>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</si>
  <si>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</si>
  <si>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</si>
  <si>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</si>
  <si>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</si>
  <si>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</si>
  <si>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</si>
  <si>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</si>
  <si>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</si>
  <si>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</si>
  <si>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</si>
  <si>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</si>
  <si>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</si>
  <si>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</si>
  <si>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</si>
  <si>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</si>
  <si>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</si>
  <si>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</si>
  <si>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</si>
  <si>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</si>
  <si>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</si>
  <si>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</si>
  <si>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</si>
  <si>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</si>
  <si>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</si>
  <si>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</si>
  <si>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</si>
  <si>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</si>
  <si>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</si>
  <si>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</si>
  <si>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</si>
  <si>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</si>
  <si>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</si>
  <si>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</si>
  <si>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</si>
  <si>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</si>
  <si>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</si>
  <si>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</si>
  <si>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</si>
  <si>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</si>
  <si>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</si>
  <si>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</si>
  <si>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</si>
  <si>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</si>
  <si>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</si>
  <si>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</si>
  <si>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</si>
  <si>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</si>
  <si>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</si>
  <si>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</si>
  <si>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</si>
  <si>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</si>
  <si>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</si>
  <si>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</si>
  <si>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</si>
  <si>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</si>
  <si>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</si>
  <si>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</si>
  <si>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</si>
  <si>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</si>
  <si>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</si>
  <si>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</si>
  <si>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</si>
  <si>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</si>
  <si>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</si>
  <si>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</si>
  <si>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</si>
  <si>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</si>
  <si>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</si>
  <si>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</si>
  <si>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</si>
  <si>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</si>
  <si>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</si>
  <si>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</si>
  <si>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</si>
  <si>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</si>
  <si>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</si>
  <si>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</si>
  <si>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</si>
  <si>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</si>
  <si>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</si>
  <si>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</si>
  <si>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</si>
  <si>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</si>
  <si>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</si>
  <si>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</si>
  <si>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</si>
  <si>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</si>
  <si>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</si>
  <si>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</si>
  <si>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</si>
  <si>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</si>
  <si>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</si>
  <si>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</si>
  <si>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</si>
  <si>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</si>
  <si>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</si>
  <si>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</si>
  <si>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</si>
  <si>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</si>
  <si>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</si>
  <si>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</si>
  <si>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</si>
  <si>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</si>
  <si>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</si>
  <si>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</si>
  <si>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</si>
  <si>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</si>
  <si>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</si>
  <si>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</si>
  <si>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</si>
  <si>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</si>
  <si>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</si>
  <si>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</si>
  <si>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</si>
  <si>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</si>
  <si>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</si>
  <si>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</si>
  <si>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</si>
  <si>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</si>
  <si>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</si>
  <si>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</si>
  <si>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</si>
  <si>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</si>
  <si>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</si>
  <si>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</si>
  <si>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</si>
  <si>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</si>
  <si>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</si>
  <si>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</si>
  <si>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</si>
  <si>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</si>
  <si>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</si>
  <si>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</si>
  <si>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</si>
  <si>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</si>
  <si>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</si>
  <si>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</si>
  <si>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</si>
  <si>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</si>
  <si>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</si>
  <si>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</si>
  <si>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</si>
  <si>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</si>
  <si>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</si>
  <si>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</si>
  <si>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</si>
  <si>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</si>
  <si>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</si>
  <si>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</si>
  <si>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</si>
  <si>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</si>
  <si>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</si>
  <si>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</si>
  <si>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</si>
  <si>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</si>
  <si>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</si>
  <si>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</si>
  <si>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</si>
  <si>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</si>
  <si>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</si>
  <si>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</si>
  <si>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</si>
  <si>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</si>
  <si>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</si>
  <si>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</si>
  <si>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</si>
  <si>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</si>
  <si>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</si>
  <si>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</si>
  <si>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</si>
  <si>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</si>
  <si>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</si>
  <si>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</si>
  <si>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</si>
  <si>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</si>
  <si>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</si>
  <si>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</si>
  <si>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</si>
  <si>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</si>
  <si>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</si>
  <si>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</si>
  <si>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</si>
  <si>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</si>
  <si>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</si>
  <si>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</si>
  <si>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</si>
  <si>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</si>
  <si>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</si>
  <si>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</si>
  <si>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</si>
  <si>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</si>
  <si>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</si>
  <si>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</si>
  <si>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</si>
  <si>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</si>
  <si>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</si>
  <si>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</si>
  <si>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</si>
  <si>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</si>
  <si>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</si>
  <si>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</si>
  <si>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</si>
  <si>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</si>
  <si>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</si>
  <si>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</si>
  <si>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</si>
  <si>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</si>
  <si>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</si>
  <si>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</si>
  <si>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</si>
  <si>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</si>
  <si>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</si>
  <si>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</si>
  <si>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</si>
  <si>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</si>
  <si>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</si>
  <si>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</si>
  <si>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</si>
  <si>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</si>
  <si>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</si>
  <si>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</si>
  <si>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</si>
  <si>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</si>
  <si>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</si>
  <si>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</si>
  <si>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</si>
  <si>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</si>
  <si>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</si>
  <si>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</si>
  <si>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</si>
  <si>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</si>
  <si>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</si>
  <si>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</si>
  <si>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</si>
  <si>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</si>
  <si>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</si>
  <si>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</si>
  <si>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</si>
  <si>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</si>
  <si>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</si>
  <si>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</si>
  <si>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</si>
  <si>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</si>
  <si>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</si>
  <si>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</si>
  <si>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</si>
  <si>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</si>
  <si>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</si>
  <si>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</si>
  <si>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</si>
  <si>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</si>
  <si>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</si>
  <si>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</si>
  <si>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</si>
  <si>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</si>
  <si>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</si>
  <si>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</si>
  <si>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</si>
  <si>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</si>
  <si>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</si>
  <si>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</si>
  <si>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</si>
  <si>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</si>
  <si>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</si>
  <si>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</si>
  <si>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</si>
  <si>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</si>
  <si>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</si>
  <si>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</si>
  <si>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</si>
  <si>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</si>
  <si>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</si>
  <si>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</si>
  <si>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</si>
  <si>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</si>
  <si>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</si>
  <si>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</si>
  <si>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</si>
  <si>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</si>
  <si>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</si>
  <si>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</si>
  <si>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</si>
  <si>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</si>
  <si>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</si>
  <si>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</si>
  <si>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</si>
  <si>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</si>
  <si>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</si>
  <si>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</si>
  <si>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</si>
  <si>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</si>
  <si>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</si>
  <si>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</si>
  <si>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</si>
  <si>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</si>
  <si>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</si>
  <si>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</si>
  <si>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</si>
  <si>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</si>
  <si>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</si>
  <si>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</si>
  <si>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</si>
  <si>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</si>
  <si>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</si>
  <si>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</si>
  <si>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</si>
  <si>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</si>
  <si>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</si>
  <si>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</si>
  <si>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</si>
  <si>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</si>
  <si>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</si>
  <si>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</si>
  <si>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</si>
  <si>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</si>
  <si>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</si>
  <si>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</si>
  <si>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</si>
  <si>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</si>
  <si>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</si>
  <si>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</si>
  <si>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</si>
  <si>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</si>
  <si>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</si>
  <si>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</si>
  <si>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</si>
  <si>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</si>
  <si>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</si>
  <si>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</si>
  <si>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</si>
  <si>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</si>
  <si>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</si>
  <si>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</si>
  <si>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</si>
  <si>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</si>
  <si>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</si>
  <si>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</si>
  <si>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</si>
  <si>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</si>
  <si>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</si>
  <si>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</si>
  <si>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</si>
  <si>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</si>
  <si>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</si>
  <si>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</si>
  <si>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</si>
  <si>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</si>
  <si>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</si>
  <si>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</si>
  <si>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</si>
  <si>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</si>
  <si>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</si>
  <si>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</si>
  <si>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</si>
  <si>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</si>
  <si>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</si>
  <si>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</si>
  <si>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</si>
  <si>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</si>
  <si>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</si>
  <si>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</si>
  <si>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</si>
  <si>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</si>
  <si>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</si>
  <si>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</si>
  <si>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</si>
  <si>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</si>
  <si>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</si>
  <si>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</si>
  <si>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</si>
  <si>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</si>
  <si>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</si>
  <si>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</si>
  <si>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</si>
  <si>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</si>
  <si>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</si>
  <si>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</si>
  <si>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</si>
  <si>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</si>
  <si>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</si>
  <si>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</si>
  <si>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</si>
  <si>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</si>
  <si>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</si>
  <si>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</si>
  <si>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</si>
  <si>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</si>
  <si>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</si>
  <si>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</si>
  <si>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</si>
  <si>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</si>
  <si>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</si>
  <si>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</si>
  <si>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</si>
  <si>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</si>
  <si>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</si>
  <si>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</si>
  <si>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</si>
  <si>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</si>
  <si>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</si>
  <si>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</si>
  <si>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</si>
  <si>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</si>
  <si>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</si>
  <si>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</si>
  <si>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</si>
  <si>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</si>
  <si>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</si>
  <si>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</si>
  <si>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</si>
  <si>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</si>
  <si>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</si>
  <si>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</si>
  <si>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</si>
  <si>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</si>
  <si>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</si>
  <si>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</si>
  <si>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</si>
  <si>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</si>
  <si>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</si>
  <si>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</si>
  <si>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</si>
  <si>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</si>
  <si>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</si>
  <si>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</si>
  <si>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</si>
  <si>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</si>
  <si>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</si>
  <si>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</si>
  <si>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</si>
  <si>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</si>
  <si>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</si>
  <si>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</si>
  <si>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</si>
  <si>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</si>
  <si>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</si>
  <si>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</si>
  <si>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</si>
  <si>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</si>
  <si>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</si>
  <si>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</si>
  <si>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</si>
  <si>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</si>
  <si>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</si>
  <si>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</si>
  <si>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</si>
  <si>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</si>
  <si>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</si>
  <si>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</si>
  <si>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</si>
  <si>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</si>
  <si>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</si>
  <si>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</si>
  <si>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</si>
  <si>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</si>
  <si>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</si>
  <si>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</si>
  <si>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</si>
  <si>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</si>
  <si>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</si>
  <si>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</si>
  <si>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</si>
  <si>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</si>
  <si>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</si>
  <si>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</si>
  <si>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</si>
  <si>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</si>
  <si>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</si>
  <si>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</si>
  <si>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</si>
  <si>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</si>
  <si>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</si>
  <si>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</si>
  <si>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</si>
  <si>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</si>
  <si>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</si>
  <si>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</si>
  <si>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</si>
  <si>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</si>
  <si>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</si>
  <si>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</si>
  <si>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</si>
  <si>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</si>
  <si>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</si>
  <si>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</si>
  <si>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</si>
  <si>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</si>
  <si>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</si>
  <si>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</si>
  <si>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</si>
  <si>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</si>
  <si>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</si>
  <si>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</si>
  <si>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</si>
  <si>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</si>
  <si>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</si>
  <si>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</si>
  <si>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</si>
  <si>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</si>
  <si>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</si>
  <si>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</si>
  <si>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</si>
  <si>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</si>
  <si>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</si>
  <si>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</si>
  <si>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</si>
  <si>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</si>
  <si>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</si>
  <si>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</si>
  <si>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</si>
  <si>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</si>
  <si>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</si>
  <si>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</si>
  <si>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</si>
  <si>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</si>
  <si>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</si>
  <si>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</si>
  <si>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</si>
  <si>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</si>
  <si>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</si>
  <si>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</si>
  <si>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</si>
  <si>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</si>
  <si>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</si>
  <si>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</si>
  <si>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</si>
  <si>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</si>
  <si>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</si>
  <si>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</si>
  <si>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</si>
  <si>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</si>
  <si>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</si>
  <si>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</si>
  <si>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</si>
  <si>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</si>
  <si>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</si>
  <si>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</si>
  <si>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</si>
  <si>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</si>
  <si>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</si>
  <si>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</si>
  <si>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</si>
  <si>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</si>
  <si>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</si>
  <si>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</si>
  <si>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</si>
  <si>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</si>
  <si>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</si>
  <si>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</si>
  <si>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</si>
  <si>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</si>
  <si>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</si>
  <si>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</si>
  <si>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</si>
  <si>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</si>
  <si>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</si>
  <si>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</si>
  <si>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</si>
  <si>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</si>
  <si>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</si>
  <si>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</si>
  <si>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</si>
  <si>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</si>
  <si>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</si>
  <si>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</si>
  <si>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</si>
  <si>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</si>
  <si>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</si>
  <si>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</si>
  <si>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</si>
  <si>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</si>
  <si>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</si>
  <si>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</si>
  <si>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</si>
  <si>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</si>
  <si>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</si>
  <si>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</si>
  <si>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</si>
  <si>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</si>
  <si>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</si>
  <si>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</si>
  <si>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</si>
  <si>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</si>
  <si>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</si>
  <si>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</si>
  <si>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</si>
  <si>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</si>
  <si>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</si>
  <si>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</si>
  <si>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</si>
  <si>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</si>
  <si>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</si>
  <si>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</si>
  <si>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</si>
  <si>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</si>
  <si>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</si>
  <si>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</si>
  <si>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</si>
  <si>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</si>
  <si>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</si>
  <si>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</si>
  <si>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</si>
  <si>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</si>
  <si>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</si>
  <si>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</si>
  <si>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</si>
  <si>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</si>
  <si>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</si>
  <si>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</si>
  <si>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</si>
  <si>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</si>
  <si>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</si>
  <si>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</si>
  <si>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</si>
  <si>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</si>
  <si>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</si>
  <si>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</si>
  <si>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</si>
  <si>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</si>
  <si>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</si>
  <si>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</si>
  <si>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</si>
  <si>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</si>
  <si>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</si>
  <si>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</si>
  <si>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</si>
  <si>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</si>
  <si>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</si>
  <si>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</si>
  <si>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</si>
  <si>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</si>
  <si>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</si>
  <si>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</si>
  <si>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</si>
  <si>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</si>
  <si>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</si>
  <si>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</si>
  <si>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</si>
  <si>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</si>
  <si>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</si>
  <si>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</si>
  <si>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</si>
  <si>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</si>
  <si>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</si>
  <si>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</si>
  <si>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</si>
  <si>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</si>
  <si>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</si>
  <si>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</si>
  <si>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</si>
  <si>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</si>
  <si>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</si>
  <si>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</si>
  <si>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</si>
  <si>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</si>
  <si>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</si>
  <si>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</si>
  <si>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</si>
  <si>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</si>
  <si>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</si>
  <si>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</si>
  <si>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</si>
  <si>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</si>
  <si>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</si>
  <si>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36012</t>
  </si>
  <si>
    <t>MOORSLEDE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</si>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</sst>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104141.52898853987</c:v>
                </c:pt>
                <c:pt idx="1">
                  <c:v>51969.078137055658</c:v>
                </c:pt>
                <c:pt idx="2">
                  <c:v>1056.8699999999999</c:v>
                </c:pt>
                <c:pt idx="3">
                  <c:v>12836.836396745079</c:v>
                </c:pt>
                <c:pt idx="4">
                  <c:v>45810.668094128829</c:v>
                </c:pt>
                <c:pt idx="5">
                  <c:v>37621.474359669803</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104141.52898853987</c:v>
                </c:pt>
                <c:pt idx="1">
                  <c:v>51969.078137055658</c:v>
                </c:pt>
                <c:pt idx="2">
                  <c:v>1056.8699999999999</c:v>
                </c:pt>
                <c:pt idx="3">
                  <c:v>12836.836396745079</c:v>
                </c:pt>
                <c:pt idx="4">
                  <c:v>45810.668094128829</c:v>
                </c:pt>
                <c:pt idx="5">
                  <c:v>37621.474359669803</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18123.2400074914</c:v>
                </c:pt>
                <c:pt idx="1">
                  <c:v>8368.3335937381689</c:v>
                </c:pt>
                <c:pt idx="2">
                  <c:v>194.5830916333131</c:v>
                </c:pt>
                <c:pt idx="3">
                  <c:v>3132.718410511673</c:v>
                </c:pt>
                <c:pt idx="4">
                  <c:v>8536.4652550362061</c:v>
                </c:pt>
                <c:pt idx="5">
                  <c:v>9493.1761422202617</c:v>
                </c:pt>
                <c:pt idx="6">
                  <c:v>324.62168939520967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18123.2400074914</c:v>
                </c:pt>
                <c:pt idx="1">
                  <c:v>8368.3335937381689</c:v>
                </c:pt>
                <c:pt idx="2">
                  <c:v>194.5830916333131</c:v>
                </c:pt>
                <c:pt idx="3">
                  <c:v>3132.718410511673</c:v>
                </c:pt>
                <c:pt idx="4">
                  <c:v>8536.4652550362061</c:v>
                </c:pt>
                <c:pt idx="5">
                  <c:v>9493.1761422202617</c:v>
                </c:pt>
                <c:pt idx="6">
                  <c:v>324.62168939520967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36012</v>
      </c>
      <c r="B6" s="398"/>
      <c r="C6" s="399"/>
    </row>
    <row r="7" spans="1:7" s="396" customFormat="1" ht="15.75" customHeight="1">
      <c r="A7" s="400" t="str">
        <f>txtMunicipality</f>
        <v>MOORSLEDE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4479</v>
      </c>
      <c r="C9" s="338">
        <v>4751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2529</v>
      </c>
    </row>
    <row r="15" spans="1:6">
      <c r="A15" s="1212" t="s">
        <v>184</v>
      </c>
      <c r="B15" s="335">
        <v>28</v>
      </c>
    </row>
    <row r="16" spans="1:6">
      <c r="A16" s="1212" t="s">
        <v>6</v>
      </c>
      <c r="B16" s="335">
        <v>613</v>
      </c>
    </row>
    <row r="17" spans="1:6">
      <c r="A17" s="1212" t="s">
        <v>7</v>
      </c>
      <c r="B17" s="335">
        <v>670</v>
      </c>
    </row>
    <row r="18" spans="1:6">
      <c r="A18" s="1212" t="s">
        <v>8</v>
      </c>
      <c r="B18" s="335">
        <v>808</v>
      </c>
    </row>
    <row r="19" spans="1:6">
      <c r="A19" s="1212" t="s">
        <v>9</v>
      </c>
      <c r="B19" s="335">
        <v>880</v>
      </c>
    </row>
    <row r="20" spans="1:6">
      <c r="A20" s="1212" t="s">
        <v>10</v>
      </c>
      <c r="B20" s="335">
        <v>541</v>
      </c>
    </row>
    <row r="21" spans="1:6">
      <c r="A21" s="1212" t="s">
        <v>11</v>
      </c>
      <c r="B21" s="335">
        <v>9236</v>
      </c>
    </row>
    <row r="22" spans="1:6">
      <c r="A22" s="1212" t="s">
        <v>12</v>
      </c>
      <c r="B22" s="335">
        <v>26433</v>
      </c>
    </row>
    <row r="23" spans="1:6">
      <c r="A23" s="1212" t="s">
        <v>13</v>
      </c>
      <c r="B23" s="335">
        <v>554</v>
      </c>
    </row>
    <row r="24" spans="1:6">
      <c r="A24" s="1212" t="s">
        <v>14</v>
      </c>
      <c r="B24" s="335">
        <v>18</v>
      </c>
    </row>
    <row r="25" spans="1:6">
      <c r="A25" s="1212" t="s">
        <v>15</v>
      </c>
      <c r="B25" s="335">
        <v>2779</v>
      </c>
    </row>
    <row r="26" spans="1:6">
      <c r="A26" s="1212" t="s">
        <v>16</v>
      </c>
      <c r="B26" s="335">
        <v>205</v>
      </c>
    </row>
    <row r="27" spans="1:6">
      <c r="A27" s="1212" t="s">
        <v>17</v>
      </c>
      <c r="B27" s="335">
        <v>7</v>
      </c>
    </row>
    <row r="28" spans="1:6" s="341" customFormat="1">
      <c r="A28" s="1213" t="s">
        <v>18</v>
      </c>
      <c r="B28" s="1213">
        <v>84355</v>
      </c>
    </row>
    <row r="29" spans="1:6">
      <c r="A29" s="1213" t="s">
        <v>836</v>
      </c>
      <c r="B29" s="1213">
        <v>143</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32440.431961374801</v>
      </c>
    </row>
    <row r="37" spans="1:6">
      <c r="A37" s="1212" t="s">
        <v>25</v>
      </c>
      <c r="B37" s="1212" t="s">
        <v>28</v>
      </c>
      <c r="C37" s="335">
        <v>0</v>
      </c>
      <c r="D37" s="335">
        <v>0</v>
      </c>
      <c r="E37" s="335">
        <v>0</v>
      </c>
      <c r="F37" s="335">
        <v>0</v>
      </c>
    </row>
    <row r="38" spans="1:6">
      <c r="A38" s="1212" t="s">
        <v>25</v>
      </c>
      <c r="B38" s="1212" t="s">
        <v>29</v>
      </c>
      <c r="C38" s="335">
        <v>0</v>
      </c>
      <c r="D38" s="335">
        <v>0</v>
      </c>
      <c r="E38" s="335">
        <v>4</v>
      </c>
      <c r="F38" s="335">
        <v>130101.32233039501</v>
      </c>
    </row>
    <row r="39" spans="1:6">
      <c r="A39" s="1212" t="s">
        <v>30</v>
      </c>
      <c r="B39" s="1212" t="s">
        <v>31</v>
      </c>
      <c r="C39" s="335">
        <v>2828</v>
      </c>
      <c r="D39" s="335">
        <v>49683351.395966701</v>
      </c>
      <c r="E39" s="335">
        <v>4143</v>
      </c>
      <c r="F39" s="335">
        <v>16211078.6715331</v>
      </c>
    </row>
    <row r="40" spans="1:6">
      <c r="A40" s="1212" t="s">
        <v>30</v>
      </c>
      <c r="B40" s="1212" t="s">
        <v>29</v>
      </c>
      <c r="C40" s="335">
        <v>0</v>
      </c>
      <c r="D40" s="335">
        <v>0</v>
      </c>
      <c r="E40" s="335">
        <v>1</v>
      </c>
      <c r="F40" s="335">
        <v>4563</v>
      </c>
    </row>
    <row r="41" spans="1:6">
      <c r="A41" s="1212" t="s">
        <v>32</v>
      </c>
      <c r="B41" s="1212" t="s">
        <v>33</v>
      </c>
      <c r="C41" s="335">
        <v>55</v>
      </c>
      <c r="D41" s="335">
        <v>1296709.8893046901</v>
      </c>
      <c r="E41" s="335">
        <v>94</v>
      </c>
      <c r="F41" s="335">
        <v>930551.23436602205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556645.68951663398</v>
      </c>
      <c r="E44" s="335">
        <v>18</v>
      </c>
      <c r="F44" s="335">
        <v>1189766.5463018999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111607.79634492099</v>
      </c>
      <c r="E47" s="335">
        <v>3</v>
      </c>
      <c r="F47" s="335">
        <v>56420.240939772797</v>
      </c>
    </row>
    <row r="48" spans="1:6">
      <c r="A48" s="1212" t="s">
        <v>32</v>
      </c>
      <c r="B48" s="1212" t="s">
        <v>29</v>
      </c>
      <c r="C48" s="335">
        <v>22</v>
      </c>
      <c r="D48" s="335">
        <v>16694195.451579399</v>
      </c>
      <c r="E48" s="335">
        <v>36</v>
      </c>
      <c r="F48" s="335">
        <v>16113550.465251399</v>
      </c>
    </row>
    <row r="49" spans="1:6">
      <c r="A49" s="1212" t="s">
        <v>32</v>
      </c>
      <c r="B49" s="1212" t="s">
        <v>40</v>
      </c>
      <c r="C49" s="335">
        <v>0</v>
      </c>
      <c r="D49" s="335">
        <v>0</v>
      </c>
      <c r="E49" s="335">
        <v>4</v>
      </c>
      <c r="F49" s="335">
        <v>319518.83260392299</v>
      </c>
    </row>
    <row r="50" spans="1:6">
      <c r="A50" s="1212" t="s">
        <v>32</v>
      </c>
      <c r="B50" s="1212" t="s">
        <v>41</v>
      </c>
      <c r="C50" s="335">
        <v>5</v>
      </c>
      <c r="D50" s="335">
        <v>348283.78514150903</v>
      </c>
      <c r="E50" s="335">
        <v>7</v>
      </c>
      <c r="F50" s="335">
        <v>167359.81329029001</v>
      </c>
    </row>
    <row r="51" spans="1:6">
      <c r="A51" s="1212" t="s">
        <v>42</v>
      </c>
      <c r="B51" s="1212" t="s">
        <v>43</v>
      </c>
      <c r="C51" s="335">
        <v>6</v>
      </c>
      <c r="D51" s="335">
        <v>159346.119435678</v>
      </c>
      <c r="E51" s="335">
        <v>131</v>
      </c>
      <c r="F51" s="335">
        <v>2150974.23957639</v>
      </c>
    </row>
    <row r="52" spans="1:6">
      <c r="A52" s="1212" t="s">
        <v>42</v>
      </c>
      <c r="B52" s="1212" t="s">
        <v>29</v>
      </c>
      <c r="C52" s="335">
        <v>4</v>
      </c>
      <c r="D52" s="335">
        <v>66034.560524282802</v>
      </c>
      <c r="E52" s="335">
        <v>8</v>
      </c>
      <c r="F52" s="335">
        <v>200018.64261707</v>
      </c>
    </row>
    <row r="53" spans="1:6">
      <c r="A53" s="1212" t="s">
        <v>44</v>
      </c>
      <c r="B53" s="1212" t="s">
        <v>45</v>
      </c>
      <c r="C53" s="335">
        <v>86</v>
      </c>
      <c r="D53" s="335">
        <v>1982092.67783068</v>
      </c>
      <c r="E53" s="335">
        <v>125</v>
      </c>
      <c r="F53" s="335">
        <v>697410.11036796798</v>
      </c>
    </row>
    <row r="54" spans="1:6">
      <c r="A54" s="1212" t="s">
        <v>46</v>
      </c>
      <c r="B54" s="1212" t="s">
        <v>47</v>
      </c>
      <c r="C54" s="335">
        <v>0</v>
      </c>
      <c r="D54" s="335">
        <v>0</v>
      </c>
      <c r="E54" s="335">
        <v>1</v>
      </c>
      <c r="F54" s="335">
        <v>1056870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552560.49728098803</v>
      </c>
      <c r="E57" s="335">
        <v>61</v>
      </c>
      <c r="F57" s="335">
        <v>1071549.0559759799</v>
      </c>
    </row>
    <row r="58" spans="1:6">
      <c r="A58" s="1212" t="s">
        <v>49</v>
      </c>
      <c r="B58" s="1212" t="s">
        <v>51</v>
      </c>
      <c r="C58" s="335">
        <v>14</v>
      </c>
      <c r="D58" s="335">
        <v>2019002.71723354</v>
      </c>
      <c r="E58" s="335">
        <v>15</v>
      </c>
      <c r="F58" s="335">
        <v>576105.20702738396</v>
      </c>
    </row>
    <row r="59" spans="1:6">
      <c r="A59" s="1212" t="s">
        <v>49</v>
      </c>
      <c r="B59" s="1212" t="s">
        <v>52</v>
      </c>
      <c r="C59" s="335">
        <v>43</v>
      </c>
      <c r="D59" s="335">
        <v>1511951.3952153099</v>
      </c>
      <c r="E59" s="335">
        <v>128</v>
      </c>
      <c r="F59" s="335">
        <v>4366113.2998980498</v>
      </c>
    </row>
    <row r="60" spans="1:6">
      <c r="A60" s="1212" t="s">
        <v>49</v>
      </c>
      <c r="B60" s="1212" t="s">
        <v>53</v>
      </c>
      <c r="C60" s="335">
        <v>46</v>
      </c>
      <c r="D60" s="335">
        <v>2871182.0008745301</v>
      </c>
      <c r="E60" s="335">
        <v>63</v>
      </c>
      <c r="F60" s="335">
        <v>1257507.1502153</v>
      </c>
    </row>
    <row r="61" spans="1:6">
      <c r="A61" s="1212" t="s">
        <v>49</v>
      </c>
      <c r="B61" s="1212" t="s">
        <v>54</v>
      </c>
      <c r="C61" s="335">
        <v>72</v>
      </c>
      <c r="D61" s="335">
        <v>3302475.7635357901</v>
      </c>
      <c r="E61" s="335">
        <v>111</v>
      </c>
      <c r="F61" s="335">
        <v>1275788.59844468</v>
      </c>
    </row>
    <row r="62" spans="1:6">
      <c r="A62" s="1212" t="s">
        <v>49</v>
      </c>
      <c r="B62" s="1212" t="s">
        <v>55</v>
      </c>
      <c r="C62" s="335">
        <v>4</v>
      </c>
      <c r="D62" s="335">
        <v>168074.291458811</v>
      </c>
      <c r="E62" s="335">
        <v>5</v>
      </c>
      <c r="F62" s="335">
        <v>94484.337757203393</v>
      </c>
    </row>
    <row r="63" spans="1:6">
      <c r="A63" s="1212" t="s">
        <v>49</v>
      </c>
      <c r="B63" s="1212" t="s">
        <v>29</v>
      </c>
      <c r="C63" s="335">
        <v>90</v>
      </c>
      <c r="D63" s="335">
        <v>7371848.2280588299</v>
      </c>
      <c r="E63" s="335">
        <v>109</v>
      </c>
      <c r="F63" s="335">
        <v>7508702.20635108</v>
      </c>
    </row>
    <row r="64" spans="1:6">
      <c r="A64" s="1212" t="s">
        <v>56</v>
      </c>
      <c r="B64" s="1212" t="s">
        <v>57</v>
      </c>
      <c r="C64" s="335">
        <v>0</v>
      </c>
      <c r="D64" s="335">
        <v>0</v>
      </c>
      <c r="E64" s="335">
        <v>0</v>
      </c>
      <c r="F64" s="335">
        <v>0</v>
      </c>
    </row>
    <row r="65" spans="1:6">
      <c r="A65" s="1212" t="s">
        <v>56</v>
      </c>
      <c r="B65" s="1212" t="s">
        <v>29</v>
      </c>
      <c r="C65" s="335">
        <v>3</v>
      </c>
      <c r="D65" s="335">
        <v>52229.755663456803</v>
      </c>
      <c r="E65" s="335">
        <v>1</v>
      </c>
      <c r="F65" s="335">
        <v>6282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395981.13516898197</v>
      </c>
      <c r="E68" s="335">
        <v>22</v>
      </c>
      <c r="F68" s="335">
        <v>308167.85123090597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7642170</v>
      </c>
      <c r="E73" s="335">
        <v>7331429.4879234172</v>
      </c>
    </row>
    <row r="74" spans="1:6">
      <c r="A74" s="1212" t="s">
        <v>64</v>
      </c>
      <c r="B74" s="1212" t="s">
        <v>727</v>
      </c>
      <c r="C74" s="1212" t="s">
        <v>728</v>
      </c>
      <c r="D74" s="335">
        <v>577134.20099293021</v>
      </c>
      <c r="E74" s="335">
        <v>574898.83952039108</v>
      </c>
    </row>
    <row r="75" spans="1:6">
      <c r="A75" s="1212" t="s">
        <v>65</v>
      </c>
      <c r="B75" s="1212" t="s">
        <v>725</v>
      </c>
      <c r="C75" s="1212" t="s">
        <v>729</v>
      </c>
      <c r="D75" s="335">
        <v>28039245</v>
      </c>
      <c r="E75" s="335">
        <v>27261487.205510322</v>
      </c>
    </row>
    <row r="76" spans="1:6">
      <c r="A76" s="1212" t="s">
        <v>65</v>
      </c>
      <c r="B76" s="1212" t="s">
        <v>727</v>
      </c>
      <c r="C76" s="1212" t="s">
        <v>730</v>
      </c>
      <c r="D76" s="335">
        <v>1655801.2009929302</v>
      </c>
      <c r="E76" s="335">
        <v>1686733.164862527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335487.59801413951</v>
      </c>
      <c r="C83" s="335">
        <v>337489.12159926997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2767.697731937888</v>
      </c>
    </row>
    <row r="92" spans="1:6">
      <c r="A92" s="1208" t="s">
        <v>69</v>
      </c>
      <c r="B92" s="338">
        <v>1228.8871594907587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1963</v>
      </c>
    </row>
    <row r="98" spans="1:6">
      <c r="A98" s="1212" t="s">
        <v>72</v>
      </c>
      <c r="B98" s="335">
        <v>1</v>
      </c>
    </row>
    <row r="99" spans="1:6">
      <c r="A99" s="1212" t="s">
        <v>73</v>
      </c>
      <c r="B99" s="335">
        <v>148</v>
      </c>
    </row>
    <row r="100" spans="1:6">
      <c r="A100" s="1212" t="s">
        <v>74</v>
      </c>
      <c r="B100" s="335">
        <v>286</v>
      </c>
    </row>
    <row r="101" spans="1:6">
      <c r="A101" s="1212" t="s">
        <v>75</v>
      </c>
      <c r="B101" s="335">
        <v>126</v>
      </c>
    </row>
    <row r="102" spans="1:6">
      <c r="A102" s="1212" t="s">
        <v>76</v>
      </c>
      <c r="B102" s="335">
        <v>69</v>
      </c>
    </row>
    <row r="103" spans="1:6">
      <c r="A103" s="1212" t="s">
        <v>77</v>
      </c>
      <c r="B103" s="335">
        <v>139</v>
      </c>
    </row>
    <row r="104" spans="1:6">
      <c r="A104" s="1212" t="s">
        <v>78</v>
      </c>
      <c r="B104" s="335">
        <v>1292</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119</v>
      </c>
    </row>
    <row r="130" spans="1:6">
      <c r="A130" s="1212" t="s">
        <v>295</v>
      </c>
      <c r="B130" s="335">
        <v>2</v>
      </c>
    </row>
    <row r="131" spans="1:6">
      <c r="A131" s="1212" t="s">
        <v>296</v>
      </c>
      <c r="B131" s="335">
        <v>2</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64007.567620145077</v>
      </c>
      <c r="C3" s="43" t="s">
        <v>170</v>
      </c>
      <c r="D3" s="43"/>
      <c r="E3" s="156"/>
      <c r="F3" s="43"/>
      <c r="G3" s="43"/>
      <c r="H3" s="43"/>
      <c r="I3" s="43"/>
      <c r="J3" s="43"/>
      <c r="K3" s="96"/>
    </row>
    <row r="4" spans="1:11">
      <c r="A4" s="366" t="s">
        <v>171</v>
      </c>
      <c r="B4" s="49">
        <f>IF(ISERROR('SEAP template'!B69),0,'SEAP template'!B69)</f>
        <v>10683.584891428647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0.18411260763699711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9552.8571428571431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1056.8699999999999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1056.8699999999999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0.18411260763699711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194.5830916333131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16215.6416715331</v>
      </c>
      <c r="C5" s="17">
        <f>IF(ISERROR('Eigen informatie GS &amp; warmtenet'!B57),0,'Eigen informatie GS &amp; warmtenet'!B57)</f>
        <v>0</v>
      </c>
      <c r="D5" s="30">
        <f>(SUM(HH_hh_gas_kWh,HH_rest_gas_kWh)/1000)*0.902</f>
        <v>44814.382959161965</v>
      </c>
      <c r="E5" s="17">
        <f>B46*B57</f>
        <v>5958.6900676288951</v>
      </c>
      <c r="F5" s="17">
        <f>B51*B62</f>
        <v>12984.812526834432</v>
      </c>
      <c r="G5" s="18"/>
      <c r="H5" s="17"/>
      <c r="I5" s="17"/>
      <c r="J5" s="17">
        <f>B50*B61+C50*C61</f>
        <v>2135.8614138218354</v>
      </c>
      <c r="K5" s="17"/>
      <c r="L5" s="17"/>
      <c r="M5" s="17"/>
      <c r="N5" s="17">
        <f>B48*B59+C48*C59</f>
        <v>19018.079284288429</v>
      </c>
      <c r="O5" s="17">
        <f>B69*B70*B71</f>
        <v>189.16333333333336</v>
      </c>
      <c r="P5" s="17">
        <f>B77*B78*B79/1000-B77*B78*B79/1000/B80</f>
        <v>57.2</v>
      </c>
    </row>
    <row r="6" spans="1:16">
      <c r="A6" s="16" t="s">
        <v>634</v>
      </c>
      <c r="B6" s="831">
        <f>kWh_PV_kleiner_dan_10kW</f>
        <v>2767.697731937888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18983.339403470989</v>
      </c>
      <c r="C8" s="21">
        <f>C5</f>
        <v>0</v>
      </c>
      <c r="D8" s="21">
        <f>D5</f>
        <v>44814.382959161965</v>
      </c>
      <c r="E8" s="21">
        <f>E5</f>
        <v>5958.6900676288951</v>
      </c>
      <c r="F8" s="21">
        <f>F5</f>
        <v>12984.812526834432</v>
      </c>
      <c r="G8" s="21"/>
      <c r="H8" s="21"/>
      <c r="I8" s="21"/>
      <c r="J8" s="21">
        <f>J5</f>
        <v>2135.8614138218354</v>
      </c>
      <c r="K8" s="21"/>
      <c r="L8" s="21">
        <f>L5</f>
        <v>0</v>
      </c>
      <c r="M8" s="21">
        <f>M5</f>
        <v>0</v>
      </c>
      <c r="N8" s="21">
        <f>N5</f>
        <v>19018.079284288429</v>
      </c>
      <c r="O8" s="21">
        <f>O5</f>
        <v>189.16333333333336</v>
      </c>
      <c r="P8" s="21">
        <f>P5</f>
        <v>57.2</v>
      </c>
    </row>
    <row r="9" spans="1:16">
      <c r="B9" s="19"/>
      <c r="C9" s="19"/>
      <c r="D9" s="261"/>
      <c r="E9" s="19"/>
      <c r="F9" s="19"/>
      <c r="G9" s="19"/>
      <c r="H9" s="19"/>
      <c r="I9" s="19"/>
      <c r="J9" s="19"/>
      <c r="K9" s="19"/>
      <c r="L9" s="19"/>
      <c r="M9" s="19"/>
      <c r="N9" s="19"/>
      <c r="O9" s="19"/>
      <c r="P9" s="19"/>
    </row>
    <row r="10" spans="1:16">
      <c r="A10" s="24" t="s">
        <v>214</v>
      </c>
      <c r="B10" s="25">
        <f ca="1">'EF ele_warmte'!B12</f>
        <v>0.18411260763699711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3495.0721192312008</v>
      </c>
      <c r="C12" s="23">
        <f ca="1">C10*C8</f>
        <v>0</v>
      </c>
      <c r="D12" s="23">
        <f>D8*D10</f>
        <v>9052.5053577507169</v>
      </c>
      <c r="E12" s="23">
        <f>E10*E8</f>
        <v>1352.6226453517593</v>
      </c>
      <c r="F12" s="23">
        <f>F10*F8</f>
        <v>3466.9449446647936</v>
      </c>
      <c r="G12" s="23"/>
      <c r="H12" s="23"/>
      <c r="I12" s="23"/>
      <c r="J12" s="23">
        <f>J10*J8</f>
        <v>756.09494049292971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1963</v>
      </c>
      <c r="C18" s="168" t="s">
        <v>111</v>
      </c>
      <c r="D18" s="230"/>
      <c r="E18" s="15"/>
    </row>
    <row r="19" spans="1:7">
      <c r="A19" s="173" t="s">
        <v>72</v>
      </c>
      <c r="B19" s="37">
        <f>aantalw2001_ander</f>
        <v>1</v>
      </c>
      <c r="C19" s="168" t="s">
        <v>111</v>
      </c>
      <c r="D19" s="231"/>
      <c r="E19" s="15"/>
    </row>
    <row r="20" spans="1:7">
      <c r="A20" s="173" t="s">
        <v>73</v>
      </c>
      <c r="B20" s="37">
        <f>aantalw2001_propaan</f>
        <v>148</v>
      </c>
      <c r="C20" s="169">
        <f>IF(ISERROR(B20/SUM($B$20,$B$21,$B$22)*100),0,B20/SUM($B$20,$B$21,$B$22)*100)</f>
        <v>26.428571428571431</v>
      </c>
      <c r="D20" s="231"/>
      <c r="E20" s="15"/>
    </row>
    <row r="21" spans="1:7">
      <c r="A21" s="173" t="s">
        <v>74</v>
      </c>
      <c r="B21" s="37">
        <f>aantalw2001_elektriciteit</f>
        <v>286</v>
      </c>
      <c r="C21" s="169">
        <f>IF(ISERROR(B21/SUM($B$20,$B$21,$B$22)*100),0,B21/SUM($B$20,$B$21,$B$22)*100)</f>
        <v>51.071428571428569</v>
      </c>
      <c r="D21" s="231"/>
      <c r="E21" s="15"/>
    </row>
    <row r="22" spans="1:7">
      <c r="A22" s="173" t="s">
        <v>75</v>
      </c>
      <c r="B22" s="37">
        <f>aantalw2001_hout</f>
        <v>126</v>
      </c>
      <c r="C22" s="169">
        <f>IF(ISERROR(B22/SUM($B$20,$B$21,$B$22)*100),0,B22/SUM($B$20,$B$21,$B$22)*100)</f>
        <v>22.5</v>
      </c>
      <c r="D22" s="231"/>
      <c r="E22" s="15"/>
    </row>
    <row r="23" spans="1:7">
      <c r="A23" s="173" t="s">
        <v>76</v>
      </c>
      <c r="B23" s="37">
        <f>aantalw2001_niet_gespec</f>
        <v>69</v>
      </c>
      <c r="C23" s="168" t="s">
        <v>111</v>
      </c>
      <c r="D23" s="230"/>
      <c r="E23" s="15"/>
    </row>
    <row r="24" spans="1:7">
      <c r="A24" s="173" t="s">
        <v>77</v>
      </c>
      <c r="B24" s="37">
        <f>aantalw2001_steenkool</f>
        <v>139</v>
      </c>
      <c r="C24" s="168" t="s">
        <v>111</v>
      </c>
      <c r="D24" s="231"/>
      <c r="E24" s="15"/>
    </row>
    <row r="25" spans="1:7">
      <c r="A25" s="173" t="s">
        <v>78</v>
      </c>
      <c r="B25" s="37">
        <f>aantalw2001_stookolie</f>
        <v>1292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4479</v>
      </c>
      <c r="C28" s="36"/>
      <c r="D28" s="230"/>
    </row>
    <row r="29" spans="1:7" s="15" customFormat="1">
      <c r="A29" s="232" t="s">
        <v>746</v>
      </c>
      <c r="B29" s="37">
        <f>SUM(HH_hh_gas_aantal,HH_rest_gas_aantal)</f>
        <v>2828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2828</v>
      </c>
      <c r="C32" s="169">
        <f>IF(ISERROR(B32/SUM($B$32,$B$34,$B$35,$B$36,$B$38,$B$39)*100),0,B32/SUM($B$32,$B$34,$B$35,$B$36,$B$38,$B$39)*100)</f>
        <v>63.181411974977664</v>
      </c>
      <c r="D32" s="235"/>
      <c r="G32" s="15"/>
    </row>
    <row r="33" spans="1:7">
      <c r="A33" s="173" t="s">
        <v>72</v>
      </c>
      <c r="B33" s="34" t="s">
        <v>111</v>
      </c>
      <c r="C33" s="169"/>
      <c r="D33" s="235"/>
      <c r="G33" s="15"/>
    </row>
    <row r="34" spans="1:7">
      <c r="A34" s="173" t="s">
        <v>73</v>
      </c>
      <c r="B34" s="33">
        <f>IF((($B$28-$B$32-$B$39-$B$77-$B$38)*C20/100)&lt;0,0,($B$28-$B$32-$B$39-$B$77-$B$38)*C20/100)</f>
        <v>285.95714285714286</v>
      </c>
      <c r="C34" s="169">
        <f>IF(ISERROR(B34/SUM($B$32,$B$34,$B$35,$B$36,$B$38,$B$39)*100),0,B34/SUM($B$32,$B$34,$B$35,$B$36,$B$38,$B$39)*100)</f>
        <v>6.3886761138771853</v>
      </c>
      <c r="D34" s="235"/>
      <c r="G34" s="15"/>
    </row>
    <row r="35" spans="1:7">
      <c r="A35" s="173" t="s">
        <v>74</v>
      </c>
      <c r="B35" s="33">
        <f>IF((($B$28-$B$32-$B$39-$B$77-$B$38)*C21/100)&lt;0,0,($B$28-$B$32-$B$39-$B$77-$B$38)*C21/100)</f>
        <v>552.59285714285716</v>
      </c>
      <c r="C35" s="169">
        <f>IF(ISERROR(B35/SUM($B$32,$B$34,$B$35,$B$36,$B$38,$B$39)*100),0,B35/SUM($B$32,$B$34,$B$35,$B$36,$B$38,$B$39)*100)</f>
        <v>12.345684922762672</v>
      </c>
      <c r="D35" s="235"/>
      <c r="G35" s="15"/>
    </row>
    <row r="36" spans="1:7">
      <c r="A36" s="173" t="s">
        <v>75</v>
      </c>
      <c r="B36" s="33">
        <f>IF((($B$28-$B$32-$B$39-$B$77-$B$38)*C22/100)&lt;0,0,($B$28-$B$32-$B$39-$B$77-$B$38)*C22/100)</f>
        <v>243.45</v>
      </c>
      <c r="C36" s="169">
        <f>IF(ISERROR(B36/SUM($B$32,$B$34,$B$35,$B$36,$B$38,$B$39)*100),0,B36/SUM($B$32,$B$34,$B$35,$B$36,$B$38,$B$39)*100)</f>
        <v>5.4390080428954422</v>
      </c>
      <c r="D36" s="235"/>
      <c r="G36" s="15"/>
    </row>
    <row r="37" spans="1:7">
      <c r="A37" s="173" t="s">
        <v>76</v>
      </c>
      <c r="B37" s="34" t="s">
        <v>111</v>
      </c>
      <c r="C37" s="169"/>
      <c r="D37" s="175"/>
      <c r="G37" s="15"/>
    </row>
    <row r="38" spans="1:7">
      <c r="A38" s="173" t="s">
        <v>77</v>
      </c>
      <c r="B38" s="33">
        <f>IF((B24-(B29-B18)*0.1)&lt;0,0,B24-(B29-B18)*0.1)</f>
        <v>52.5</v>
      </c>
      <c r="C38" s="169">
        <f>IF(ISERROR(B38/SUM($B$32,$B$34,$B$35,$B$36,$B$38,$B$39)*100),0,B38/SUM($B$32,$B$34,$B$35,$B$36,$B$38,$B$39)*100)</f>
        <v>1.1729222520107239</v>
      </c>
      <c r="D38" s="236"/>
      <c r="G38" s="15"/>
    </row>
    <row r="39" spans="1:7">
      <c r="A39" s="173" t="s">
        <v>78</v>
      </c>
      <c r="B39" s="33">
        <f>IF((B25-(B29-B18))&lt;0,0,B25-(B29-B18)*0.9)</f>
        <v>513.5</v>
      </c>
      <c r="C39" s="169">
        <f>IF(ISERROR(B39/SUM($B$32,$B$34,$B$35,$B$36,$B$38,$B$39)*100),0,B39/SUM($B$32,$B$34,$B$35,$B$36,$B$38,$B$39)*100)</f>
        <v>11.472296693476318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2828</v>
      </c>
      <c r="C44" s="34" t="s">
        <v>111</v>
      </c>
      <c r="D44" s="176"/>
    </row>
    <row r="45" spans="1:7">
      <c r="A45" s="173" t="s">
        <v>72</v>
      </c>
      <c r="B45" s="33" t="str">
        <f t="shared" si="0"/>
        <v>-</v>
      </c>
      <c r="C45" s="34" t="s">
        <v>111</v>
      </c>
      <c r="D45" s="176"/>
    </row>
    <row r="46" spans="1:7">
      <c r="A46" s="173" t="s">
        <v>73</v>
      </c>
      <c r="B46" s="33">
        <f t="shared" si="0"/>
        <v>285.95714285714286</v>
      </c>
      <c r="C46" s="34" t="s">
        <v>111</v>
      </c>
      <c r="D46" s="176"/>
    </row>
    <row r="47" spans="1:7">
      <c r="A47" s="173" t="s">
        <v>74</v>
      </c>
      <c r="B47" s="33">
        <f t="shared" si="0"/>
        <v>552.59285714285716</v>
      </c>
      <c r="C47" s="34" t="s">
        <v>111</v>
      </c>
      <c r="D47" s="176"/>
    </row>
    <row r="48" spans="1:7">
      <c r="A48" s="173" t="s">
        <v>75</v>
      </c>
      <c r="B48" s="33">
        <f t="shared" si="0"/>
        <v>243.45</v>
      </c>
      <c r="C48" s="33">
        <f>B48*10</f>
        <v>2434.5</v>
      </c>
      <c r="D48" s="236"/>
    </row>
    <row r="49" spans="1:6">
      <c r="A49" s="173" t="s">
        <v>76</v>
      </c>
      <c r="B49" s="33" t="str">
        <f t="shared" si="0"/>
        <v>-</v>
      </c>
      <c r="C49" s="34" t="s">
        <v>111</v>
      </c>
      <c r="D49" s="236"/>
    </row>
    <row r="50" spans="1:6">
      <c r="A50" s="173" t="s">
        <v>77</v>
      </c>
      <c r="B50" s="33">
        <f t="shared" si="0"/>
        <v>52.5</v>
      </c>
      <c r="C50" s="33">
        <f>B50*2</f>
        <v>105</v>
      </c>
      <c r="D50" s="236"/>
    </row>
    <row r="51" spans="1:6">
      <c r="A51" s="173" t="s">
        <v>78</v>
      </c>
      <c r="B51" s="33">
        <f t="shared" si="0"/>
        <v>513.5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16150.249855669677</v>
      </c>
      <c r="C5" s="17">
        <f>IF(ISERROR('Eigen informatie GS &amp; warmtenet'!B58),0,'Eigen informatie GS &amp; warmtenet'!B58)</f>
        <v>0</v>
      </c>
      <c r="D5" s="30">
        <f>SUM(D6:D12)</f>
        <v>16052.979594079334</v>
      </c>
      <c r="E5" s="17">
        <f>SUM(E6:E12)</f>
        <v>235.4307204713852</v>
      </c>
      <c r="F5" s="17">
        <f>SUM(F6:F12)</f>
        <v>3249.3008239781261</v>
      </c>
      <c r="G5" s="18"/>
      <c r="H5" s="17"/>
      <c r="I5" s="17"/>
      <c r="J5" s="17">
        <f>SUM(J6:J12)</f>
        <v>0</v>
      </c>
      <c r="K5" s="17"/>
      <c r="L5" s="17"/>
      <c r="M5" s="17"/>
      <c r="N5" s="17">
        <f>SUM(N6:N12)</f>
        <v>1361.9737964211349</v>
      </c>
      <c r="O5" s="17">
        <f>B38*B39*B40</f>
        <v>3.1266666666666669</v>
      </c>
      <c r="P5" s="17">
        <f>B46*B47*B48/1000-B46*B47*B48/1000/B49</f>
        <v>38.133333333333333</v>
      </c>
      <c r="R5" s="32"/>
    </row>
    <row r="6" spans="1:18">
      <c r="A6" s="32" t="s">
        <v>54</v>
      </c>
      <c r="B6" s="37">
        <f>B26</f>
        <v>1275.78859844468</v>
      </c>
      <c r="C6" s="33"/>
      <c r="D6" s="37">
        <f>IF(ISERROR(TER_kantoor_gas_kWh/1000),0,TER_kantoor_gas_kWh/1000)*0.902</f>
        <v>2978.8331387092826</v>
      </c>
      <c r="E6" s="33">
        <f>$C$26*'E Balans VL '!I12/100/3.6*1000000</f>
        <v>4.9567088051412176</v>
      </c>
      <c r="F6" s="33">
        <f>$C$26*('E Balans VL '!L12+'E Balans VL '!N12)/100/3.6*1000000</f>
        <v>194.03583707271989</v>
      </c>
      <c r="G6" s="34"/>
      <c r="H6" s="33"/>
      <c r="I6" s="33"/>
      <c r="J6" s="33">
        <f>$C$26*('E Balans VL '!D12+'E Balans VL '!E12)/100/3.6*1000000</f>
        <v>0</v>
      </c>
      <c r="K6" s="33"/>
      <c r="L6" s="33"/>
      <c r="M6" s="33"/>
      <c r="N6" s="33">
        <f>$C$26*'E Balans VL '!Y12/100/3.6*1000000</f>
        <v>0.70311235345323597</v>
      </c>
      <c r="O6" s="33"/>
      <c r="P6" s="33"/>
      <c r="R6" s="32"/>
    </row>
    <row r="7" spans="1:18">
      <c r="A7" s="32" t="s">
        <v>53</v>
      </c>
      <c r="B7" s="37">
        <f t="shared" ref="B7:B12" si="0">B27</f>
        <v>1257.5071502153</v>
      </c>
      <c r="C7" s="33"/>
      <c r="D7" s="37">
        <f>IF(ISERROR(TER_horeca_gas_kWh/1000),0,TER_horeca_gas_kWh/1000)*0.902</f>
        <v>2589.8061647888262</v>
      </c>
      <c r="E7" s="33">
        <f>$C$27*'E Balans VL '!I9/100/3.6*1000000</f>
        <v>70.835713973337093</v>
      </c>
      <c r="F7" s="33">
        <f>$C$27*('E Balans VL '!L9+'E Balans VL '!N9)/100/3.6*1000000</f>
        <v>362.58977670588547</v>
      </c>
      <c r="G7" s="34"/>
      <c r="H7" s="33"/>
      <c r="I7" s="33"/>
      <c r="J7" s="33">
        <f>$C$27*('E Balans VL '!D9+'E Balans VL '!E9)/100/3.6*1000000</f>
        <v>0</v>
      </c>
      <c r="K7" s="33"/>
      <c r="L7" s="33"/>
      <c r="M7" s="33"/>
      <c r="N7" s="33">
        <f>$C$27*'E Balans VL '!Y9/100/3.6*1000000</f>
        <v>0.34719118955246941</v>
      </c>
      <c r="O7" s="33"/>
      <c r="P7" s="33"/>
      <c r="R7" s="32"/>
    </row>
    <row r="8" spans="1:18">
      <c r="A8" s="6" t="s">
        <v>52</v>
      </c>
      <c r="B8" s="37">
        <f t="shared" si="0"/>
        <v>4366.1132998980502</v>
      </c>
      <c r="C8" s="33"/>
      <c r="D8" s="37">
        <f>IF(ISERROR(TER_handel_gas_kWh/1000),0,TER_handel_gas_kWh/1000)*0.902</f>
        <v>1363.7801584842096</v>
      </c>
      <c r="E8" s="33">
        <f>$C$28*'E Balans VL '!I13/100/3.6*1000000</f>
        <v>62.930505400449242</v>
      </c>
      <c r="F8" s="33">
        <f>$C$28*('E Balans VL '!L13+'E Balans VL '!N13)/100/3.6*1000000</f>
        <v>758.49556010980177</v>
      </c>
      <c r="G8" s="34"/>
      <c r="H8" s="33"/>
      <c r="I8" s="33"/>
      <c r="J8" s="33">
        <f>$C$28*('E Balans VL '!D13+'E Balans VL '!E13)/100/3.6*1000000</f>
        <v>0</v>
      </c>
      <c r="K8" s="33"/>
      <c r="L8" s="33"/>
      <c r="M8" s="33"/>
      <c r="N8" s="33">
        <f>$C$28*'E Balans VL '!Y13/100/3.6*1000000</f>
        <v>13.081361492239719</v>
      </c>
      <c r="O8" s="33"/>
      <c r="P8" s="33"/>
      <c r="R8" s="32"/>
    </row>
    <row r="9" spans="1:18">
      <c r="A9" s="32" t="s">
        <v>51</v>
      </c>
      <c r="B9" s="37">
        <f t="shared" si="0"/>
        <v>576.10520702738393</v>
      </c>
      <c r="C9" s="33"/>
      <c r="D9" s="37">
        <f>IF(ISERROR(TER_gezond_gas_kWh/1000),0,TER_gezond_gas_kWh/1000)*0.902</f>
        <v>1821.1404509446531</v>
      </c>
      <c r="E9" s="33">
        <f>$C$29*'E Balans VL '!I10/100/3.6*1000000</f>
        <v>0.61542968209126803</v>
      </c>
      <c r="F9" s="33">
        <f>$C$29*('E Balans VL '!L10+'E Balans VL '!N10)/100/3.6*1000000</f>
        <v>93.980267760418315</v>
      </c>
      <c r="G9" s="34"/>
      <c r="H9" s="33"/>
      <c r="I9" s="33"/>
      <c r="J9" s="33">
        <f>$C$29*('E Balans VL '!D10+'E Balans VL '!E10)/100/3.6*1000000</f>
        <v>0</v>
      </c>
      <c r="K9" s="33"/>
      <c r="L9" s="33"/>
      <c r="M9" s="33"/>
      <c r="N9" s="33">
        <f>$C$29*'E Balans VL '!Y10/100/3.6*1000000</f>
        <v>5.9306743872738332</v>
      </c>
      <c r="O9" s="33"/>
      <c r="P9" s="33"/>
      <c r="R9" s="32"/>
    </row>
    <row r="10" spans="1:18">
      <c r="A10" s="32" t="s">
        <v>50</v>
      </c>
      <c r="B10" s="37">
        <f t="shared" si="0"/>
        <v>1071.5490559759799</v>
      </c>
      <c r="C10" s="33"/>
      <c r="D10" s="37">
        <f>IF(ISERROR(TER_ander_gas_kWh/1000),0,TER_ander_gas_kWh/1000)*0.902</f>
        <v>498.40956854745116</v>
      </c>
      <c r="E10" s="33">
        <f>$C$30*'E Balans VL '!I14/100/3.6*1000000</f>
        <v>4.9278911137224277</v>
      </c>
      <c r="F10" s="33">
        <f>$C$30*('E Balans VL '!L14+'E Balans VL '!N14)/100/3.6*1000000</f>
        <v>321.1770517710857</v>
      </c>
      <c r="G10" s="34"/>
      <c r="H10" s="33"/>
      <c r="I10" s="33"/>
      <c r="J10" s="33">
        <f>$C$30*('E Balans VL '!D14+'E Balans VL '!E14)/100/3.6*1000000</f>
        <v>0</v>
      </c>
      <c r="K10" s="33"/>
      <c r="L10" s="33"/>
      <c r="M10" s="33"/>
      <c r="N10" s="33">
        <f>$C$30*'E Balans VL '!Y14/100/3.6*1000000</f>
        <v>745.86887673615126</v>
      </c>
      <c r="O10" s="33"/>
      <c r="P10" s="33"/>
      <c r="R10" s="32"/>
    </row>
    <row r="11" spans="1:18">
      <c r="A11" s="32" t="s">
        <v>55</v>
      </c>
      <c r="B11" s="37">
        <f t="shared" si="0"/>
        <v>94.484337757203392</v>
      </c>
      <c r="C11" s="33"/>
      <c r="D11" s="37">
        <f>IF(ISERROR(TER_onderwijs_gas_kWh/1000),0,TER_onderwijs_gas_kWh/1000)*0.902</f>
        <v>151.60301089584752</v>
      </c>
      <c r="E11" s="33">
        <f>$C$31*'E Balans VL '!I11/100/3.6*1000000</f>
        <v>8.7646648789625858E-2</v>
      </c>
      <c r="F11" s="33">
        <f>$C$31*('E Balans VL '!L11+'E Balans VL '!N11)/100/3.6*1000000</f>
        <v>33.190176287729592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7508.7022063510803</v>
      </c>
      <c r="C12" s="33"/>
      <c r="D12" s="37">
        <f>IF(ISERROR(TER_rest_gas_kWh/1000),0,TER_rest_gas_kWh/1000)*0.902</f>
        <v>6649.4071017090646</v>
      </c>
      <c r="E12" s="33">
        <f>$C$32*'E Balans VL '!I8/100/3.6*1000000</f>
        <v>91.076824847854326</v>
      </c>
      <c r="F12" s="33">
        <f>$C$32*('E Balans VL '!L8+'E Balans VL '!N8)/100/3.6*1000000</f>
        <v>1485.8321542704853</v>
      </c>
      <c r="G12" s="34"/>
      <c r="H12" s="33"/>
      <c r="I12" s="33"/>
      <c r="J12" s="33">
        <f>$C$32*('E Balans VL '!D8+'E Balans VL '!E8)/100/3.6*1000000</f>
        <v>0</v>
      </c>
      <c r="K12" s="33"/>
      <c r="L12" s="33"/>
      <c r="M12" s="33"/>
      <c r="N12" s="33">
        <f>$C$32*'E Balans VL '!Y8/100/3.6*1000000</f>
        <v>596.0425802624643</v>
      </c>
      <c r="O12" s="33"/>
      <c r="P12" s="33"/>
      <c r="R12" s="32"/>
    </row>
    <row r="13" spans="1:18">
      <c r="A13" s="16" t="s">
        <v>497</v>
      </c>
      <c r="B13" s="249">
        <f ca="1">'lokale energieproductie'!N90+'lokale energieproductie'!N59</f>
        <v>6687</v>
      </c>
      <c r="C13" s="249">
        <f ca="1">'lokale energieproductie'!O90+'lokale energieproductie'!O59</f>
        <v>9552.8571428571431</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-19105.714285714286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22837.249855669677</v>
      </c>
      <c r="C16" s="21">
        <f t="shared" ca="1" si="1"/>
        <v>9552.8571428571431</v>
      </c>
      <c r="D16" s="21">
        <f t="shared" ca="1" si="1"/>
        <v>16052.979594079334</v>
      </c>
      <c r="E16" s="21">
        <f t="shared" si="1"/>
        <v>235.4307204713852</v>
      </c>
      <c r="F16" s="21">
        <f t="shared" ca="1" si="1"/>
        <v>3249.3008239781261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0.18411260763699711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4204.6256221849799</v>
      </c>
      <c r="C20" s="23">
        <f t="shared" ref="C20:P20" ca="1" si="2">C16*C18</f>
        <v>0</v>
      </c>
      <c r="D20" s="23">
        <f t="shared" ca="1" si="2"/>
        <v>3242.7018780040257</v>
      </c>
      <c r="E20" s="23">
        <f t="shared" si="2"/>
        <v>53.442773547004442</v>
      </c>
      <c r="F20" s="23">
        <f t="shared" ca="1" si="2"/>
        <v>867.56332000215968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1275.78859844468</v>
      </c>
      <c r="C26" s="39">
        <f>IF(ISERROR(B26*3.6/1000000/'E Balans VL '!Z12*100),0,B26*3.6/1000000/'E Balans VL '!Z12*100)</f>
        <v>2.7098381774485137E-2</v>
      </c>
      <c r="D26" s="239" t="s">
        <v>692</v>
      </c>
      <c r="F26" s="6"/>
    </row>
    <row r="27" spans="1:18">
      <c r="A27" s="233" t="s">
        <v>53</v>
      </c>
      <c r="B27" s="33">
        <f>IF(ISERROR(TER_horeca_ele_kWh/1000),0,TER_horeca_ele_kWh/1000)</f>
        <v>1257.5071502153</v>
      </c>
      <c r="C27" s="39">
        <f>IF(ISERROR(B27*3.6/1000000/'E Balans VL '!Z9*100),0,B27*3.6/1000000/'E Balans VL '!Z9*100)</f>
        <v>9.7778839246241922E-2</v>
      </c>
      <c r="D27" s="239" t="s">
        <v>692</v>
      </c>
      <c r="F27" s="6"/>
    </row>
    <row r="28" spans="1:18">
      <c r="A28" s="173" t="s">
        <v>52</v>
      </c>
      <c r="B28" s="33">
        <f>IF(ISERROR(TER_handel_ele_kWh/1000),0,TER_handel_ele_kWh/1000)</f>
        <v>4366.1132998980502</v>
      </c>
      <c r="C28" s="39">
        <f>IF(ISERROR(B28*3.6/1000000/'E Balans VL '!Z13*100),0,B28*3.6/1000000/'E Balans VL '!Z13*100)</f>
        <v>0.1249196399114168</v>
      </c>
      <c r="D28" s="239" t="s">
        <v>692</v>
      </c>
      <c r="F28" s="6"/>
    </row>
    <row r="29" spans="1:18">
      <c r="A29" s="233" t="s">
        <v>51</v>
      </c>
      <c r="B29" s="33">
        <f>IF(ISERROR(TER_gezond_ele_kWh/1000),0,TER_gezond_ele_kWh/1000)</f>
        <v>576.10520702738393</v>
      </c>
      <c r="C29" s="39">
        <f>IF(ISERROR(B29*3.6/1000000/'E Balans VL '!Z10*100),0,B29*3.6/1000000/'E Balans VL '!Z10*100)</f>
        <v>6.2808854645459281E-2</v>
      </c>
      <c r="D29" s="239" t="s">
        <v>692</v>
      </c>
      <c r="F29" s="6"/>
    </row>
    <row r="30" spans="1:18">
      <c r="A30" s="233" t="s">
        <v>50</v>
      </c>
      <c r="B30" s="33">
        <f>IF(ISERROR(TER_ander_ele_kWh/1000),0,TER_ander_ele_kWh/1000)</f>
        <v>1071.5490559759799</v>
      </c>
      <c r="C30" s="39">
        <f>IF(ISERROR(B30*3.6/1000000/'E Balans VL '!Z14*100),0,B30*3.6/1000000/'E Balans VL '!Z14*100)</f>
        <v>7.8413529164910775E-2</v>
      </c>
      <c r="D30" s="239" t="s">
        <v>692</v>
      </c>
      <c r="F30" s="6"/>
    </row>
    <row r="31" spans="1:18">
      <c r="A31" s="233" t="s">
        <v>55</v>
      </c>
      <c r="B31" s="33">
        <f>IF(ISERROR(TER_onderwijs_ele_kWh/1000),0,TER_onderwijs_ele_kWh/1000)</f>
        <v>94.484337757203392</v>
      </c>
      <c r="C31" s="39">
        <f>IF(ISERROR(B31*3.6/1000000/'E Balans VL '!Z11*100),0,B31*3.6/1000000/'E Balans VL '!Z11*100)</f>
        <v>1.8977249400668805E-2</v>
      </c>
      <c r="D31" s="239" t="s">
        <v>692</v>
      </c>
    </row>
    <row r="32" spans="1:18">
      <c r="A32" s="233" t="s">
        <v>260</v>
      </c>
      <c r="B32" s="33">
        <f>IF(ISERROR(TER_rest_ele_kWh/1000),0,TER_rest_ele_kWh/1000)</f>
        <v>7508.7022063510803</v>
      </c>
      <c r="C32" s="39">
        <f>IF(ISERROR(B32*3.6/1000000/'E Balans VL '!Z8*100),0,B32*3.6/1000000/'E Balans VL '!Z8*100)</f>
        <v>6.1191366181919588E-2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18777.167132753308</v>
      </c>
      <c r="C5" s="17">
        <f>IF(ISERROR('Eigen informatie GS &amp; warmtenet'!B59),0,'Eigen informatie GS &amp; warmtenet'!B59)</f>
        <v>0</v>
      </c>
      <c r="D5" s="30">
        <f>SUM(D6:D15)</f>
        <v>17144.713235922212</v>
      </c>
      <c r="E5" s="17">
        <f>SUM(E6:E15)</f>
        <v>1199.3020051480673</v>
      </c>
      <c r="F5" s="17">
        <f>SUM(F6:F15)</f>
        <v>4978.4922185031701</v>
      </c>
      <c r="G5" s="18"/>
      <c r="H5" s="17"/>
      <c r="I5" s="17"/>
      <c r="J5" s="17">
        <f>SUM(J6:J15)</f>
        <v>41.302257130037091</v>
      </c>
      <c r="K5" s="17"/>
      <c r="L5" s="17"/>
      <c r="M5" s="17"/>
      <c r="N5" s="17">
        <f>SUM(N6:N15)</f>
        <v>3669.6912446720276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1189.7665463019</v>
      </c>
      <c r="C8" s="33"/>
      <c r="D8" s="37">
        <f>IF( ISERROR(IND_metaal_Gas_kWH/1000),0,IND_metaal_Gas_kWH/1000)*0.902</f>
        <v>502.09441194400387</v>
      </c>
      <c r="E8" s="33">
        <f>C30*'E Balans VL '!I18/100/3.6*1000000</f>
        <v>34.174561045543093</v>
      </c>
      <c r="F8" s="33">
        <f>C30*'E Balans VL '!L18/100/3.6*1000000+C30*'E Balans VL '!N18/100/3.6*1000000</f>
        <v>305.15223662727863</v>
      </c>
      <c r="G8" s="34"/>
      <c r="H8" s="33"/>
      <c r="I8" s="33"/>
      <c r="J8" s="40">
        <f>C30*'E Balans VL '!D18/100/3.6*1000000+C30*'E Balans VL '!E18/100/3.6*1000000</f>
        <v>0</v>
      </c>
      <c r="K8" s="33"/>
      <c r="L8" s="33"/>
      <c r="M8" s="33"/>
      <c r="N8" s="33">
        <f>C30*'E Balans VL '!Y18/100/3.6*1000000</f>
        <v>32.304590389704259</v>
      </c>
      <c r="O8" s="33"/>
      <c r="P8" s="33"/>
      <c r="R8" s="32"/>
    </row>
    <row r="9" spans="1:18">
      <c r="A9" s="6" t="s">
        <v>33</v>
      </c>
      <c r="B9" s="37">
        <f t="shared" si="0"/>
        <v>930.55123436602207</v>
      </c>
      <c r="C9" s="33"/>
      <c r="D9" s="37">
        <f>IF( ISERROR(IND_andere_gas_kWh/1000),0,IND_andere_gas_kWh/1000)*0.902</f>
        <v>1169.6323201528305</v>
      </c>
      <c r="E9" s="33">
        <f>C31*'E Balans VL '!I19/100/3.6*1000000</f>
        <v>251.87733964204594</v>
      </c>
      <c r="F9" s="33">
        <f>C31*'E Balans VL '!L19/100/3.6*1000000+C31*'E Balans VL '!N19/100/3.6*1000000</f>
        <v>619.84559497839336</v>
      </c>
      <c r="G9" s="34"/>
      <c r="H9" s="33"/>
      <c r="I9" s="33"/>
      <c r="J9" s="40">
        <f>C31*'E Balans VL '!D19/100/3.6*1000000+C31*'E Balans VL '!E19/100/3.6*1000000</f>
        <v>0</v>
      </c>
      <c r="K9" s="33"/>
      <c r="L9" s="33"/>
      <c r="M9" s="33"/>
      <c r="N9" s="33">
        <f>C31*'E Balans VL '!Y19/100/3.6*1000000</f>
        <v>303.80952024114742</v>
      </c>
      <c r="O9" s="33"/>
      <c r="P9" s="33"/>
      <c r="R9" s="32"/>
    </row>
    <row r="10" spans="1:18">
      <c r="A10" s="6" t="s">
        <v>41</v>
      </c>
      <c r="B10" s="37">
        <f t="shared" si="0"/>
        <v>167.35981329029002</v>
      </c>
      <c r="C10" s="33"/>
      <c r="D10" s="37">
        <f>IF( ISERROR(IND_voed_gas_kWh/1000),0,IND_voed_gas_kWh/1000)*0.902</f>
        <v>314.15197419764115</v>
      </c>
      <c r="E10" s="33">
        <f>C32*'E Balans VL '!I20/100/3.6*1000000</f>
        <v>13.6502508711219</v>
      </c>
      <c r="F10" s="33">
        <f>C32*'E Balans VL '!L20/100/3.6*1000000+C32*'E Balans VL '!N20/100/3.6*1000000</f>
        <v>249.54866582854444</v>
      </c>
      <c r="G10" s="34"/>
      <c r="H10" s="33"/>
      <c r="I10" s="33"/>
      <c r="J10" s="40">
        <f>C32*'E Balans VL '!D20/100/3.6*1000000+C32*'E Balans VL '!E20/100/3.6*1000000</f>
        <v>2.2139671822695725E-3</v>
      </c>
      <c r="K10" s="33"/>
      <c r="L10" s="33"/>
      <c r="M10" s="33"/>
      <c r="N10" s="33">
        <f>C32*'E Balans VL '!Y20/100/3.6*1000000</f>
        <v>49.164407653652653</v>
      </c>
      <c r="O10" s="33"/>
      <c r="P10" s="33"/>
      <c r="R10" s="32"/>
    </row>
    <row r="11" spans="1:18">
      <c r="A11" s="6" t="s">
        <v>40</v>
      </c>
      <c r="B11" s="37">
        <f t="shared" si="0"/>
        <v>319.51883260392299</v>
      </c>
      <c r="C11" s="33"/>
      <c r="D11" s="37">
        <f>IF( ISERROR(IND_textiel_gas_kWh/1000),0,IND_textiel_gas_kWh/1000)*0.902</f>
        <v>0</v>
      </c>
      <c r="E11" s="33">
        <f>C33*'E Balans VL '!I21/100/3.6*1000000</f>
        <v>6.3335169884671264E-2</v>
      </c>
      <c r="F11" s="33">
        <f>C33*'E Balans VL '!L21/100/3.6*1000000+C33*'E Balans VL '!N21/100/3.6*1000000</f>
        <v>11.768264105504663</v>
      </c>
      <c r="G11" s="34"/>
      <c r="H11" s="33"/>
      <c r="I11" s="33"/>
      <c r="J11" s="40">
        <f>C33*'E Balans VL '!D21/100/3.6*1000000+C33*'E Balans VL '!E21/100/3.6*1000000</f>
        <v>0</v>
      </c>
      <c r="K11" s="33"/>
      <c r="L11" s="33"/>
      <c r="M11" s="33"/>
      <c r="N11" s="33">
        <f>C33*'E Balans VL '!Y21/100/3.6*1000000</f>
        <v>1.485681911684096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56.420240939772796</v>
      </c>
      <c r="C13" s="33"/>
      <c r="D13" s="37">
        <f>IF( ISERROR(IND_papier_gas_kWh/1000),0,IND_papier_gas_kWh/1000)*0.902</f>
        <v>100.67023230311874</v>
      </c>
      <c r="E13" s="33">
        <f>C35*'E Balans VL '!I23/100/3.6*1000000</f>
        <v>0.59110480897918838</v>
      </c>
      <c r="F13" s="33">
        <f>C35*'E Balans VL '!L23/100/3.6*1000000+C35*'E Balans VL '!N23/100/3.6*1000000</f>
        <v>4.2100883791897346</v>
      </c>
      <c r="G13" s="34"/>
      <c r="H13" s="33"/>
      <c r="I13" s="33"/>
      <c r="J13" s="40">
        <f>C35*'E Balans VL '!D23/100/3.6*1000000+C35*'E Balans VL '!E23/100/3.6*1000000</f>
        <v>0</v>
      </c>
      <c r="K13" s="33"/>
      <c r="L13" s="33"/>
      <c r="M13" s="33"/>
      <c r="N13" s="33">
        <f>C35*'E Balans VL '!Y23/100/3.6*1000000</f>
        <v>120.59237604294515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16113.550465251399</v>
      </c>
      <c r="C15" s="33"/>
      <c r="D15" s="37">
        <f>IF( ISERROR(IND_rest_gas_kWh/1000),0,IND_rest_gas_kWh/1000)*0.902</f>
        <v>15058.164297324618</v>
      </c>
      <c r="E15" s="33">
        <f>C37*'E Balans VL '!I15/100/3.6*1000000</f>
        <v>898.94541361049255</v>
      </c>
      <c r="F15" s="33">
        <f>C37*'E Balans VL '!L15/100/3.6*1000000+C37*'E Balans VL '!N15/100/3.6*1000000</f>
        <v>3787.967368584259</v>
      </c>
      <c r="G15" s="34"/>
      <c r="H15" s="33"/>
      <c r="I15" s="33"/>
      <c r="J15" s="40">
        <f>C37*'E Balans VL '!D15/100/3.6*1000000+C37*'E Balans VL '!E15/100/3.6*1000000</f>
        <v>41.30004316285482</v>
      </c>
      <c r="K15" s="33"/>
      <c r="L15" s="33"/>
      <c r="M15" s="33"/>
      <c r="N15" s="33">
        <f>C37*'E Balans VL '!Y15/100/3.6*1000000</f>
        <v>3162.334668432894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18777.167132753308</v>
      </c>
      <c r="C18" s="21">
        <f>C5+C16</f>
        <v>0</v>
      </c>
      <c r="D18" s="21">
        <f>MAX((D5+D16),0)</f>
        <v>17144.713235922212</v>
      </c>
      <c r="E18" s="21">
        <f>MAX((E5+E16),0)</f>
        <v>1199.3020051480673</v>
      </c>
      <c r="F18" s="21">
        <f>MAX((F5+F16),0)</f>
        <v>4978.4922185031701</v>
      </c>
      <c r="G18" s="21"/>
      <c r="H18" s="21"/>
      <c r="I18" s="21"/>
      <c r="J18" s="21">
        <f>MAX((J5+J16),0)</f>
        <v>41.302257130037091</v>
      </c>
      <c r="K18" s="21"/>
      <c r="L18" s="21">
        <f>MAX((L5+L16),0)</f>
        <v>0</v>
      </c>
      <c r="M18" s="21"/>
      <c r="N18" s="21">
        <f>MAX((N5+N16),0)</f>
        <v>3669.6912446720276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0.18411260763699711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3457.1132048469276</v>
      </c>
      <c r="C22" s="23">
        <f ca="1">C18*C20</f>
        <v>0</v>
      </c>
      <c r="D22" s="23">
        <f>D18*D20</f>
        <v>3463.232073656287</v>
      </c>
      <c r="E22" s="23">
        <f>E18*E20</f>
        <v>272.24155516861128</v>
      </c>
      <c r="F22" s="23">
        <f>F18*F20</f>
        <v>1329.2574223403465</v>
      </c>
      <c r="G22" s="23"/>
      <c r="H22" s="23"/>
      <c r="I22" s="23"/>
      <c r="J22" s="23">
        <f>J18*J20</f>
        <v>14.620999024033129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1189.7665463019</v>
      </c>
      <c r="C30" s="39">
        <f>IF(ISERROR(B30*3.6/1000000/'E Balans VL '!Z18*100),0,B30*3.6/1000000/'E Balans VL '!Z18*100)</f>
        <v>0.11706999100564687</v>
      </c>
      <c r="D30" s="239" t="s">
        <v>692</v>
      </c>
    </row>
    <row r="31" spans="1:18">
      <c r="A31" s="6" t="s">
        <v>33</v>
      </c>
      <c r="B31" s="37">
        <f>IF( ISERROR(IND_ander_ele_kWh/1000),0,IND_ander_ele_kWh/1000)</f>
        <v>930.55123436602207</v>
      </c>
      <c r="C31" s="39">
        <f>IF(ISERROR(B31*3.6/1000000/'E Balans VL '!Z19*100),0,B31*3.6/1000000/'E Balans VL '!Z19*100)</f>
        <v>4.0524763963232679E-2</v>
      </c>
      <c r="D31" s="239" t="s">
        <v>692</v>
      </c>
    </row>
    <row r="32" spans="1:18">
      <c r="A32" s="173" t="s">
        <v>41</v>
      </c>
      <c r="B32" s="37">
        <f>IF( ISERROR(IND_voed_ele_kWh/1000),0,IND_voed_ele_kWh/1000)</f>
        <v>167.35981329029002</v>
      </c>
      <c r="C32" s="39">
        <f>IF(ISERROR(B32*3.6/1000000/'E Balans VL '!Z20*100),0,B32*3.6/1000000/'E Balans VL '!Z20*100)</f>
        <v>3.1754110980757554E-2</v>
      </c>
      <c r="D32" s="239" t="s">
        <v>692</v>
      </c>
    </row>
    <row r="33" spans="1:5">
      <c r="A33" s="173" t="s">
        <v>40</v>
      </c>
      <c r="B33" s="37">
        <f>IF( ISERROR(IND_textiel_ele_kWh/1000),0,IND_textiel_ele_kWh/1000)</f>
        <v>319.51883260392299</v>
      </c>
      <c r="C33" s="39">
        <f>IF(ISERROR(B33*3.6/1000000/'E Balans VL '!Z21*100),0,B33*3.6/1000000/'E Balans VL '!Z21*100)</f>
        <v>1.8242904980089864E-2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56.420240939772796</v>
      </c>
      <c r="C35" s="39">
        <f>IF(ISERROR(B35*3.6/1000000/'E Balans VL '!Z22*100),0,B35*3.6/1000000/'E Balans VL '!Z22*100)</f>
        <v>7.9332524305322817E-3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16113.550465251399</v>
      </c>
      <c r="C37" s="39">
        <f>IF(ISERROR(B37*3.6/1000000/'E Balans VL '!Z15*100),0,B37*3.6/1000000/'E Balans VL '!Z15*100)</f>
        <v>0.12417469785433051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2350.99288219346</v>
      </c>
      <c r="C5" s="17">
        <f>'Eigen informatie GS &amp; warmtenet'!B60</f>
        <v>0</v>
      </c>
      <c r="D5" s="30">
        <f>IF(ISERROR(SUM(LB_lb_gas_kWh,LB_rest_gas_kWh,onbekend_gas_kWh)/1000),0,SUM(LB_lb_gas_kWh,LB_rest_gas_kWh,onbekend_gas_kWh)/1000)*0.902</f>
        <v>1991.1409687271582</v>
      </c>
      <c r="E5" s="17">
        <f>B17*'E Balans VL '!I25/3.6*1000000/100</f>
        <v>29.6255390102658</v>
      </c>
      <c r="F5" s="17">
        <f>B17*('E Balans VL '!L25/3.6*1000000+'E Balans VL '!N25/3.6*1000000)/100</f>
        <v>8111.5144024761657</v>
      </c>
      <c r="G5" s="18"/>
      <c r="H5" s="17"/>
      <c r="I5" s="17"/>
      <c r="J5" s="17">
        <f>('E Balans VL '!D25+'E Balans VL '!E25)/3.6*1000000*landbouw!B17/100</f>
        <v>353.56260433802976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2350.99288219346</v>
      </c>
      <c r="C8" s="21">
        <f>C5+C6</f>
        <v>0</v>
      </c>
      <c r="D8" s="21">
        <f>MAX((D5+D6),0)</f>
        <v>1991.1409687271582</v>
      </c>
      <c r="E8" s="21">
        <f>MAX((E5+E6),0)</f>
        <v>29.6255390102658</v>
      </c>
      <c r="F8" s="21">
        <f>MAX((F5+F6),0)</f>
        <v>8111.5144024761657</v>
      </c>
      <c r="G8" s="21"/>
      <c r="H8" s="21"/>
      <c r="I8" s="21"/>
      <c r="J8" s="21">
        <f>MAX((J5+J6),0)</f>
        <v>353.56260433802976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0.18411260763699711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432.84743007665747</v>
      </c>
      <c r="C12" s="23">
        <f ca="1">C8*C10</f>
        <v>0</v>
      </c>
      <c r="D12" s="23">
        <f>D8*D10</f>
        <v>402.210475682886</v>
      </c>
      <c r="E12" s="23">
        <f>E8*E10</f>
        <v>6.7249973553303368</v>
      </c>
      <c r="F12" s="23">
        <f>F8*F10</f>
        <v>2165.7743454611364</v>
      </c>
      <c r="G12" s="23"/>
      <c r="H12" s="23"/>
      <c r="I12" s="23"/>
      <c r="J12" s="23">
        <f>J8*J10</f>
        <v>125.16116193566253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0.32788940807151346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306.08004620023678</v>
      </c>
      <c r="C26" s="249">
        <f>B26*'GWP N2O_CH4'!B5</f>
        <v>6427.6809702049723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218.24516931754704</v>
      </c>
      <c r="C27" s="249">
        <f>B27*'GWP N2O_CH4'!B5</f>
        <v>4583.1485556684875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4.6372642343682173</v>
      </c>
      <c r="C28" s="249">
        <f>B28*'GWP N2O_CH4'!B4</f>
        <v>1437.5519126541474</v>
      </c>
      <c r="D28" s="50"/>
    </row>
    <row r="29" spans="1:4">
      <c r="A29" s="41" t="s">
        <v>277</v>
      </c>
      <c r="B29" s="249">
        <f>B34*'ha_N2O bodem landbouw'!B4</f>
        <v>15.064302489710897</v>
      </c>
      <c r="C29" s="249">
        <f>B29*'GWP N2O_CH4'!B4</f>
        <v>4669.9337718103779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3.7614058049691011E-3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7.0140458074829163E-6</v>
      </c>
      <c r="C5" s="448" t="s">
        <v>211</v>
      </c>
      <c r="D5" s="433">
        <f>SUM(D6:D11)</f>
        <v>1.6033607647139234E-5</v>
      </c>
      <c r="E5" s="433">
        <f>SUM(E6:E11)</f>
        <v>4.6909015980802117E-4</v>
      </c>
      <c r="F5" s="446" t="s">
        <v>211</v>
      </c>
      <c r="G5" s="433">
        <f>SUM(G6:G11)</f>
        <v>0.10558466309568799</v>
      </c>
      <c r="H5" s="433">
        <f>SUM(H6:H11)</f>
        <v>2.3587612193411239E-2</v>
      </c>
      <c r="I5" s="448" t="s">
        <v>211</v>
      </c>
      <c r="J5" s="448" t="s">
        <v>211</v>
      </c>
      <c r="K5" s="448" t="s">
        <v>211</v>
      </c>
      <c r="L5" s="448" t="s">
        <v>211</v>
      </c>
      <c r="M5" s="433">
        <f>SUM(M6:M11)</f>
        <v>5.7728945924494061E-3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1.5022534966332394E-6</v>
      </c>
      <c r="C6" s="949"/>
      <c r="D6" s="949">
        <f>vkm_2011_GW_PW*SUMIFS(TableVerdeelsleutelVkm[CNG],TableVerdeelsleutelVkm[Voertuigtype],"Lichte voertuigen")*SUMIFS(TableECFTransport[EnergieConsumptieFactor (PJ per km)],TableECFTransport[Index],CONCATENATE($A6,"_CNG_CNG"))</f>
        <v>2.1274847628945925E-6</v>
      </c>
      <c r="E6" s="949">
        <f>vkm_2011_GW_PW*SUMIFS(TableVerdeelsleutelVkm[LPG],TableVerdeelsleutelVkm[Voertuigtype],"Lichte voertuigen")*SUMIFS(TableECFTransport[EnergieConsumptieFactor (PJ per km)],TableECFTransport[Index],CONCATENATE($A6,"_LPG_LPG"))</f>
        <v>6.6817292537776224E-5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1.2008897062764317E-2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3.2268998914176095E-3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6.7988878251668634E-4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5.448001631129489E-3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1.9410437833984373E-6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2.4584564659494871E-4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5.5117923108496771E-6</v>
      </c>
      <c r="C8" s="949"/>
      <c r="D8" s="436">
        <f>vkm_2011_NGW_PW*SUMIFS(TableVerdeelsleutelVkm[CNG],TableVerdeelsleutelVkm[Voertuigtype],"Lichte voertuigen")*SUMIFS(TableECFTransport[EnergieConsumptieFactor (PJ per km)],TableECFTransport[Index],CONCATENATE($A8,"_CNG_CNG"))</f>
        <v>1.390612288424464E-5</v>
      </c>
      <c r="E8" s="436">
        <f>vkm_2011_NGW_PW*SUMIFS(TableVerdeelsleutelVkm[LPG],TableVerdeelsleutelVkm[Voertuigtype],"Lichte voertuigen")*SUMIFS(TableECFTransport[EnergieConsumptieFactor (PJ per km)],TableECFTransport[Index],CONCATENATE($A8,"_LPG_LPG"))</f>
        <v>4.0227286727024495E-4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6.8189151840931453E-2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2.0352048960550113E-2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3.9474298710088862E-3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1.993861256086274E-2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6.7222976601187646E-6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8.9973029232888425E-4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1.9483460576341436</v>
      </c>
      <c r="C14" s="21"/>
      <c r="D14" s="21">
        <f t="shared" ref="D14:M14" si="0">((D5)*10^9/3600)+D12</f>
        <v>4.4537799019831201</v>
      </c>
      <c r="E14" s="21">
        <f t="shared" si="0"/>
        <v>130.30282216889478</v>
      </c>
      <c r="F14" s="21"/>
      <c r="G14" s="21">
        <f t="shared" si="0"/>
        <v>29329.073082135557</v>
      </c>
      <c r="H14" s="21">
        <f t="shared" si="0"/>
        <v>6552.114498169788</v>
      </c>
      <c r="I14" s="21"/>
      <c r="J14" s="21"/>
      <c r="K14" s="21"/>
      <c r="L14" s="21"/>
      <c r="M14" s="21">
        <f t="shared" si="0"/>
        <v>1603.5818312359461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0.18411260763699711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0.35871507325028523</v>
      </c>
      <c r="C18" s="23"/>
      <c r="D18" s="23">
        <f t="shared" ref="D18:M18" si="1">D14*D16</f>
        <v>0.89966354020059036</v>
      </c>
      <c r="E18" s="23">
        <f t="shared" si="1"/>
        <v>29.578740632339116</v>
      </c>
      <c r="F18" s="23"/>
      <c r="G18" s="23">
        <f t="shared" si="1"/>
        <v>7830.8625129301945</v>
      </c>
      <c r="H18" s="23">
        <f t="shared" si="1"/>
        <v>1631.4765100442771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4.3769216547668716E-3</v>
      </c>
      <c r="H50" s="323">
        <f t="shared" si="2"/>
        <v>0</v>
      </c>
      <c r="I50" s="323">
        <f t="shared" si="2"/>
        <v>0</v>
      </c>
      <c r="J50" s="323">
        <f t="shared" si="2"/>
        <v>0</v>
      </c>
      <c r="K50" s="323">
        <f t="shared" si="2"/>
        <v>0</v>
      </c>
      <c r="L50" s="323">
        <f t="shared" si="2"/>
        <v>0</v>
      </c>
      <c r="M50" s="323">
        <f t="shared" si="2"/>
        <v>1.9465241157184509E-4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4.3769216547668716E-3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1.9465241157184509E-4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1215.8115707685754</v>
      </c>
      <c r="H54" s="21">
        <f t="shared" si="3"/>
        <v>0</v>
      </c>
      <c r="I54" s="21">
        <f t="shared" si="3"/>
        <v>0</v>
      </c>
      <c r="J54" s="21">
        <f t="shared" si="3"/>
        <v>0</v>
      </c>
      <c r="K54" s="21">
        <f t="shared" si="3"/>
        <v>0</v>
      </c>
      <c r="L54" s="21">
        <f t="shared" si="3"/>
        <v>0</v>
      </c>
      <c r="M54" s="21">
        <f t="shared" si="3"/>
        <v>54.070114325512527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0.18411260763699711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324.62168939520967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3996.5848914286466</v>
      </c>
      <c r="C6" s="1142"/>
      <c r="D6" s="1145"/>
      <c r="E6" s="1145"/>
      <c r="F6" s="1148"/>
      <c r="G6" s="1151"/>
      <c r="H6" s="1139"/>
      <c r="I6" s="1145"/>
      <c r="J6" s="1145"/>
      <c r="K6" s="1145"/>
      <c r="L6" s="1175"/>
      <c r="M6" s="561"/>
      <c r="N6" s="1187"/>
      <c r="O6" s="1188"/>
      <c r="Q6" s="559"/>
      <c r="R6" s="1172"/>
      <c r="S6" s="1172"/>
    </row>
    <row r="7" spans="1:19" s="549" customFormat="1">
      <c r="A7" s="562" t="s">
        <v>252</v>
      </c>
      <c r="B7" s="563">
        <f>N57</f>
        <v>6687</v>
      </c>
      <c r="C7" s="564">
        <f>B100</f>
        <v>0</v>
      </c>
      <c r="D7" s="565"/>
      <c r="E7" s="565">
        <f>E100</f>
        <v>0</v>
      </c>
      <c r="F7" s="566"/>
      <c r="G7" s="567"/>
      <c r="H7" s="565">
        <f>I100</f>
        <v>0</v>
      </c>
      <c r="I7" s="565">
        <f>G100+F100</f>
        <v>0</v>
      </c>
      <c r="J7" s="565">
        <f>H100+D100+C100</f>
        <v>7867.0588235294117</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10683.584891428647</v>
      </c>
      <c r="C9" s="580">
        <f t="shared" ref="C9:L9" si="0">SUM(C7:C8)</f>
        <v>0</v>
      </c>
      <c r="D9" s="580">
        <f t="shared" si="0"/>
        <v>0</v>
      </c>
      <c r="E9" s="580">
        <f t="shared" si="0"/>
        <v>0</v>
      </c>
      <c r="F9" s="580">
        <f t="shared" si="0"/>
        <v>0</v>
      </c>
      <c r="G9" s="580">
        <f t="shared" si="0"/>
        <v>0</v>
      </c>
      <c r="H9" s="580">
        <f t="shared" si="0"/>
        <v>0</v>
      </c>
      <c r="I9" s="580">
        <f t="shared" si="0"/>
        <v>0</v>
      </c>
      <c r="J9" s="580">
        <f t="shared" si="0"/>
        <v>7867.0588235294117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9552.8571428571431</v>
      </c>
      <c r="C16" s="596">
        <f>B101</f>
        <v>0</v>
      </c>
      <c r="D16" s="597"/>
      <c r="E16" s="597">
        <f>E101</f>
        <v>0</v>
      </c>
      <c r="F16" s="598"/>
      <c r="G16" s="599"/>
      <c r="H16" s="596">
        <f>I101</f>
        <v>0</v>
      </c>
      <c r="I16" s="597">
        <f>G101+F101</f>
        <v>0</v>
      </c>
      <c r="J16" s="597">
        <f>H101+D101+C101</f>
        <v>11238.655462184875</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9552.8571428571431</v>
      </c>
      <c r="C19" s="579">
        <f>SUM(C16:C18)</f>
        <v>0</v>
      </c>
      <c r="D19" s="579">
        <f t="shared" ref="D19:M19" si="1">SUM(D16:D18)</f>
        <v>0</v>
      </c>
      <c r="E19" s="579">
        <f t="shared" si="1"/>
        <v>0</v>
      </c>
      <c r="F19" s="579">
        <f t="shared" si="1"/>
        <v>0</v>
      </c>
      <c r="G19" s="579">
        <f t="shared" si="1"/>
        <v>0</v>
      </c>
      <c r="H19" s="579">
        <f t="shared" si="1"/>
        <v>0</v>
      </c>
      <c r="I19" s="579">
        <f t="shared" si="1"/>
        <v>0</v>
      </c>
      <c r="J19" s="579">
        <f t="shared" si="1"/>
        <v>11238.655462184875</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36012</v>
      </c>
      <c r="C27" s="839">
        <v>8890</v>
      </c>
      <c r="D27" s="658" t="s">
        <v>840</v>
      </c>
      <c r="E27" s="657" t="s">
        <v>841</v>
      </c>
      <c r="F27" s="657" t="s">
        <v>842</v>
      </c>
      <c r="G27" s="657" t="s">
        <v>843</v>
      </c>
      <c r="H27" s="657" t="s">
        <v>844</v>
      </c>
      <c r="I27" s="657" t="s">
        <v>845</v>
      </c>
      <c r="J27" s="838">
        <v>40634</v>
      </c>
      <c r="K27" s="838">
        <v>40634</v>
      </c>
      <c r="L27" s="657" t="s">
        <v>846</v>
      </c>
      <c r="M27" s="657">
        <v>1486</v>
      </c>
      <c r="N27" s="657">
        <v>6687</v>
      </c>
      <c r="O27" s="657">
        <v>9552.8571428571431</v>
      </c>
      <c r="P27" s="657">
        <v>0</v>
      </c>
      <c r="Q27" s="657">
        <v>19105.714285714286</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1486</v>
      </c>
      <c r="N57" s="615">
        <f>SUM(N27:N56)</f>
        <v>6687</v>
      </c>
      <c r="O57" s="615">
        <f t="shared" ref="O57:W57" si="2">SUM(O27:O56)</f>
        <v>9552.8571428571431</v>
      </c>
      <c r="P57" s="615">
        <f t="shared" si="2"/>
        <v>0</v>
      </c>
      <c r="Q57" s="615">
        <f t="shared" si="2"/>
        <v>19105.714285714286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1486</v>
      </c>
      <c r="N59" s="615">
        <f ca="1">SUMIF($Z$27:AB56,"tertiair",N27:N56)</f>
        <v>6687</v>
      </c>
      <c r="O59" s="615">
        <f ca="1">SUMIF($Z$27:AC56,"tertiair",O27:O56)</f>
        <v>9552.8571428571431</v>
      </c>
      <c r="P59" s="615">
        <f ca="1">SUMIF($Z$27:AD56,"tertiair",P27:P56)</f>
        <v>0</v>
      </c>
      <c r="Q59" s="615">
        <f ca="1">SUMIF($Z$27:AE56,"tertiair",Q27:Q56)</f>
        <v>19105.714285714286</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7867.0588235294117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11238.655462184875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23894.119855669676</v>
      </c>
      <c r="D10" s="704">
        <f ca="1">tertiair!C16</f>
        <v>9552.8571428571431</v>
      </c>
      <c r="E10" s="704">
        <f ca="1">tertiair!D16</f>
        <v>16052.979594079334</v>
      </c>
      <c r="F10" s="704">
        <f>tertiair!E16</f>
        <v>235.4307204713852</v>
      </c>
      <c r="G10" s="704">
        <f ca="1">tertiair!F16</f>
        <v>3249.3008239781261</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38.133333333333333</v>
      </c>
      <c r="R10" s="707">
        <f ca="1">SUM(C10:Q10)</f>
        <v>53025.94813705566</v>
      </c>
      <c r="S10" s="67"/>
    </row>
    <row r="11" spans="1:19" s="459" customFormat="1">
      <c r="A11" s="858" t="s">
        <v>225</v>
      </c>
      <c r="B11" s="863"/>
      <c r="C11" s="704">
        <f>huishoudens!B8</f>
        <v>18983.339403470989</v>
      </c>
      <c r="D11" s="704">
        <f>huishoudens!C8</f>
        <v>0</v>
      </c>
      <c r="E11" s="704">
        <f>huishoudens!D8</f>
        <v>44814.382959161965</v>
      </c>
      <c r="F11" s="704">
        <f>huishoudens!E8</f>
        <v>5958.6900676288951</v>
      </c>
      <c r="G11" s="704">
        <f>huishoudens!F8</f>
        <v>12984.812526834432</v>
      </c>
      <c r="H11" s="704">
        <f>huishoudens!G8</f>
        <v>0</v>
      </c>
      <c r="I11" s="704">
        <f>huishoudens!H8</f>
        <v>0</v>
      </c>
      <c r="J11" s="704">
        <f>huishoudens!I8</f>
        <v>0</v>
      </c>
      <c r="K11" s="704">
        <f>huishoudens!J8</f>
        <v>2135.8614138218354</v>
      </c>
      <c r="L11" s="704">
        <f>huishoudens!K8</f>
        <v>0</v>
      </c>
      <c r="M11" s="704">
        <f>huishoudens!L8</f>
        <v>0</v>
      </c>
      <c r="N11" s="704">
        <f>huishoudens!M8</f>
        <v>0</v>
      </c>
      <c r="O11" s="704">
        <f>huishoudens!N8</f>
        <v>19018.079284288429</v>
      </c>
      <c r="P11" s="704">
        <f>huishoudens!O8</f>
        <v>189.16333333333336</v>
      </c>
      <c r="Q11" s="705">
        <f>huishoudens!P8</f>
        <v>57.2</v>
      </c>
      <c r="R11" s="707">
        <f>SUM(C11:Q11)</f>
        <v>104141.52898853987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18777.167132753308</v>
      </c>
      <c r="D13" s="704">
        <f>industrie!C18</f>
        <v>0</v>
      </c>
      <c r="E13" s="704">
        <f>industrie!D18</f>
        <v>17144.713235922212</v>
      </c>
      <c r="F13" s="704">
        <f>industrie!E18</f>
        <v>1199.3020051480673</v>
      </c>
      <c r="G13" s="704">
        <f>industrie!F18</f>
        <v>4978.4922185031701</v>
      </c>
      <c r="H13" s="704">
        <f>industrie!G18</f>
        <v>0</v>
      </c>
      <c r="I13" s="704">
        <f>industrie!H18</f>
        <v>0</v>
      </c>
      <c r="J13" s="704">
        <f>industrie!I18</f>
        <v>0</v>
      </c>
      <c r="K13" s="704">
        <f>industrie!J18</f>
        <v>41.302257130037091</v>
      </c>
      <c r="L13" s="704">
        <f>industrie!K18</f>
        <v>0</v>
      </c>
      <c r="M13" s="704">
        <f>industrie!L18</f>
        <v>0</v>
      </c>
      <c r="N13" s="704">
        <f>industrie!M18</f>
        <v>0</v>
      </c>
      <c r="O13" s="704">
        <f>industrie!N18</f>
        <v>3669.6912446720276</v>
      </c>
      <c r="P13" s="704">
        <f>industrie!O18</f>
        <v>0</v>
      </c>
      <c r="Q13" s="705">
        <f>industrie!P18</f>
        <v>0</v>
      </c>
      <c r="R13" s="707">
        <f>SUM(C13:Q13)</f>
        <v>45810.668094128829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61654.62639189398</v>
      </c>
      <c r="D15" s="709">
        <f t="shared" ref="D15:Q15" ca="1" si="0">SUM(D9:D14)</f>
        <v>9552.8571428571431</v>
      </c>
      <c r="E15" s="709">
        <f t="shared" ca="1" si="0"/>
        <v>78012.075789163515</v>
      </c>
      <c r="F15" s="709">
        <f t="shared" si="0"/>
        <v>7393.4227932483473</v>
      </c>
      <c r="G15" s="709">
        <f t="shared" ca="1" si="0"/>
        <v>21212.605569315729</v>
      </c>
      <c r="H15" s="709">
        <f t="shared" si="0"/>
        <v>0</v>
      </c>
      <c r="I15" s="709">
        <f t="shared" si="0"/>
        <v>0</v>
      </c>
      <c r="J15" s="709">
        <f t="shared" si="0"/>
        <v>0</v>
      </c>
      <c r="K15" s="709">
        <f t="shared" si="0"/>
        <v>2177.1636709518725</v>
      </c>
      <c r="L15" s="709">
        <f t="shared" si="0"/>
        <v>0</v>
      </c>
      <c r="M15" s="709">
        <f t="shared" ca="1" si="0"/>
        <v>0</v>
      </c>
      <c r="N15" s="709">
        <f t="shared" si="0"/>
        <v>0</v>
      </c>
      <c r="O15" s="709">
        <f t="shared" ca="1" si="0"/>
        <v>22687.770528960456</v>
      </c>
      <c r="P15" s="709">
        <f t="shared" si="0"/>
        <v>192.29000000000002</v>
      </c>
      <c r="Q15" s="710">
        <f t="shared" si="0"/>
        <v>95.333333333333343</v>
      </c>
      <c r="R15" s="711">
        <f ca="1">SUM(R9:R14)</f>
        <v>202978.14521972436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1215.8115707685754</v>
      </c>
      <c r="I18" s="704">
        <f>transport!H54</f>
        <v>0</v>
      </c>
      <c r="J18" s="704">
        <f>transport!I54</f>
        <v>0</v>
      </c>
      <c r="K18" s="704">
        <f>transport!J54</f>
        <v>0</v>
      </c>
      <c r="L18" s="704">
        <f>transport!K54</f>
        <v>0</v>
      </c>
      <c r="M18" s="704">
        <f>transport!L54</f>
        <v>0</v>
      </c>
      <c r="N18" s="704">
        <f>transport!M54</f>
        <v>54.070114325512527</v>
      </c>
      <c r="O18" s="704">
        <f>transport!N54</f>
        <v>0</v>
      </c>
      <c r="P18" s="704">
        <f>transport!O54</f>
        <v>0</v>
      </c>
      <c r="Q18" s="705">
        <f>transport!P54</f>
        <v>0</v>
      </c>
      <c r="R18" s="707">
        <f>SUM(C18:Q18)</f>
        <v>1269.881685094088</v>
      </c>
      <c r="S18" s="67"/>
    </row>
    <row r="19" spans="1:19" s="459" customFormat="1" ht="15" thickBot="1">
      <c r="A19" s="858" t="s">
        <v>307</v>
      </c>
      <c r="B19" s="863"/>
      <c r="C19" s="713">
        <f>transport!B14</f>
        <v>1.9483460576341436</v>
      </c>
      <c r="D19" s="713">
        <f>transport!C14</f>
        <v>0</v>
      </c>
      <c r="E19" s="713">
        <f>transport!D14</f>
        <v>4.4537799019831201</v>
      </c>
      <c r="F19" s="713">
        <f>transport!E14</f>
        <v>130.30282216889478</v>
      </c>
      <c r="G19" s="713">
        <f>transport!F14</f>
        <v>0</v>
      </c>
      <c r="H19" s="713">
        <f>transport!G14</f>
        <v>29329.073082135557</v>
      </c>
      <c r="I19" s="713">
        <f>transport!H14</f>
        <v>6552.114498169788</v>
      </c>
      <c r="J19" s="713">
        <f>transport!I14</f>
        <v>0</v>
      </c>
      <c r="K19" s="713">
        <f>transport!J14</f>
        <v>0</v>
      </c>
      <c r="L19" s="713">
        <f>transport!K14</f>
        <v>0</v>
      </c>
      <c r="M19" s="713">
        <f>transport!L14</f>
        <v>0</v>
      </c>
      <c r="N19" s="713">
        <f>transport!M14</f>
        <v>1603.5818312359461</v>
      </c>
      <c r="O19" s="713">
        <f>transport!N14</f>
        <v>0</v>
      </c>
      <c r="P19" s="713">
        <f>transport!O14</f>
        <v>0</v>
      </c>
      <c r="Q19" s="714">
        <f>transport!P14</f>
        <v>0</v>
      </c>
      <c r="R19" s="715">
        <f>SUM(C19:Q19)</f>
        <v>37621.474359669803</v>
      </c>
      <c r="S19" s="67"/>
    </row>
    <row r="20" spans="1:19" s="459" customFormat="1" ht="15.75" thickBot="1">
      <c r="A20" s="716" t="s">
        <v>230</v>
      </c>
      <c r="B20" s="866"/>
      <c r="C20" s="861">
        <f>SUM(C17:C19)</f>
        <v>1.9483460576341436</v>
      </c>
      <c r="D20" s="717">
        <f t="shared" ref="D20:R20" si="1">SUM(D17:D19)</f>
        <v>0</v>
      </c>
      <c r="E20" s="717">
        <f t="shared" si="1"/>
        <v>4.4537799019831201</v>
      </c>
      <c r="F20" s="717">
        <f t="shared" si="1"/>
        <v>130.30282216889478</v>
      </c>
      <c r="G20" s="717">
        <f t="shared" si="1"/>
        <v>0</v>
      </c>
      <c r="H20" s="717">
        <f t="shared" si="1"/>
        <v>30544.884652904133</v>
      </c>
      <c r="I20" s="717">
        <f t="shared" si="1"/>
        <v>6552.114498169788</v>
      </c>
      <c r="J20" s="717">
        <f t="shared" si="1"/>
        <v>0</v>
      </c>
      <c r="K20" s="717">
        <f t="shared" si="1"/>
        <v>0</v>
      </c>
      <c r="L20" s="717">
        <f t="shared" si="1"/>
        <v>0</v>
      </c>
      <c r="M20" s="717">
        <f t="shared" si="1"/>
        <v>0</v>
      </c>
      <c r="N20" s="717">
        <f t="shared" si="1"/>
        <v>1657.6519455614587</v>
      </c>
      <c r="O20" s="717">
        <f t="shared" si="1"/>
        <v>0</v>
      </c>
      <c r="P20" s="717">
        <f t="shared" si="1"/>
        <v>0</v>
      </c>
      <c r="Q20" s="718">
        <f t="shared" si="1"/>
        <v>0</v>
      </c>
      <c r="R20" s="719">
        <f t="shared" si="1"/>
        <v>38891.356044763888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2350.99288219346</v>
      </c>
      <c r="D22" s="713">
        <f>+landbouw!C8</f>
        <v>0</v>
      </c>
      <c r="E22" s="713">
        <f>+landbouw!D8</f>
        <v>1991.1409687271582</v>
      </c>
      <c r="F22" s="713">
        <f>+landbouw!E8</f>
        <v>29.6255390102658</v>
      </c>
      <c r="G22" s="713">
        <f>+landbouw!F8</f>
        <v>8111.5144024761657</v>
      </c>
      <c r="H22" s="713">
        <f>+landbouw!G8</f>
        <v>0</v>
      </c>
      <c r="I22" s="713">
        <f>+landbouw!H8</f>
        <v>0</v>
      </c>
      <c r="J22" s="713">
        <f>+landbouw!I8</f>
        <v>0</v>
      </c>
      <c r="K22" s="713">
        <f>+landbouw!J8</f>
        <v>353.56260433802976</v>
      </c>
      <c r="L22" s="713">
        <f>+landbouw!K8</f>
        <v>0</v>
      </c>
      <c r="M22" s="713">
        <f>+landbouw!L8</f>
        <v>0</v>
      </c>
      <c r="N22" s="713">
        <f>+landbouw!M8</f>
        <v>0</v>
      </c>
      <c r="O22" s="713">
        <f>+landbouw!N8</f>
        <v>0</v>
      </c>
      <c r="P22" s="713">
        <f>+landbouw!O8</f>
        <v>0</v>
      </c>
      <c r="Q22" s="714">
        <f>+landbouw!P8</f>
        <v>0</v>
      </c>
      <c r="R22" s="715">
        <f>SUM(C22:Q22)</f>
        <v>12836.836396745079</v>
      </c>
      <c r="S22" s="67"/>
    </row>
    <row r="23" spans="1:19" s="459" customFormat="1" ht="17.25" thickTop="1" thickBot="1">
      <c r="A23" s="720" t="s">
        <v>116</v>
      </c>
      <c r="B23" s="852"/>
      <c r="C23" s="721">
        <f ca="1">C20+C15+C22</f>
        <v>64007.567620145077</v>
      </c>
      <c r="D23" s="721">
        <f t="shared" ref="D23:Q23" ca="1" si="2">D20+D15+D22</f>
        <v>9552.8571428571431</v>
      </c>
      <c r="E23" s="721">
        <f t="shared" ca="1" si="2"/>
        <v>80007.670537792656</v>
      </c>
      <c r="F23" s="721">
        <f t="shared" si="2"/>
        <v>7553.3511544275079</v>
      </c>
      <c r="G23" s="721">
        <f t="shared" ca="1" si="2"/>
        <v>29324.119971791893</v>
      </c>
      <c r="H23" s="721">
        <f t="shared" si="2"/>
        <v>30544.884652904133</v>
      </c>
      <c r="I23" s="721">
        <f t="shared" si="2"/>
        <v>6552.114498169788</v>
      </c>
      <c r="J23" s="721">
        <f t="shared" si="2"/>
        <v>0</v>
      </c>
      <c r="K23" s="721">
        <f t="shared" si="2"/>
        <v>2530.7262752899023</v>
      </c>
      <c r="L23" s="721">
        <f t="shared" si="2"/>
        <v>0</v>
      </c>
      <c r="M23" s="721">
        <f t="shared" ca="1" si="2"/>
        <v>0</v>
      </c>
      <c r="N23" s="721">
        <f t="shared" si="2"/>
        <v>1657.6519455614587</v>
      </c>
      <c r="O23" s="721">
        <f t="shared" ca="1" si="2"/>
        <v>22687.770528960456</v>
      </c>
      <c r="P23" s="721">
        <f t="shared" si="2"/>
        <v>192.29000000000002</v>
      </c>
      <c r="Q23" s="722">
        <f t="shared" si="2"/>
        <v>95.333333333333343</v>
      </c>
      <c r="R23" s="723">
        <f ca="1">R20+R15+R22</f>
        <v>254706.33766123335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4399.2087138182933</v>
      </c>
      <c r="D36" s="704">
        <f ca="1">tertiair!C20</f>
        <v>0</v>
      </c>
      <c r="E36" s="704">
        <f ca="1">tertiair!D20</f>
        <v>3242.7018780040257</v>
      </c>
      <c r="F36" s="704">
        <f>tertiair!E20</f>
        <v>53.442773547004442</v>
      </c>
      <c r="G36" s="704">
        <f ca="1">tertiair!F20</f>
        <v>867.56332000215968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8562.9166853714833</v>
      </c>
    </row>
    <row r="37" spans="1:18">
      <c r="A37" s="873" t="s">
        <v>225</v>
      </c>
      <c r="B37" s="880"/>
      <c r="C37" s="704">
        <f ca="1">huishoudens!B12</f>
        <v>3495.0721192312008</v>
      </c>
      <c r="D37" s="704">
        <f ca="1">huishoudens!C12</f>
        <v>0</v>
      </c>
      <c r="E37" s="704">
        <f>huishoudens!D12</f>
        <v>9052.5053577507169</v>
      </c>
      <c r="F37" s="704">
        <f>huishoudens!E12</f>
        <v>1352.6226453517593</v>
      </c>
      <c r="G37" s="704">
        <f>huishoudens!F12</f>
        <v>3466.9449446647936</v>
      </c>
      <c r="H37" s="704">
        <f>huishoudens!G12</f>
        <v>0</v>
      </c>
      <c r="I37" s="704">
        <f>huishoudens!H12</f>
        <v>0</v>
      </c>
      <c r="J37" s="704">
        <f>huishoudens!I12</f>
        <v>0</v>
      </c>
      <c r="K37" s="704">
        <f>huishoudens!J12</f>
        <v>756.09494049292971</v>
      </c>
      <c r="L37" s="704">
        <f>huishoudens!K12</f>
        <v>0</v>
      </c>
      <c r="M37" s="704">
        <f>huishoudens!L12</f>
        <v>0</v>
      </c>
      <c r="N37" s="704">
        <f>huishoudens!M12</f>
        <v>0</v>
      </c>
      <c r="O37" s="704">
        <f>huishoudens!N12</f>
        <v>0</v>
      </c>
      <c r="P37" s="704">
        <f>huishoudens!O12</f>
        <v>0</v>
      </c>
      <c r="Q37" s="814">
        <f>huishoudens!P12</f>
        <v>0</v>
      </c>
      <c r="R37" s="905">
        <f ca="1">SUM(C37:Q37)</f>
        <v>18123.2400074914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3457.1132048469276</v>
      </c>
      <c r="D39" s="704">
        <f ca="1">industrie!C22</f>
        <v>0</v>
      </c>
      <c r="E39" s="704">
        <f>industrie!D22</f>
        <v>3463.232073656287</v>
      </c>
      <c r="F39" s="704">
        <f>industrie!E22</f>
        <v>272.24155516861128</v>
      </c>
      <c r="G39" s="704">
        <f>industrie!F22</f>
        <v>1329.2574223403465</v>
      </c>
      <c r="H39" s="704">
        <f>industrie!G22</f>
        <v>0</v>
      </c>
      <c r="I39" s="704">
        <f>industrie!H22</f>
        <v>0</v>
      </c>
      <c r="J39" s="704">
        <f>industrie!I22</f>
        <v>0</v>
      </c>
      <c r="K39" s="704">
        <f>industrie!J22</f>
        <v>14.620999024033129</v>
      </c>
      <c r="L39" s="704">
        <f>industrie!K22</f>
        <v>0</v>
      </c>
      <c r="M39" s="704">
        <f>industrie!L22</f>
        <v>0</v>
      </c>
      <c r="N39" s="704">
        <f>industrie!M22</f>
        <v>0</v>
      </c>
      <c r="O39" s="704">
        <f>industrie!N22</f>
        <v>0</v>
      </c>
      <c r="P39" s="704">
        <f>industrie!O22</f>
        <v>0</v>
      </c>
      <c r="Q39" s="814">
        <f>industrie!P22</f>
        <v>0</v>
      </c>
      <c r="R39" s="906">
        <f ca="1">SUM(C39:Q39)</f>
        <v>8536.4652550362061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11351.394037896422</v>
      </c>
      <c r="D41" s="749">
        <f t="shared" ref="D41:R41" ca="1" si="4">SUM(D35:D40)</f>
        <v>0</v>
      </c>
      <c r="E41" s="749">
        <f t="shared" ca="1" si="4"/>
        <v>15758.439309411029</v>
      </c>
      <c r="F41" s="749">
        <f t="shared" si="4"/>
        <v>1678.306974067375</v>
      </c>
      <c r="G41" s="749">
        <f t="shared" ca="1" si="4"/>
        <v>5663.7656870072997</v>
      </c>
      <c r="H41" s="749">
        <f t="shared" si="4"/>
        <v>0</v>
      </c>
      <c r="I41" s="749">
        <f t="shared" si="4"/>
        <v>0</v>
      </c>
      <c r="J41" s="749">
        <f t="shared" si="4"/>
        <v>0</v>
      </c>
      <c r="K41" s="749">
        <f t="shared" si="4"/>
        <v>770.71593951696286</v>
      </c>
      <c r="L41" s="749">
        <f t="shared" si="4"/>
        <v>0</v>
      </c>
      <c r="M41" s="749">
        <f t="shared" ca="1" si="4"/>
        <v>0</v>
      </c>
      <c r="N41" s="749">
        <f t="shared" si="4"/>
        <v>0</v>
      </c>
      <c r="O41" s="749">
        <f t="shared" ca="1" si="4"/>
        <v>0</v>
      </c>
      <c r="P41" s="749">
        <f t="shared" si="4"/>
        <v>0</v>
      </c>
      <c r="Q41" s="750">
        <f t="shared" si="4"/>
        <v>0</v>
      </c>
      <c r="R41" s="751">
        <f t="shared" ca="1" si="4"/>
        <v>35222.62194789909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324.62168939520967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324.62168939520967</v>
      </c>
    </row>
    <row r="45" spans="1:18" ht="15" thickBot="1">
      <c r="A45" s="876" t="s">
        <v>307</v>
      </c>
      <c r="B45" s="886"/>
      <c r="C45" s="713">
        <f ca="1">transport!B18</f>
        <v>0.35871507325028523</v>
      </c>
      <c r="D45" s="713">
        <f>transport!C18</f>
        <v>0</v>
      </c>
      <c r="E45" s="713">
        <f>transport!D18</f>
        <v>0.89966354020059036</v>
      </c>
      <c r="F45" s="713">
        <f>transport!E18</f>
        <v>29.578740632339116</v>
      </c>
      <c r="G45" s="713">
        <f>transport!F18</f>
        <v>0</v>
      </c>
      <c r="H45" s="713">
        <f>transport!G18</f>
        <v>7830.8625129301945</v>
      </c>
      <c r="I45" s="713">
        <f>transport!H18</f>
        <v>1631.4765100442771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9493.1761422202617</v>
      </c>
    </row>
    <row r="46" spans="1:18" ht="15.75" thickBot="1">
      <c r="A46" s="874" t="s">
        <v>230</v>
      </c>
      <c r="B46" s="887"/>
      <c r="C46" s="749">
        <f t="shared" ref="C46:R46" ca="1" si="5">SUM(C43:C45)</f>
        <v>0.35871507325028523</v>
      </c>
      <c r="D46" s="749">
        <f t="shared" ca="1" si="5"/>
        <v>0</v>
      </c>
      <c r="E46" s="749">
        <f t="shared" si="5"/>
        <v>0.89966354020059036</v>
      </c>
      <c r="F46" s="749">
        <f t="shared" si="5"/>
        <v>29.578740632339116</v>
      </c>
      <c r="G46" s="749">
        <f t="shared" si="5"/>
        <v>0</v>
      </c>
      <c r="H46" s="749">
        <f t="shared" si="5"/>
        <v>8155.4842023254041</v>
      </c>
      <c r="I46" s="749">
        <f t="shared" si="5"/>
        <v>1631.4765100442771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9817.7978316154713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432.84743007665747</v>
      </c>
      <c r="D48" s="704">
        <f ca="1">+landbouw!C12</f>
        <v>0</v>
      </c>
      <c r="E48" s="704">
        <f>+landbouw!D12</f>
        <v>402.210475682886</v>
      </c>
      <c r="F48" s="704">
        <f>+landbouw!E12</f>
        <v>6.7249973553303368</v>
      </c>
      <c r="G48" s="704">
        <f>+landbouw!F12</f>
        <v>2165.7743454611364</v>
      </c>
      <c r="H48" s="704">
        <f>+landbouw!G12</f>
        <v>0</v>
      </c>
      <c r="I48" s="704">
        <f>+landbouw!H12</f>
        <v>0</v>
      </c>
      <c r="J48" s="704">
        <f>+landbouw!I12</f>
        <v>0</v>
      </c>
      <c r="K48" s="704">
        <f>+landbouw!J12</f>
        <v>125.16116193566253</v>
      </c>
      <c r="L48" s="704">
        <f>+landbouw!K12</f>
        <v>0</v>
      </c>
      <c r="M48" s="704">
        <f>+landbouw!L12</f>
        <v>0</v>
      </c>
      <c r="N48" s="704">
        <f>+landbouw!M12</f>
        <v>0</v>
      </c>
      <c r="O48" s="704">
        <f>+landbouw!N12</f>
        <v>0</v>
      </c>
      <c r="P48" s="704">
        <f>+landbouw!O12</f>
        <v>0</v>
      </c>
      <c r="Q48" s="705">
        <f>+landbouw!P12</f>
        <v>0</v>
      </c>
      <c r="R48" s="747">
        <f ca="1">SUM(C48:Q48)</f>
        <v>3132.718410511673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11784.60018304633</v>
      </c>
      <c r="D53" s="759">
        <f t="shared" ref="D53:Q53" ca="1" si="6">D41+D46+D48</f>
        <v>0</v>
      </c>
      <c r="E53" s="759">
        <f t="shared" ca="1" si="6"/>
        <v>16161.549448634116</v>
      </c>
      <c r="F53" s="759">
        <f t="shared" si="6"/>
        <v>1714.6107120550444</v>
      </c>
      <c r="G53" s="759">
        <f t="shared" ca="1" si="6"/>
        <v>7829.540032468436</v>
      </c>
      <c r="H53" s="759">
        <f t="shared" si="6"/>
        <v>8155.4842023254041</v>
      </c>
      <c r="I53" s="759">
        <f t="shared" si="6"/>
        <v>1631.4765100442771</v>
      </c>
      <c r="J53" s="759">
        <f t="shared" si="6"/>
        <v>0</v>
      </c>
      <c r="K53" s="759">
        <f t="shared" si="6"/>
        <v>895.87710145262542</v>
      </c>
      <c r="L53" s="759">
        <f t="shared" si="6"/>
        <v>0</v>
      </c>
      <c r="M53" s="759">
        <f t="shared" ca="1" si="6"/>
        <v>0</v>
      </c>
      <c r="N53" s="759">
        <f t="shared" si="6"/>
        <v>0</v>
      </c>
      <c r="O53" s="759">
        <f t="shared" ca="1" si="6"/>
        <v>0</v>
      </c>
      <c r="P53" s="759">
        <f>P41+P46+P48</f>
        <v>0</v>
      </c>
      <c r="Q53" s="760">
        <f t="shared" si="6"/>
        <v>0</v>
      </c>
      <c r="R53" s="761">
        <f ca="1">R41+R46+R48</f>
        <v>48173.138190026235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0.18411260763699708</v>
      </c>
      <c r="D55" s="824">
        <f t="shared" ca="1" si="7"/>
        <v>0</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3996.5848914286466</v>
      </c>
      <c r="C66" s="781">
        <f>'lokale energieproductie'!B6</f>
        <v>3996.5848914286466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6687</v>
      </c>
      <c r="C67" s="780">
        <f>B67*IFERROR(SUM(J67:L67)/SUM(D67:M67),0)</f>
        <v>6687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7867.0588235294117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10683.584891428647</v>
      </c>
      <c r="C69" s="789">
        <f>SUM(C64:C68)</f>
        <v>10683.584891428647</v>
      </c>
      <c r="D69" s="790">
        <f t="shared" ref="D69:M69" si="8">SUM(D67:D68)</f>
        <v>0</v>
      </c>
      <c r="E69" s="790">
        <f t="shared" si="8"/>
        <v>0</v>
      </c>
      <c r="F69" s="790">
        <f t="shared" si="8"/>
        <v>0</v>
      </c>
      <c r="G69" s="790">
        <f t="shared" si="8"/>
        <v>0</v>
      </c>
      <c r="H69" s="790">
        <f t="shared" si="8"/>
        <v>0</v>
      </c>
      <c r="I69" s="790">
        <f t="shared" si="8"/>
        <v>0</v>
      </c>
      <c r="J69" s="790">
        <f t="shared" si="8"/>
        <v>0</v>
      </c>
      <c r="K69" s="790">
        <f t="shared" si="8"/>
        <v>7867.0588235294117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9552.8571428571431</v>
      </c>
      <c r="C78" s="803">
        <f>B78*IFERROR(SUM(I78:L78)/SUM(D78:M78),0)</f>
        <v>9552.8571428571431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11238.655462184875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9552.8571428571431</v>
      </c>
      <c r="C81" s="789">
        <f>SUM(C78:C80)</f>
        <v>9552.8571428571431</v>
      </c>
      <c r="D81" s="789">
        <f t="shared" ref="D81:P81" si="9">SUM(D78:D80)</f>
        <v>0</v>
      </c>
      <c r="E81" s="789">
        <f t="shared" si="9"/>
        <v>0</v>
      </c>
      <c r="F81" s="789">
        <f t="shared" si="9"/>
        <v>0</v>
      </c>
      <c r="G81" s="789">
        <f t="shared" si="9"/>
        <v>0</v>
      </c>
      <c r="H81" s="789">
        <f t="shared" si="9"/>
        <v>0</v>
      </c>
      <c r="I81" s="789">
        <f t="shared" si="9"/>
        <v>0</v>
      </c>
      <c r="J81" s="789">
        <f t="shared" si="9"/>
        <v>0</v>
      </c>
      <c r="K81" s="789">
        <f t="shared" si="9"/>
        <v>11238.655462184875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18983.339403470989</v>
      </c>
      <c r="C4" s="463">
        <f>huishoudens!C8</f>
        <v>0</v>
      </c>
      <c r="D4" s="463">
        <f>huishoudens!D8</f>
        <v>44814.382959161965</v>
      </c>
      <c r="E4" s="463">
        <f>huishoudens!E8</f>
        <v>5958.6900676288951</v>
      </c>
      <c r="F4" s="463">
        <f>huishoudens!F8</f>
        <v>12984.812526834432</v>
      </c>
      <c r="G4" s="463">
        <f>huishoudens!G8</f>
        <v>0</v>
      </c>
      <c r="H4" s="463">
        <f>huishoudens!H8</f>
        <v>0</v>
      </c>
      <c r="I4" s="463">
        <f>huishoudens!I8</f>
        <v>0</v>
      </c>
      <c r="J4" s="463">
        <f>huishoudens!J8</f>
        <v>2135.8614138218354</v>
      </c>
      <c r="K4" s="463">
        <f>huishoudens!K8</f>
        <v>0</v>
      </c>
      <c r="L4" s="463">
        <f>huishoudens!L8</f>
        <v>0</v>
      </c>
      <c r="M4" s="463">
        <f>huishoudens!M8</f>
        <v>0</v>
      </c>
      <c r="N4" s="463">
        <f>huishoudens!N8</f>
        <v>19018.079284288429</v>
      </c>
      <c r="O4" s="463">
        <f>huishoudens!O8</f>
        <v>189.16333333333336</v>
      </c>
      <c r="P4" s="464">
        <f>huishoudens!P8</f>
        <v>57.2</v>
      </c>
      <c r="Q4" s="465">
        <f>SUM(B4:P4)</f>
        <v>104141.52898853987</v>
      </c>
    </row>
    <row r="5" spans="1:17">
      <c r="A5" s="462" t="s">
        <v>156</v>
      </c>
      <c r="B5" s="463">
        <f ca="1">tertiair!B16</f>
        <v>22837.249855669677</v>
      </c>
      <c r="C5" s="463">
        <f ca="1">tertiair!C16</f>
        <v>9552.8571428571431</v>
      </c>
      <c r="D5" s="463">
        <f ca="1">tertiair!D16</f>
        <v>16052.979594079334</v>
      </c>
      <c r="E5" s="463">
        <f>tertiair!E16</f>
        <v>235.4307204713852</v>
      </c>
      <c r="F5" s="463">
        <f ca="1">tertiair!F16</f>
        <v>3249.3008239781261</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38.133333333333333</v>
      </c>
      <c r="Q5" s="462">
        <f t="shared" ref="Q5:Q13" ca="1" si="0">SUM(B5:P5)</f>
        <v>51969.078137055658</v>
      </c>
    </row>
    <row r="6" spans="1:17">
      <c r="A6" s="462" t="s">
        <v>194</v>
      </c>
      <c r="B6" s="463">
        <f>'openbare verlichting'!B8</f>
        <v>1056.8699999999999</v>
      </c>
      <c r="C6" s="463"/>
      <c r="D6" s="463"/>
      <c r="E6" s="463"/>
      <c r="F6" s="463"/>
      <c r="G6" s="463"/>
      <c r="H6" s="463"/>
      <c r="I6" s="463"/>
      <c r="J6" s="463"/>
      <c r="K6" s="463"/>
      <c r="L6" s="463"/>
      <c r="M6" s="463"/>
      <c r="N6" s="463"/>
      <c r="O6" s="463"/>
      <c r="P6" s="464"/>
      <c r="Q6" s="462">
        <f t="shared" si="0"/>
        <v>1056.8699999999999</v>
      </c>
    </row>
    <row r="7" spans="1:17">
      <c r="A7" s="462" t="s">
        <v>112</v>
      </c>
      <c r="B7" s="463">
        <f>landbouw!B8</f>
        <v>2350.99288219346</v>
      </c>
      <c r="C7" s="463">
        <f>landbouw!C8</f>
        <v>0</v>
      </c>
      <c r="D7" s="463">
        <f>landbouw!D8</f>
        <v>1991.1409687271582</v>
      </c>
      <c r="E7" s="463">
        <f>landbouw!E8</f>
        <v>29.6255390102658</v>
      </c>
      <c r="F7" s="463">
        <f>landbouw!F8</f>
        <v>8111.5144024761657</v>
      </c>
      <c r="G7" s="463">
        <f>landbouw!G8</f>
        <v>0</v>
      </c>
      <c r="H7" s="463">
        <f>landbouw!H8</f>
        <v>0</v>
      </c>
      <c r="I7" s="463">
        <f>landbouw!I8</f>
        <v>0</v>
      </c>
      <c r="J7" s="463">
        <f>landbouw!J8</f>
        <v>353.56260433802976</v>
      </c>
      <c r="K7" s="463">
        <f>landbouw!K8</f>
        <v>0</v>
      </c>
      <c r="L7" s="463">
        <f>landbouw!L8</f>
        <v>0</v>
      </c>
      <c r="M7" s="463">
        <f>landbouw!M8</f>
        <v>0</v>
      </c>
      <c r="N7" s="463">
        <f>landbouw!N8</f>
        <v>0</v>
      </c>
      <c r="O7" s="463">
        <f>landbouw!O8</f>
        <v>0</v>
      </c>
      <c r="P7" s="464">
        <f>landbouw!P8</f>
        <v>0</v>
      </c>
      <c r="Q7" s="462">
        <f t="shared" si="0"/>
        <v>12836.836396745079</v>
      </c>
    </row>
    <row r="8" spans="1:17">
      <c r="A8" s="462" t="s">
        <v>657</v>
      </c>
      <c r="B8" s="463">
        <f>industrie!B18</f>
        <v>18777.167132753308</v>
      </c>
      <c r="C8" s="463">
        <f>industrie!C18</f>
        <v>0</v>
      </c>
      <c r="D8" s="463">
        <f>industrie!D18</f>
        <v>17144.713235922212</v>
      </c>
      <c r="E8" s="463">
        <f>industrie!E18</f>
        <v>1199.3020051480673</v>
      </c>
      <c r="F8" s="463">
        <f>industrie!F18</f>
        <v>4978.4922185031701</v>
      </c>
      <c r="G8" s="463">
        <f>industrie!G18</f>
        <v>0</v>
      </c>
      <c r="H8" s="463">
        <f>industrie!H18</f>
        <v>0</v>
      </c>
      <c r="I8" s="463">
        <f>industrie!I18</f>
        <v>0</v>
      </c>
      <c r="J8" s="463">
        <f>industrie!J18</f>
        <v>41.302257130037091</v>
      </c>
      <c r="K8" s="463">
        <f>industrie!K18</f>
        <v>0</v>
      </c>
      <c r="L8" s="463">
        <f>industrie!L18</f>
        <v>0</v>
      </c>
      <c r="M8" s="463">
        <f>industrie!M18</f>
        <v>0</v>
      </c>
      <c r="N8" s="463">
        <f>industrie!N18</f>
        <v>3669.6912446720276</v>
      </c>
      <c r="O8" s="463">
        <f>industrie!O18</f>
        <v>0</v>
      </c>
      <c r="P8" s="464">
        <f>industrie!P18</f>
        <v>0</v>
      </c>
      <c r="Q8" s="462">
        <f t="shared" si="0"/>
        <v>45810.668094128829</v>
      </c>
    </row>
    <row r="9" spans="1:17" s="468" customFormat="1">
      <c r="A9" s="466" t="s">
        <v>574</v>
      </c>
      <c r="B9" s="467">
        <f>transport!B14</f>
        <v>1.9483460576341436</v>
      </c>
      <c r="C9" s="467">
        <f>transport!C14</f>
        <v>0</v>
      </c>
      <c r="D9" s="467">
        <f>transport!D14</f>
        <v>4.4537799019831201</v>
      </c>
      <c r="E9" s="467">
        <f>transport!E14</f>
        <v>130.30282216889478</v>
      </c>
      <c r="F9" s="467">
        <f>transport!F14</f>
        <v>0</v>
      </c>
      <c r="G9" s="467">
        <f>transport!G14</f>
        <v>29329.073082135557</v>
      </c>
      <c r="H9" s="467">
        <f>transport!H14</f>
        <v>6552.114498169788</v>
      </c>
      <c r="I9" s="467">
        <f>transport!I14</f>
        <v>0</v>
      </c>
      <c r="J9" s="467">
        <f>transport!J14</f>
        <v>0</v>
      </c>
      <c r="K9" s="467">
        <f>transport!K14</f>
        <v>0</v>
      </c>
      <c r="L9" s="467">
        <f>transport!L14</f>
        <v>0</v>
      </c>
      <c r="M9" s="467">
        <f>transport!M14</f>
        <v>1603.5818312359461</v>
      </c>
      <c r="N9" s="467">
        <f>transport!N14</f>
        <v>0</v>
      </c>
      <c r="O9" s="467">
        <f>transport!O14</f>
        <v>0</v>
      </c>
      <c r="P9" s="467">
        <f>transport!P14</f>
        <v>0</v>
      </c>
      <c r="Q9" s="466">
        <f>SUM(B9:P9)</f>
        <v>37621.474359669803</v>
      </c>
    </row>
    <row r="10" spans="1:17">
      <c r="A10" s="462" t="s">
        <v>564</v>
      </c>
      <c r="B10" s="463">
        <f>transport!B54</f>
        <v>0</v>
      </c>
      <c r="C10" s="463">
        <f>transport!C54</f>
        <v>0</v>
      </c>
      <c r="D10" s="463">
        <f>transport!D54</f>
        <v>0</v>
      </c>
      <c r="E10" s="463">
        <f>transport!E54</f>
        <v>0</v>
      </c>
      <c r="F10" s="463">
        <f>transport!F54</f>
        <v>0</v>
      </c>
      <c r="G10" s="463">
        <f>transport!G54</f>
        <v>1215.8115707685754</v>
      </c>
      <c r="H10" s="463">
        <f>transport!H54</f>
        <v>0</v>
      </c>
      <c r="I10" s="463">
        <f>transport!I54</f>
        <v>0</v>
      </c>
      <c r="J10" s="463">
        <f>transport!J54</f>
        <v>0</v>
      </c>
      <c r="K10" s="463">
        <f>transport!K54</f>
        <v>0</v>
      </c>
      <c r="L10" s="463">
        <f>transport!L54</f>
        <v>0</v>
      </c>
      <c r="M10" s="463">
        <f>transport!M54</f>
        <v>54.070114325512527</v>
      </c>
      <c r="N10" s="463">
        <f>transport!N54</f>
        <v>0</v>
      </c>
      <c r="O10" s="463">
        <f>transport!O54</f>
        <v>0</v>
      </c>
      <c r="P10" s="464">
        <f>transport!P54</f>
        <v>0</v>
      </c>
      <c r="Q10" s="462">
        <f t="shared" si="0"/>
        <v>1269.881685094088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64007.567620145077</v>
      </c>
      <c r="C14" s="473">
        <f t="shared" ref="C14:Q14" ca="1" si="1">SUM(C4:C13)</f>
        <v>9552.8571428571431</v>
      </c>
      <c r="D14" s="473">
        <f t="shared" ca="1" si="1"/>
        <v>80007.670537792656</v>
      </c>
      <c r="E14" s="473">
        <f t="shared" si="1"/>
        <v>7553.3511544275079</v>
      </c>
      <c r="F14" s="473">
        <f t="shared" ca="1" si="1"/>
        <v>29324.119971791893</v>
      </c>
      <c r="G14" s="473">
        <f t="shared" si="1"/>
        <v>30544.884652904133</v>
      </c>
      <c r="H14" s="473">
        <f t="shared" si="1"/>
        <v>6552.114498169788</v>
      </c>
      <c r="I14" s="473">
        <f t="shared" si="1"/>
        <v>0</v>
      </c>
      <c r="J14" s="473">
        <f t="shared" si="1"/>
        <v>2530.7262752899023</v>
      </c>
      <c r="K14" s="473">
        <f t="shared" si="1"/>
        <v>0</v>
      </c>
      <c r="L14" s="473">
        <f t="shared" ca="1" si="1"/>
        <v>0</v>
      </c>
      <c r="M14" s="473">
        <f t="shared" si="1"/>
        <v>1657.6519455614587</v>
      </c>
      <c r="N14" s="473">
        <f t="shared" ca="1" si="1"/>
        <v>22687.770528960456</v>
      </c>
      <c r="O14" s="473">
        <f t="shared" si="1"/>
        <v>192.29000000000002</v>
      </c>
      <c r="P14" s="474">
        <f t="shared" si="1"/>
        <v>95.333333333333343</v>
      </c>
      <c r="Q14" s="474">
        <f t="shared" ca="1" si="1"/>
        <v>254706.33766123335</v>
      </c>
    </row>
    <row r="16" spans="1:17">
      <c r="A16" s="476" t="s">
        <v>569</v>
      </c>
      <c r="B16" s="829">
        <f ca="1">huishoudens!B10</f>
        <v>0.18411260763699711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3495.0721192312008</v>
      </c>
      <c r="C21" s="463">
        <f t="shared" ref="C21:C30" ca="1" si="3">C4*$C$16</f>
        <v>0</v>
      </c>
      <c r="D21" s="463">
        <f t="shared" ref="D21:D30" si="4">D4*$D$16</f>
        <v>9052.5053577507169</v>
      </c>
      <c r="E21" s="463">
        <f t="shared" ref="E21:E30" si="5">E4*$E$16</f>
        <v>1352.6226453517593</v>
      </c>
      <c r="F21" s="463">
        <f t="shared" ref="F21:F30" si="6">F4*$F$16</f>
        <v>3466.9449446647936</v>
      </c>
      <c r="G21" s="463">
        <f t="shared" ref="G21:G30" si="7">G4*$G$16</f>
        <v>0</v>
      </c>
      <c r="H21" s="463">
        <f t="shared" ref="H21:H30" si="8">H4*$H$16</f>
        <v>0</v>
      </c>
      <c r="I21" s="463">
        <f t="shared" ref="I21:I30" si="9">I4*$I$16</f>
        <v>0</v>
      </c>
      <c r="J21" s="463">
        <f t="shared" ref="J21:J30" si="10">J4*$J$16</f>
        <v>756.09494049292971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18123.2400074914</v>
      </c>
    </row>
    <row r="22" spans="1:17">
      <c r="A22" s="462" t="s">
        <v>156</v>
      </c>
      <c r="B22" s="463">
        <f t="shared" ca="1" si="2"/>
        <v>4204.6256221849799</v>
      </c>
      <c r="C22" s="463">
        <f t="shared" ca="1" si="3"/>
        <v>0</v>
      </c>
      <c r="D22" s="463">
        <f t="shared" ca="1" si="4"/>
        <v>3242.7018780040257</v>
      </c>
      <c r="E22" s="463">
        <f t="shared" si="5"/>
        <v>53.442773547004442</v>
      </c>
      <c r="F22" s="463">
        <f t="shared" ca="1" si="6"/>
        <v>867.56332000215968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8368.3335937381689</v>
      </c>
    </row>
    <row r="23" spans="1:17">
      <c r="A23" s="462" t="s">
        <v>194</v>
      </c>
      <c r="B23" s="463">
        <f t="shared" ca="1" si="2"/>
        <v>194.5830916333131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194.5830916333131</v>
      </c>
    </row>
    <row r="24" spans="1:17">
      <c r="A24" s="462" t="s">
        <v>112</v>
      </c>
      <c r="B24" s="463">
        <f t="shared" ca="1" si="2"/>
        <v>432.84743007665747</v>
      </c>
      <c r="C24" s="463">
        <f t="shared" ca="1" si="3"/>
        <v>0</v>
      </c>
      <c r="D24" s="463">
        <f t="shared" si="4"/>
        <v>402.210475682886</v>
      </c>
      <c r="E24" s="463">
        <f t="shared" si="5"/>
        <v>6.7249973553303368</v>
      </c>
      <c r="F24" s="463">
        <f t="shared" si="6"/>
        <v>2165.7743454611364</v>
      </c>
      <c r="G24" s="463">
        <f t="shared" si="7"/>
        <v>0</v>
      </c>
      <c r="H24" s="463">
        <f t="shared" si="8"/>
        <v>0</v>
      </c>
      <c r="I24" s="463">
        <f t="shared" si="9"/>
        <v>0</v>
      </c>
      <c r="J24" s="463">
        <f t="shared" si="10"/>
        <v>125.16116193566253</v>
      </c>
      <c r="K24" s="463">
        <f t="shared" si="11"/>
        <v>0</v>
      </c>
      <c r="L24" s="463">
        <f t="shared" si="12"/>
        <v>0</v>
      </c>
      <c r="M24" s="463">
        <f t="shared" si="13"/>
        <v>0</v>
      </c>
      <c r="N24" s="463">
        <f t="shared" si="14"/>
        <v>0</v>
      </c>
      <c r="O24" s="463">
        <f t="shared" si="15"/>
        <v>0</v>
      </c>
      <c r="P24" s="464">
        <f t="shared" si="16"/>
        <v>0</v>
      </c>
      <c r="Q24" s="462">
        <f t="shared" ca="1" si="17"/>
        <v>3132.718410511673</v>
      </c>
    </row>
    <row r="25" spans="1:17">
      <c r="A25" s="462" t="s">
        <v>657</v>
      </c>
      <c r="B25" s="463">
        <f t="shared" ca="1" si="2"/>
        <v>3457.1132048469276</v>
      </c>
      <c r="C25" s="463">
        <f t="shared" ca="1" si="3"/>
        <v>0</v>
      </c>
      <c r="D25" s="463">
        <f t="shared" si="4"/>
        <v>3463.232073656287</v>
      </c>
      <c r="E25" s="463">
        <f t="shared" si="5"/>
        <v>272.24155516861128</v>
      </c>
      <c r="F25" s="463">
        <f t="shared" si="6"/>
        <v>1329.2574223403465</v>
      </c>
      <c r="G25" s="463">
        <f t="shared" si="7"/>
        <v>0</v>
      </c>
      <c r="H25" s="463">
        <f t="shared" si="8"/>
        <v>0</v>
      </c>
      <c r="I25" s="463">
        <f t="shared" si="9"/>
        <v>0</v>
      </c>
      <c r="J25" s="463">
        <f t="shared" si="10"/>
        <v>14.620999024033129</v>
      </c>
      <c r="K25" s="463">
        <f t="shared" si="11"/>
        <v>0</v>
      </c>
      <c r="L25" s="463">
        <f t="shared" si="12"/>
        <v>0</v>
      </c>
      <c r="M25" s="463">
        <f t="shared" si="13"/>
        <v>0</v>
      </c>
      <c r="N25" s="463">
        <f t="shared" si="14"/>
        <v>0</v>
      </c>
      <c r="O25" s="463">
        <f t="shared" si="15"/>
        <v>0</v>
      </c>
      <c r="P25" s="464">
        <f t="shared" si="16"/>
        <v>0</v>
      </c>
      <c r="Q25" s="462">
        <f t="shared" ca="1" si="17"/>
        <v>8536.4652550362061</v>
      </c>
    </row>
    <row r="26" spans="1:17" s="468" customFormat="1">
      <c r="A26" s="466" t="s">
        <v>574</v>
      </c>
      <c r="B26" s="823">
        <f t="shared" ca="1" si="2"/>
        <v>0.35871507325028523</v>
      </c>
      <c r="C26" s="467">
        <f t="shared" ca="1" si="3"/>
        <v>0</v>
      </c>
      <c r="D26" s="467">
        <f t="shared" si="4"/>
        <v>0.89966354020059036</v>
      </c>
      <c r="E26" s="467">
        <f t="shared" si="5"/>
        <v>29.578740632339116</v>
      </c>
      <c r="F26" s="467">
        <f t="shared" si="6"/>
        <v>0</v>
      </c>
      <c r="G26" s="467">
        <f t="shared" si="7"/>
        <v>7830.8625129301945</v>
      </c>
      <c r="H26" s="467">
        <f t="shared" si="8"/>
        <v>1631.4765100442771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9493.1761422202617</v>
      </c>
    </row>
    <row r="27" spans="1:17">
      <c r="A27" s="462" t="s">
        <v>564</v>
      </c>
      <c r="B27" s="463">
        <f t="shared" ca="1" si="2"/>
        <v>0</v>
      </c>
      <c r="C27" s="463">
        <f t="shared" ca="1" si="3"/>
        <v>0</v>
      </c>
      <c r="D27" s="463">
        <f t="shared" si="4"/>
        <v>0</v>
      </c>
      <c r="E27" s="463">
        <f t="shared" si="5"/>
        <v>0</v>
      </c>
      <c r="F27" s="463">
        <f t="shared" si="6"/>
        <v>0</v>
      </c>
      <c r="G27" s="463">
        <f t="shared" si="7"/>
        <v>324.62168939520967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324.62168939520967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11784.600183046332</v>
      </c>
      <c r="C31" s="473">
        <f t="shared" ca="1" si="18"/>
        <v>0</v>
      </c>
      <c r="D31" s="473">
        <f t="shared" ca="1" si="18"/>
        <v>16161.549448634116</v>
      </c>
      <c r="E31" s="473">
        <f t="shared" si="18"/>
        <v>1714.6107120550444</v>
      </c>
      <c r="F31" s="473">
        <f t="shared" ca="1" si="18"/>
        <v>7829.540032468436</v>
      </c>
      <c r="G31" s="473">
        <f t="shared" si="18"/>
        <v>8155.4842023254041</v>
      </c>
      <c r="H31" s="473">
        <f t="shared" si="18"/>
        <v>1631.4765100442771</v>
      </c>
      <c r="I31" s="473">
        <f t="shared" si="18"/>
        <v>0</v>
      </c>
      <c r="J31" s="473">
        <f t="shared" si="18"/>
        <v>895.87710145262542</v>
      </c>
      <c r="K31" s="473">
        <f t="shared" si="18"/>
        <v>0</v>
      </c>
      <c r="L31" s="473">
        <f t="shared" ca="1" si="18"/>
        <v>0</v>
      </c>
      <c r="M31" s="473">
        <f t="shared" si="18"/>
        <v>0</v>
      </c>
      <c r="N31" s="473">
        <f t="shared" ca="1" si="18"/>
        <v>0</v>
      </c>
      <c r="O31" s="473">
        <f t="shared" si="18"/>
        <v>0</v>
      </c>
      <c r="P31" s="474">
        <f t="shared" si="18"/>
        <v>0</v>
      </c>
      <c r="Q31" s="474">
        <f t="shared" ca="1" si="18"/>
        <v>48173.138190026228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0.18411260763699711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0.18411260763699711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0.18411260763699711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2018-06-27T09:31:19Z</dcterms:modified>
</cp:coreProperties>
</file>