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G14" i="22"/>
  <c r="L7" i="48"/>
  <c r="L24" s="1"/>
  <c r="E7"/>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E22" i="16" l="1"/>
  <c r="F39" i="14" s="1"/>
  <c r="F41" s="1"/>
  <c r="F53" s="1"/>
  <c r="F55" s="1"/>
  <c r="K41"/>
  <c r="K53" s="1"/>
  <c r="K55"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<sst xmlns="http://schemas.openxmlformats.org/spreadsheetml/2006/main" count="1961" uniqueCount="840">
  <si>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</si>
  <si>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</si>
  <si>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</si>
  <si>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</si>
  <si>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</si>
  <si>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</si>
  <si>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</si>
  <si>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</si>
  <si>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</si>
  <si>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</si>
  <si>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</si>
  <si>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</si>
  <si>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</si>
  <si>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</si>
  <si>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</si>
  <si>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</si>
  <si>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</si>
  <si>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</si>
  <si>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</si>
  <si>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</si>
  <si>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</si>
  <si>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</si>
  <si>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</si>
  <si>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</si>
  <si>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</si>
  <si>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</si>
  <si>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</si>
  <si>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</si>
  <si>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</si>
  <si>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</si>
  <si>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</si>
  <si>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</si>
  <si>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</si>
  <si>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</si>
  <si>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</si>
  <si>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</si>
  <si>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</si>
  <si>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</si>
  <si>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</si>
  <si>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</si>
  <si>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</si>
  <si>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</si>
  <si>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</si>
  <si>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</si>
  <si>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</si>
  <si>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</si>
  <si>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</si>
  <si>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</si>
  <si>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</si>
  <si>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</si>
  <si>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</si>
  <si>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</si>
  <si>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</si>
  <si>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</si>
  <si>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</si>
  <si>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</si>
  <si>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</si>
  <si>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</si>
  <si>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</si>
  <si>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</si>
  <si>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</si>
  <si>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</si>
  <si>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</si>
  <si>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</si>
  <si>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</si>
  <si>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</si>
  <si>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</si>
  <si>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</si>
  <si>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</si>
  <si>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</si>
  <si>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</si>
  <si>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</si>
  <si>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</si>
  <si>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</si>
  <si>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</si>
  <si>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</si>
  <si>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</si>
  <si>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</si>
  <si>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</si>
  <si>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</si>
  <si>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</si>
  <si>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</si>
  <si>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</si>
  <si>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</si>
  <si>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</si>
  <si>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</si>
  <si>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</si>
  <si>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</si>
  <si>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</si>
  <si>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</si>
  <si>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</si>
  <si>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</si>
  <si>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</si>
  <si>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</si>
  <si>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</si>
  <si>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</si>
  <si>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</si>
  <si>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</si>
  <si>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</si>
  <si>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</si>
  <si>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</si>
  <si>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</si>
  <si>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</si>
  <si>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</si>
  <si>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</si>
  <si>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</si>
  <si>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</si>
  <si>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</si>
  <si>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</si>
  <si>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</si>
  <si>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</si>
  <si>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</si>
  <si>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</si>
  <si>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</si>
  <si>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</si>
  <si>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</si>
  <si>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</si>
  <si>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</si>
  <si>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</si>
  <si>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</si>
  <si>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</si>
  <si>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</si>
  <si>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</si>
  <si>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</si>
  <si>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</si>
  <si>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</si>
  <si>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</si>
  <si>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</si>
  <si>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</si>
  <si>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</si>
  <si>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</si>
  <si>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</si>
  <si>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</si>
  <si>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</si>
  <si>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</si>
  <si>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</si>
  <si>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</si>
  <si>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</si>
  <si>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</si>
  <si>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</si>
  <si>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</si>
  <si>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</si>
  <si>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</si>
  <si>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</si>
  <si>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</si>
  <si>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</si>
  <si>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</si>
  <si>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</si>
  <si>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</si>
  <si>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</si>
  <si>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</si>
  <si>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</si>
  <si>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</si>
  <si>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</si>
  <si>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</si>
  <si>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</si>
  <si>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</si>
  <si>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</si>
  <si>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</si>
  <si>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</si>
  <si>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</si>
  <si>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</si>
  <si>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</si>
  <si>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</si>
  <si>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</si>
  <si>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</si>
  <si>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</si>
  <si>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</si>
  <si>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</si>
  <si>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</si>
  <si>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</si>
  <si>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</si>
  <si>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</si>
  <si>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</si>
  <si>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</si>
  <si>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</si>
  <si>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</si>
  <si>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</si>
  <si>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</si>
  <si>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</si>
  <si>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</si>
  <si>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</si>
  <si>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</si>
  <si>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</si>
  <si>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</si>
  <si>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</si>
  <si>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</si>
  <si>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</si>
  <si>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</si>
  <si>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</si>
  <si>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</si>
  <si>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</si>
  <si>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</si>
  <si>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</si>
  <si>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</si>
  <si>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</si>
  <si>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</si>
  <si>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</si>
  <si>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</si>
  <si>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</si>
  <si>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</si>
  <si>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</si>
  <si>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</si>
  <si>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</si>
  <si>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</si>
  <si>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</si>
  <si>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</si>
  <si>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</si>
  <si>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</si>
  <si>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</si>
  <si>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</si>
  <si>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</si>
  <si>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</si>
  <si>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</si>
  <si>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</si>
  <si>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</si>
  <si>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</si>
  <si>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</si>
  <si>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</si>
  <si>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</si>
  <si>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</si>
  <si>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</si>
  <si>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</si>
  <si>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</si>
  <si>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</si>
  <si>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</si>
  <si>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</si>
  <si>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</si>
  <si>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</si>
  <si>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</si>
  <si>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</si>
  <si>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</si>
  <si>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</si>
  <si>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</si>
  <si>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</si>
  <si>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</si>
  <si>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</si>
  <si>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</si>
  <si>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</si>
  <si>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</si>
  <si>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</si>
  <si>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</si>
  <si>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</si>
  <si>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</si>
  <si>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</si>
  <si>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</si>
  <si>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</si>
  <si>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</si>
  <si>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</si>
  <si>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</si>
  <si>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</si>
  <si>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</si>
  <si>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</si>
  <si>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</si>
  <si>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</si>
  <si>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</si>
  <si>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</si>
  <si>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</si>
  <si>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</si>
  <si>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</si>
  <si>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</si>
  <si>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</si>
  <si>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</si>
  <si>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</si>
  <si>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</si>
  <si>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</si>
  <si>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</si>
  <si>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</si>
  <si>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</si>
  <si>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</si>
  <si>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</si>
  <si>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</si>
  <si>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</si>
  <si>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</si>
  <si>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</si>
  <si>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</si>
  <si>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</si>
  <si>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</si>
  <si>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</si>
  <si>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</si>
  <si>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</si>
  <si>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</si>
  <si>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</si>
  <si>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</si>
  <si>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</si>
  <si>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</si>
  <si>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</si>
  <si>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</si>
  <si>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</si>
  <si>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</si>
  <si>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</si>
  <si>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</si>
  <si>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</si>
  <si>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</si>
  <si>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</si>
  <si>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</si>
  <si>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</si>
  <si>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</si>
  <si>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</si>
  <si>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</si>
  <si>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</si>
  <si>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</si>
  <si>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</si>
  <si>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</si>
  <si>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</si>
  <si>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</si>
  <si>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</si>
  <si>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</si>
  <si>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</si>
  <si>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</si>
  <si>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</si>
  <si>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</si>
  <si>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</si>
  <si>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</si>
  <si>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</si>
  <si>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</si>
  <si>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</si>
  <si>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</si>
  <si>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</si>
  <si>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</si>
  <si>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</si>
  <si>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</si>
  <si>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</si>
  <si>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</si>
  <si>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</si>
  <si>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</si>
  <si>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</si>
  <si>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</si>
  <si>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</si>
  <si>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</si>
  <si>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</si>
  <si>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</si>
  <si>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</si>
  <si>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</si>
  <si>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</si>
  <si>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</si>
  <si>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</si>
  <si>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</si>
  <si>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</si>
  <si>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</si>
  <si>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</si>
  <si>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</si>
  <si>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</si>
  <si>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</si>
  <si>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</si>
  <si>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</si>
  <si>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</si>
  <si>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</si>
  <si>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</si>
  <si>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</si>
  <si>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</si>
  <si>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</si>
  <si>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</si>
  <si>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</si>
  <si>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</si>
  <si>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</si>
  <si>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</si>
  <si>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</si>
  <si>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</si>
  <si>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</si>
  <si>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</si>
  <si>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</si>
  <si>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</si>
  <si>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</si>
  <si>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</si>
  <si>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</si>
  <si>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</si>
  <si>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</si>
  <si>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</si>
  <si>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</si>
  <si>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</si>
  <si>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</si>
  <si>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</si>
  <si>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</si>
  <si>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</si>
  <si>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</si>
  <si>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</si>
  <si>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</si>
  <si>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</si>
  <si>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</si>
  <si>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</si>
  <si>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</si>
  <si>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</si>
  <si>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</si>
  <si>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</si>
  <si>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</si>
  <si>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</si>
  <si>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</si>
  <si>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</si>
  <si>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</si>
  <si>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</si>
  <si>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</si>
  <si>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</si>
  <si>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</si>
  <si>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</si>
  <si>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</si>
  <si>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</si>
  <si>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</si>
  <si>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</si>
  <si>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</si>
  <si>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</si>
  <si>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</si>
  <si>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</si>
  <si>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</si>
  <si>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</si>
  <si>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</si>
  <si>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</si>
  <si>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</si>
  <si>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</si>
  <si>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</si>
  <si>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</si>
  <si>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</si>
  <si>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</si>
  <si>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</si>
  <si>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</si>
  <si>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</si>
  <si>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</si>
  <si>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</si>
  <si>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</si>
  <si>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</si>
  <si>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</si>
  <si>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</si>
  <si>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</si>
  <si>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</si>
  <si>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</si>
  <si>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</si>
  <si>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</si>
  <si>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</si>
  <si>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</si>
  <si>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</si>
  <si>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</si>
  <si>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</si>
  <si>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</si>
  <si>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</si>
  <si>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</si>
  <si>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</si>
  <si>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</si>
  <si>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</si>
  <si>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</si>
  <si>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</si>
  <si>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</si>
  <si>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</si>
  <si>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</si>
  <si>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</si>
  <si>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</si>
  <si>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</si>
  <si>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</si>
  <si>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</si>
  <si>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</si>
  <si>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</si>
  <si>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</si>
  <si>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</si>
  <si>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</si>
  <si>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</si>
  <si>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</si>
  <si>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</si>
  <si>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</si>
  <si>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</si>
  <si>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</si>
  <si>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</si>
  <si>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</si>
  <si>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</si>
  <si>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</si>
  <si>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</si>
  <si>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</si>
  <si>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</si>
  <si>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</si>
  <si>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</si>
  <si>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</si>
  <si>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</si>
  <si>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</si>
  <si>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</si>
  <si>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</si>
  <si>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</si>
  <si>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</si>
  <si>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</si>
  <si>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</si>
  <si>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</si>
  <si>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</si>
  <si>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</si>
  <si>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</si>
  <si>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</si>
  <si>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</si>
  <si>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</si>
  <si>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</si>
  <si>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</si>
  <si>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</si>
  <si>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</si>
  <si>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</si>
  <si>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</si>
  <si>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</si>
  <si>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</si>
  <si>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</si>
  <si>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</si>
  <si>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</si>
  <si>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</si>
  <si>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</si>
  <si>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</si>
  <si>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</si>
  <si>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</si>
  <si>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</si>
  <si>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</si>
  <si>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</si>
  <si>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</si>
  <si>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</si>
  <si>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</si>
  <si>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</si>
  <si>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</si>
  <si>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</si>
  <si>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</si>
  <si>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</si>
  <si>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</si>
  <si>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</si>
  <si>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</si>
  <si>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</si>
  <si>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</si>
  <si>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</si>
  <si>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</si>
  <si>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</si>
  <si>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</si>
  <si>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</si>
  <si>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</si>
  <si>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</si>
  <si>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</si>
  <si>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</si>
  <si>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</si>
  <si>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</si>
  <si>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</si>
  <si>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</si>
  <si>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</si>
  <si>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</si>
  <si>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</si>
  <si>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</si>
  <si>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</si>
  <si>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</si>
  <si>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</si>
  <si>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</si>
  <si>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</si>
  <si>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</si>
  <si>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</si>
  <si>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</si>
  <si>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</si>
  <si>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</si>
  <si>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</si>
  <si>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</si>
  <si>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</si>
  <si>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</si>
  <si>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</si>
  <si>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</si>
  <si>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</si>
  <si>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</si>
  <si>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</si>
  <si>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</si>
  <si>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</si>
  <si>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</si>
  <si>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</si>
  <si>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</si>
  <si>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</si>
  <si>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</si>
  <si>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</si>
  <si>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</si>
  <si>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</si>
  <si>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</si>
  <si>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</si>
  <si>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</si>
  <si>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</si>
  <si>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</si>
  <si>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</si>
  <si>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</si>
  <si>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</si>
  <si>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</si>
  <si>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</si>
  <si>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</si>
  <si>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</si>
  <si>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</si>
  <si>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</si>
  <si>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</si>
  <si>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</si>
  <si>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</si>
  <si>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</si>
  <si>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</si>
  <si>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</si>
  <si>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</si>
  <si>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</si>
  <si>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</si>
  <si>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</si>
  <si>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</si>
  <si>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</si>
  <si>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</si>
  <si>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</si>
  <si>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</si>
  <si>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</si>
  <si>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</si>
  <si>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</si>
  <si>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</si>
  <si>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</si>
  <si>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</si>
  <si>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</si>
  <si>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</si>
  <si>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</si>
  <si>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</si>
  <si>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</si>
  <si>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</si>
  <si>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</si>
  <si>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</si>
  <si>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</si>
  <si>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</si>
  <si>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</si>
  <si>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</si>
  <si>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</si>
  <si>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</si>
  <si>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</si>
  <si>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</si>
  <si>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</si>
  <si>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</si>
  <si>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</si>
  <si>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</si>
  <si>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</si>
  <si>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</si>
  <si>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</si>
  <si>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</si>
  <si>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</si>
  <si>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</si>
  <si>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</si>
  <si>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</si>
  <si>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</si>
  <si>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</si>
  <si>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</si>
  <si>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</si>
  <si>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</si>
  <si>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</si>
  <si>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</si>
  <si>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</si>
  <si>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</si>
  <si>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</si>
  <si>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</si>
  <si>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</si>
  <si>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</si>
  <si>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</si>
  <si>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</si>
  <si>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</si>
  <si>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</si>
  <si>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</si>
  <si>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</si>
  <si>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</si>
  <si>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</si>
  <si>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</si>
  <si>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</si>
  <si>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</si>
  <si>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</si>
  <si>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</si>
  <si>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</si>
  <si>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</si>
  <si>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</si>
  <si>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</si>
  <si>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</si>
  <si>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</si>
  <si>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</si>
  <si>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</si>
  <si>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</si>
  <si>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</si>
  <si>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</si>
  <si>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</si>
  <si>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</si>
  <si>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</si>
  <si>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</si>
  <si>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</si>
  <si>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</si>
  <si>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</si>
  <si>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</si>
  <si>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</si>
  <si>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</si>
  <si>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</si>
  <si>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</si>
  <si>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</si>
  <si>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</si>
  <si>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</si>
  <si>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</si>
  <si>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</si>
  <si>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</si>
  <si>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</si>
  <si>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</si>
  <si>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</si>
  <si>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</si>
  <si>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</si>
  <si>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</si>
  <si>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</si>
  <si>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</si>
  <si>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</si>
  <si>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</si>
  <si>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</si>
  <si>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</si>
  <si>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</si>
  <si>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</si>
  <si>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</si>
  <si>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</si>
  <si>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</si>
  <si>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</si>
  <si>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</si>
  <si>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</si>
  <si>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</si>
  <si>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</si>
  <si>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</si>
  <si>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</si>
  <si>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</si>
  <si>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</si>
  <si>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</si>
  <si>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</si>
  <si>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</si>
  <si>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</si>
  <si>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</si>
  <si>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</si>
  <si>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</si>
  <si>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</si>
  <si>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</si>
  <si>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</si>
  <si>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</si>
  <si>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</si>
  <si>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</si>
  <si>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</si>
  <si>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</si>
  <si>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</si>
  <si>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</si>
  <si>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</si>
  <si>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</si>
  <si>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</si>
  <si>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</si>
  <si>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</si>
  <si>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</si>
  <si>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</si>
  <si>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</si>
  <si>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</si>
  <si>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</si>
  <si>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</si>
  <si>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</si>
  <si>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</si>
  <si>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</si>
  <si>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</si>
  <si>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</si>
  <si>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</si>
  <si>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</si>
  <si>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</si>
  <si>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</si>
  <si>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</si>
  <si>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</si>
  <si>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</si>
  <si>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</si>
  <si>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</si>
  <si>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</si>
  <si>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</si>
  <si>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</si>
  <si>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</si>
  <si>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</si>
  <si>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</si>
  <si>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</si>
  <si>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</si>
  <si>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</si>
  <si>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</si>
  <si>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</si>
  <si>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</si>
  <si>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</si>
  <si>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</si>
  <si>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</si>
  <si>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</si>
  <si>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</si>
  <si>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</si>
  <si>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</si>
  <si>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</si>
  <si>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</si>
  <si>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</si>
  <si>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</si>
  <si>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</si>
  <si>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</si>
  <si>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</si>
  <si>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</si>
  <si>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</si>
  <si>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</si>
  <si>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</si>
  <si>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</si>
  <si>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</si>
  <si>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</si>
  <si>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</si>
  <si>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</si>
  <si>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</si>
  <si>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</si>
  <si>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</si>
  <si>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</si>
  <si>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</si>
  <si>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</si>
  <si>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</si>
  <si>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</si>
  <si>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</si>
  <si>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</si>
  <si>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</si>
  <si>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</si>
  <si>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</si>
  <si>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</si>
  <si>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</si>
  <si>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</si>
  <si>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</si>
  <si>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</si>
  <si>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</si>
  <si>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</si>
  <si>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</si>
  <si>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</si>
  <si>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</si>
  <si>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</si>
  <si>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</si>
  <si>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</si>
  <si>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</si>
  <si>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</si>
  <si>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</si>
  <si>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</si>
  <si>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</si>
  <si>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</si>
  <si>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</si>
  <si>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</si>
  <si>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</si>
  <si>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</si>
  <si>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</si>
  <si>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</si>
  <si>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</si>
  <si>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</si>
  <si>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</si>
  <si>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</si>
  <si>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</si>
  <si>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</si>
  <si>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</si>
  <si>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</si>
  <si>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</si>
  <si>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</si>
  <si>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</si>
  <si>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</si>
  <si>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36008</t>
  </si>
  <si>
    <t>IZEGEM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</si>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</sst>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234225.82213928152</c:v>
                </c:pt>
                <c:pt idx="1">
                  <c:v>84446.81301862796</c:v>
                </c:pt>
                <c:pt idx="2">
                  <c:v>2357.2570000000001</c:v>
                </c:pt>
                <c:pt idx="3">
                  <c:v>23101.634156075503</c:v>
                </c:pt>
                <c:pt idx="4">
                  <c:v>225358.00469251018</c:v>
                </c:pt>
                <c:pt idx="5">
                  <c:v>157306.10412621114</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234225.82213928152</c:v>
                </c:pt>
                <c:pt idx="1">
                  <c:v>84446.81301862796</c:v>
                </c:pt>
                <c:pt idx="2">
                  <c:v>2357.2570000000001</c:v>
                </c:pt>
                <c:pt idx="3">
                  <c:v>23101.634156075503</c:v>
                </c:pt>
                <c:pt idx="4">
                  <c:v>225358.00469251018</c:v>
                </c:pt>
                <c:pt idx="5">
                  <c:v>157306.10412621114</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40179.622334748485</c:v>
                </c:pt>
                <c:pt idx="1">
                  <c:v>16359.784421404522</c:v>
                </c:pt>
                <c:pt idx="2">
                  <c:v>423.21341865025431</c:v>
                </c:pt>
                <c:pt idx="3">
                  <c:v>5097.8375851335022</c:v>
                </c:pt>
                <c:pt idx="4">
                  <c:v>44578.273925470116</c:v>
                </c:pt>
                <c:pt idx="5">
                  <c:v>39804.387584383614</c:v>
                </c:pt>
                <c:pt idx="6">
                  <c:v>174.89145430776506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40179.622334748485</c:v>
                </c:pt>
                <c:pt idx="1">
                  <c:v>16359.784421404522</c:v>
                </c:pt>
                <c:pt idx="2">
                  <c:v>423.21341865025431</c:v>
                </c:pt>
                <c:pt idx="3">
                  <c:v>5097.8375851335022</c:v>
                </c:pt>
                <c:pt idx="4">
                  <c:v>44578.273925470116</c:v>
                </c:pt>
                <c:pt idx="5">
                  <c:v>39804.387584383614</c:v>
                </c:pt>
                <c:pt idx="6">
                  <c:v>174.89145430776506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36008</v>
      </c>
      <c r="B6" s="398"/>
      <c r="C6" s="399"/>
    </row>
    <row r="7" spans="1:7" s="396" customFormat="1" ht="15.75" customHeight="1">
      <c r="A7" s="400" t="str">
        <f>txtMunicipality</f>
        <v>IZEGEM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11786</v>
      </c>
      <c r="C9" s="338">
        <v>12171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895</v>
      </c>
    </row>
    <row r="15" spans="1:6">
      <c r="A15" s="1212" t="s">
        <v>184</v>
      </c>
      <c r="B15" s="335">
        <v>3</v>
      </c>
    </row>
    <row r="16" spans="1:6">
      <c r="A16" s="1212" t="s">
        <v>6</v>
      </c>
      <c r="B16" s="335">
        <v>86</v>
      </c>
    </row>
    <row r="17" spans="1:6">
      <c r="A17" s="1212" t="s">
        <v>7</v>
      </c>
      <c r="B17" s="335">
        <v>158</v>
      </c>
    </row>
    <row r="18" spans="1:6">
      <c r="A18" s="1212" t="s">
        <v>8</v>
      </c>
      <c r="B18" s="335">
        <v>203</v>
      </c>
    </row>
    <row r="19" spans="1:6">
      <c r="A19" s="1212" t="s">
        <v>9</v>
      </c>
      <c r="B19" s="335">
        <v>188</v>
      </c>
    </row>
    <row r="20" spans="1:6">
      <c r="A20" s="1212" t="s">
        <v>10</v>
      </c>
      <c r="B20" s="335">
        <v>113</v>
      </c>
    </row>
    <row r="21" spans="1:6">
      <c r="A21" s="1212" t="s">
        <v>11</v>
      </c>
      <c r="B21" s="335">
        <v>3663</v>
      </c>
    </row>
    <row r="22" spans="1:6">
      <c r="A22" s="1212" t="s">
        <v>12</v>
      </c>
      <c r="B22" s="335">
        <v>16530</v>
      </c>
    </row>
    <row r="23" spans="1:6">
      <c r="A23" s="1212" t="s">
        <v>13</v>
      </c>
      <c r="B23" s="335">
        <v>146</v>
      </c>
    </row>
    <row r="24" spans="1:6">
      <c r="A24" s="1212" t="s">
        <v>14</v>
      </c>
      <c r="B24" s="335">
        <v>7</v>
      </c>
    </row>
    <row r="25" spans="1:6">
      <c r="A25" s="1212" t="s">
        <v>15</v>
      </c>
      <c r="B25" s="335">
        <v>690</v>
      </c>
    </row>
    <row r="26" spans="1:6">
      <c r="A26" s="1212" t="s">
        <v>16</v>
      </c>
      <c r="B26" s="335">
        <v>118</v>
      </c>
    </row>
    <row r="27" spans="1:6">
      <c r="A27" s="1212" t="s">
        <v>17</v>
      </c>
      <c r="B27" s="335">
        <v>0</v>
      </c>
    </row>
    <row r="28" spans="1:6" s="341" customFormat="1">
      <c r="A28" s="1213" t="s">
        <v>18</v>
      </c>
      <c r="B28" s="1213">
        <v>56165</v>
      </c>
    </row>
    <row r="29" spans="1:6">
      <c r="A29" s="1213" t="s">
        <v>836</v>
      </c>
      <c r="B29" s="1213">
        <v>60</v>
      </c>
      <c r="C29" s="341"/>
      <c r="D29" s="341"/>
      <c r="E29" s="341"/>
      <c r="F29" s="341"/>
    </row>
    <row r="30" spans="1:6">
      <c r="A30" s="1208" t="s">
        <v>837</v>
      </c>
      <c r="B30" s="1208">
        <v>23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13</v>
      </c>
      <c r="F36" s="335">
        <v>239783</v>
      </c>
    </row>
    <row r="37" spans="1:6">
      <c r="A37" s="1212" t="s">
        <v>25</v>
      </c>
      <c r="B37" s="1212" t="s">
        <v>28</v>
      </c>
      <c r="C37" s="335">
        <v>0</v>
      </c>
      <c r="D37" s="335">
        <v>0</v>
      </c>
      <c r="E37" s="335">
        <v>0</v>
      </c>
      <c r="F37" s="335">
        <v>0</v>
      </c>
    </row>
    <row r="38" spans="1:6">
      <c r="A38" s="1212" t="s">
        <v>25</v>
      </c>
      <c r="B38" s="1212" t="s">
        <v>29</v>
      </c>
      <c r="C38" s="335">
        <v>1</v>
      </c>
      <c r="D38" s="335">
        <v>26736.894200610001</v>
      </c>
      <c r="E38" s="335">
        <v>1</v>
      </c>
      <c r="F38" s="335">
        <v>20275</v>
      </c>
    </row>
    <row r="39" spans="1:6">
      <c r="A39" s="1212" t="s">
        <v>30</v>
      </c>
      <c r="B39" s="1212" t="s">
        <v>31</v>
      </c>
      <c r="C39" s="335">
        <v>9075</v>
      </c>
      <c r="D39" s="335">
        <v>156648043.65799499</v>
      </c>
      <c r="E39" s="335">
        <v>11754</v>
      </c>
      <c r="F39" s="335">
        <v>41696149</v>
      </c>
    </row>
    <row r="40" spans="1:6">
      <c r="A40" s="1212" t="s">
        <v>30</v>
      </c>
      <c r="B40" s="1212" t="s">
        <v>29</v>
      </c>
      <c r="C40" s="335">
        <v>0</v>
      </c>
      <c r="D40" s="335">
        <v>0</v>
      </c>
      <c r="E40" s="335">
        <v>0</v>
      </c>
      <c r="F40" s="335">
        <v>0</v>
      </c>
    </row>
    <row r="41" spans="1:6">
      <c r="A41" s="1212" t="s">
        <v>32</v>
      </c>
      <c r="B41" s="1212" t="s">
        <v>33</v>
      </c>
      <c r="C41" s="335">
        <v>194</v>
      </c>
      <c r="D41" s="335">
        <v>11057148.2075889</v>
      </c>
      <c r="E41" s="335">
        <v>365</v>
      </c>
      <c r="F41" s="335">
        <v>16999647</v>
      </c>
    </row>
    <row r="42" spans="1:6">
      <c r="A42" s="1212" t="s">
        <v>32</v>
      </c>
      <c r="B42" s="1212" t="s">
        <v>34</v>
      </c>
      <c r="C42" s="335">
        <v>0</v>
      </c>
      <c r="D42" s="335">
        <v>0</v>
      </c>
      <c r="E42" s="335">
        <v>3</v>
      </c>
      <c r="F42" s="335">
        <v>466671</v>
      </c>
    </row>
    <row r="43" spans="1:6">
      <c r="A43" s="1212" t="s">
        <v>32</v>
      </c>
      <c r="B43" s="1212" t="s">
        <v>35</v>
      </c>
      <c r="C43" s="335">
        <v>0</v>
      </c>
      <c r="D43" s="335">
        <v>0</v>
      </c>
      <c r="E43" s="335">
        <v>7</v>
      </c>
      <c r="F43" s="335">
        <v>262993</v>
      </c>
    </row>
    <row r="44" spans="1:6">
      <c r="A44" s="1212" t="s">
        <v>32</v>
      </c>
      <c r="B44" s="1212" t="s">
        <v>36</v>
      </c>
      <c r="C44" s="335">
        <v>9</v>
      </c>
      <c r="D44" s="335">
        <v>399606.63731811801</v>
      </c>
      <c r="E44" s="335">
        <v>80</v>
      </c>
      <c r="F44" s="335">
        <v>15603165</v>
      </c>
    </row>
    <row r="45" spans="1:6">
      <c r="A45" s="1212" t="s">
        <v>32</v>
      </c>
      <c r="B45" s="1212" t="s">
        <v>37</v>
      </c>
      <c r="C45" s="335">
        <v>0</v>
      </c>
      <c r="D45" s="335">
        <v>0</v>
      </c>
      <c r="E45" s="335">
        <v>5</v>
      </c>
      <c r="F45" s="335">
        <v>511278</v>
      </c>
    </row>
    <row r="46" spans="1:6">
      <c r="A46" s="1212" t="s">
        <v>32</v>
      </c>
      <c r="B46" s="1212" t="s">
        <v>38</v>
      </c>
      <c r="C46" s="335">
        <v>0</v>
      </c>
      <c r="D46" s="335">
        <v>0</v>
      </c>
      <c r="E46" s="335">
        <v>0</v>
      </c>
      <c r="F46" s="335">
        <v>0</v>
      </c>
    </row>
    <row r="47" spans="1:6">
      <c r="A47" s="1212" t="s">
        <v>32</v>
      </c>
      <c r="B47" s="1212" t="s">
        <v>39</v>
      </c>
      <c r="C47" s="335">
        <v>7</v>
      </c>
      <c r="D47" s="335">
        <v>612224.622144536</v>
      </c>
      <c r="E47" s="335">
        <v>11</v>
      </c>
      <c r="F47" s="335">
        <v>1339360</v>
      </c>
    </row>
    <row r="48" spans="1:6">
      <c r="A48" s="1212" t="s">
        <v>32</v>
      </c>
      <c r="B48" s="1212" t="s">
        <v>29</v>
      </c>
      <c r="C48" s="335">
        <v>59</v>
      </c>
      <c r="D48" s="335">
        <v>46659459.961583398</v>
      </c>
      <c r="E48" s="335">
        <v>0</v>
      </c>
      <c r="F48" s="335">
        <v>0</v>
      </c>
    </row>
    <row r="49" spans="1:6">
      <c r="A49" s="1212" t="s">
        <v>32</v>
      </c>
      <c r="B49" s="1212" t="s">
        <v>40</v>
      </c>
      <c r="C49" s="335">
        <v>0</v>
      </c>
      <c r="D49" s="335">
        <v>0</v>
      </c>
      <c r="E49" s="335">
        <v>18</v>
      </c>
      <c r="F49" s="335">
        <v>5173662</v>
      </c>
    </row>
    <row r="50" spans="1:6">
      <c r="A50" s="1212" t="s">
        <v>32</v>
      </c>
      <c r="B50" s="1212" t="s">
        <v>41</v>
      </c>
      <c r="C50" s="335">
        <v>16</v>
      </c>
      <c r="D50" s="335">
        <v>2378846.9453308601</v>
      </c>
      <c r="E50" s="335">
        <v>39</v>
      </c>
      <c r="F50" s="335">
        <v>34928219</v>
      </c>
    </row>
    <row r="51" spans="1:6">
      <c r="A51" s="1212" t="s">
        <v>42</v>
      </c>
      <c r="B51" s="1212" t="s">
        <v>43</v>
      </c>
      <c r="C51" s="335">
        <v>13</v>
      </c>
      <c r="D51" s="335">
        <v>9588277.7111868802</v>
      </c>
      <c r="E51" s="335">
        <v>85</v>
      </c>
      <c r="F51" s="335">
        <v>1917120</v>
      </c>
    </row>
    <row r="52" spans="1:6">
      <c r="A52" s="1212" t="s">
        <v>42</v>
      </c>
      <c r="B52" s="1212" t="s">
        <v>29</v>
      </c>
      <c r="C52" s="335">
        <v>4</v>
      </c>
      <c r="D52" s="335">
        <v>113892.466967132</v>
      </c>
      <c r="E52" s="335">
        <v>0</v>
      </c>
      <c r="F52" s="335">
        <v>0</v>
      </c>
    </row>
    <row r="53" spans="1:6">
      <c r="A53" s="1212" t="s">
        <v>44</v>
      </c>
      <c r="B53" s="1212" t="s">
        <v>45</v>
      </c>
      <c r="C53" s="335">
        <v>234</v>
      </c>
      <c r="D53" s="335">
        <v>6104369.34747421</v>
      </c>
      <c r="E53" s="335">
        <v>0</v>
      </c>
      <c r="F53" s="335">
        <v>0</v>
      </c>
    </row>
    <row r="54" spans="1:6">
      <c r="A54" s="1212" t="s">
        <v>46</v>
      </c>
      <c r="B54" s="1212" t="s">
        <v>47</v>
      </c>
      <c r="C54" s="335">
        <v>0</v>
      </c>
      <c r="D54" s="335">
        <v>0</v>
      </c>
      <c r="E54" s="335">
        <v>171</v>
      </c>
      <c r="F54" s="335">
        <v>2357257</v>
      </c>
    </row>
    <row r="55" spans="1:6">
      <c r="A55" s="1212" t="s">
        <v>46</v>
      </c>
      <c r="B55" s="1212" t="s">
        <v>29</v>
      </c>
      <c r="C55" s="335">
        <v>0</v>
      </c>
      <c r="D55" s="335">
        <v>0</v>
      </c>
      <c r="E55" s="335">
        <v>0</v>
      </c>
      <c r="F55" s="335">
        <v>0</v>
      </c>
    </row>
    <row r="56" spans="1:6">
      <c r="A56" s="1212" t="s">
        <v>48</v>
      </c>
      <c r="B56" s="1212" t="s">
        <v>29</v>
      </c>
      <c r="C56" s="335">
        <v>0</v>
      </c>
      <c r="D56" s="335">
        <v>0</v>
      </c>
      <c r="E56" s="335">
        <v>199</v>
      </c>
      <c r="F56" s="335">
        <v>1366201</v>
      </c>
    </row>
    <row r="57" spans="1:6">
      <c r="A57" s="1212" t="s">
        <v>49</v>
      </c>
      <c r="B57" s="1212" t="s">
        <v>50</v>
      </c>
      <c r="C57" s="335">
        <v>79</v>
      </c>
      <c r="D57" s="335">
        <v>3927772.29070873</v>
      </c>
      <c r="E57" s="335">
        <v>136</v>
      </c>
      <c r="F57" s="335">
        <v>2399661</v>
      </c>
    </row>
    <row r="58" spans="1:6">
      <c r="A58" s="1212" t="s">
        <v>49</v>
      </c>
      <c r="B58" s="1212" t="s">
        <v>51</v>
      </c>
      <c r="C58" s="335">
        <v>43</v>
      </c>
      <c r="D58" s="335">
        <v>7392496.4485392096</v>
      </c>
      <c r="E58" s="335">
        <v>71</v>
      </c>
      <c r="F58" s="335">
        <v>4007174</v>
      </c>
    </row>
    <row r="59" spans="1:6">
      <c r="A59" s="1212" t="s">
        <v>49</v>
      </c>
      <c r="B59" s="1212" t="s">
        <v>52</v>
      </c>
      <c r="C59" s="335">
        <v>194</v>
      </c>
      <c r="D59" s="335">
        <v>8688245.3830098808</v>
      </c>
      <c r="E59" s="335">
        <v>449</v>
      </c>
      <c r="F59" s="335">
        <v>16009757</v>
      </c>
    </row>
    <row r="60" spans="1:6">
      <c r="A60" s="1212" t="s">
        <v>49</v>
      </c>
      <c r="B60" s="1212" t="s">
        <v>53</v>
      </c>
      <c r="C60" s="335">
        <v>95</v>
      </c>
      <c r="D60" s="335">
        <v>4220647.6669929801</v>
      </c>
      <c r="E60" s="335">
        <v>110</v>
      </c>
      <c r="F60" s="335">
        <v>2680556</v>
      </c>
    </row>
    <row r="61" spans="1:6">
      <c r="A61" s="1212" t="s">
        <v>49</v>
      </c>
      <c r="B61" s="1212" t="s">
        <v>54</v>
      </c>
      <c r="C61" s="335">
        <v>249</v>
      </c>
      <c r="D61" s="335">
        <v>13536619.501163701</v>
      </c>
      <c r="E61" s="335">
        <v>538</v>
      </c>
      <c r="F61" s="335">
        <v>7720399</v>
      </c>
    </row>
    <row r="62" spans="1:6">
      <c r="A62" s="1212" t="s">
        <v>49</v>
      </c>
      <c r="B62" s="1212" t="s">
        <v>55</v>
      </c>
      <c r="C62" s="335">
        <v>21</v>
      </c>
      <c r="D62" s="335">
        <v>4490899.7101495499</v>
      </c>
      <c r="E62" s="335">
        <v>23</v>
      </c>
      <c r="F62" s="335">
        <v>1028650</v>
      </c>
    </row>
    <row r="63" spans="1:6">
      <c r="A63" s="1212" t="s">
        <v>49</v>
      </c>
      <c r="B63" s="1212" t="s">
        <v>29</v>
      </c>
      <c r="C63" s="335">
        <v>76</v>
      </c>
      <c r="D63" s="335">
        <v>4177358.5834404998</v>
      </c>
      <c r="E63" s="335">
        <v>0</v>
      </c>
      <c r="F63" s="335">
        <v>0</v>
      </c>
    </row>
    <row r="64" spans="1:6">
      <c r="A64" s="1212" t="s">
        <v>56</v>
      </c>
      <c r="B64" s="1212" t="s">
        <v>57</v>
      </c>
      <c r="C64" s="335">
        <v>0</v>
      </c>
      <c r="D64" s="335">
        <v>0</v>
      </c>
      <c r="E64" s="335">
        <v>0</v>
      </c>
      <c r="F64" s="335">
        <v>0</v>
      </c>
    </row>
    <row r="65" spans="1:6">
      <c r="A65" s="1212" t="s">
        <v>56</v>
      </c>
      <c r="B65" s="1212" t="s">
        <v>29</v>
      </c>
      <c r="C65" s="335">
        <v>5</v>
      </c>
      <c r="D65" s="335">
        <v>294325.90215748397</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10</v>
      </c>
      <c r="D68" s="335">
        <v>1158967.4115919201</v>
      </c>
      <c r="E68" s="335">
        <v>27</v>
      </c>
      <c r="F68" s="335">
        <v>667728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52622240</v>
      </c>
      <c r="E73" s="335">
        <v>47826191.951063886</v>
      </c>
    </row>
    <row r="74" spans="1:6">
      <c r="A74" s="1212" t="s">
        <v>64</v>
      </c>
      <c r="B74" s="1212" t="s">
        <v>727</v>
      </c>
      <c r="C74" s="1212" t="s">
        <v>728</v>
      </c>
      <c r="D74" s="335">
        <v>7195370.2432870632</v>
      </c>
      <c r="E74" s="335">
        <v>6593472.5585257467</v>
      </c>
    </row>
    <row r="75" spans="1:6">
      <c r="A75" s="1212" t="s">
        <v>65</v>
      </c>
      <c r="B75" s="1212" t="s">
        <v>725</v>
      </c>
      <c r="C75" s="1212" t="s">
        <v>729</v>
      </c>
      <c r="D75" s="335">
        <v>48297627</v>
      </c>
      <c r="E75" s="335">
        <v>43244483.073238611</v>
      </c>
    </row>
    <row r="76" spans="1:6">
      <c r="A76" s="1212" t="s">
        <v>65</v>
      </c>
      <c r="B76" s="1212" t="s">
        <v>727</v>
      </c>
      <c r="C76" s="1212" t="s">
        <v>730</v>
      </c>
      <c r="D76" s="335">
        <v>4219766.2432870632</v>
      </c>
      <c r="E76" s="335">
        <v>3803606.0859741108</v>
      </c>
    </row>
    <row r="77" spans="1:6">
      <c r="A77" s="1212" t="s">
        <v>66</v>
      </c>
      <c r="B77" s="1212" t="s">
        <v>725</v>
      </c>
      <c r="C77" s="1212" t="s">
        <v>731</v>
      </c>
      <c r="D77" s="335">
        <v>41332405</v>
      </c>
      <c r="E77" s="335">
        <v>47373994.179091685</v>
      </c>
    </row>
    <row r="78" spans="1:6">
      <c r="A78" s="1208" t="s">
        <v>66</v>
      </c>
      <c r="B78" s="1208" t="s">
        <v>727</v>
      </c>
      <c r="C78" s="1208" t="s">
        <v>732</v>
      </c>
      <c r="D78" s="1208">
        <v>7599984</v>
      </c>
      <c r="E78" s="1208">
        <v>7890059.5638286248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180745.51342587388</v>
      </c>
      <c r="C83" s="335">
        <v>181823.84362397899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23185.947366404973</v>
      </c>
    </row>
    <row r="91" spans="1:6">
      <c r="A91" s="1212" t="s">
        <v>68</v>
      </c>
      <c r="B91" s="335">
        <v>4225.9666696214235</v>
      </c>
    </row>
    <row r="92" spans="1:6">
      <c r="A92" s="1208" t="s">
        <v>69</v>
      </c>
      <c r="B92" s="338">
        <v>2482.3058981157542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6493</v>
      </c>
    </row>
    <row r="98" spans="1:6">
      <c r="A98" s="1212" t="s">
        <v>72</v>
      </c>
      <c r="B98" s="335">
        <v>1</v>
      </c>
    </row>
    <row r="99" spans="1:6">
      <c r="A99" s="1212" t="s">
        <v>73</v>
      </c>
      <c r="B99" s="335">
        <v>111</v>
      </c>
    </row>
    <row r="100" spans="1:6">
      <c r="A100" s="1212" t="s">
        <v>74</v>
      </c>
      <c r="B100" s="335">
        <v>642</v>
      </c>
    </row>
    <row r="101" spans="1:6">
      <c r="A101" s="1212" t="s">
        <v>75</v>
      </c>
      <c r="B101" s="335">
        <v>159</v>
      </c>
    </row>
    <row r="102" spans="1:6">
      <c r="A102" s="1212" t="s">
        <v>76</v>
      </c>
      <c r="B102" s="335">
        <v>177</v>
      </c>
    </row>
    <row r="103" spans="1:6">
      <c r="A103" s="1212" t="s">
        <v>77</v>
      </c>
      <c r="B103" s="335">
        <v>221</v>
      </c>
    </row>
    <row r="104" spans="1:6">
      <c r="A104" s="1212" t="s">
        <v>78</v>
      </c>
      <c r="B104" s="335">
        <v>2623</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232</v>
      </c>
    </row>
    <row r="130" spans="1:6">
      <c r="A130" s="1212" t="s">
        <v>295</v>
      </c>
      <c r="B130" s="335">
        <v>3</v>
      </c>
    </row>
    <row r="131" spans="1:6">
      <c r="A131" s="1212" t="s">
        <v>296</v>
      </c>
      <c r="B131" s="335">
        <v>3</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159335.45220499916</v>
      </c>
      <c r="C3" s="43" t="s">
        <v>170</v>
      </c>
      <c r="D3" s="43"/>
      <c r="E3" s="156"/>
      <c r="F3" s="43"/>
      <c r="G3" s="43"/>
      <c r="H3" s="43"/>
      <c r="I3" s="43"/>
      <c r="J3" s="43"/>
      <c r="K3" s="96"/>
    </row>
    <row r="4" spans="1:11">
      <c r="A4" s="366" t="s">
        <v>171</v>
      </c>
      <c r="B4" s="49">
        <f>IF(ISERROR('SEAP template'!B69),0,'SEAP template'!B69)</f>
        <v>29894.219934142151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0.17953639278629963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2357.2570000000001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2357.2570000000001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0.17953639278629963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423.21341865025431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41696.148999999998</v>
      </c>
      <c r="C5" s="17">
        <f>IF(ISERROR('Eigen informatie GS &amp; warmtenet'!B57),0,'Eigen informatie GS &amp; warmtenet'!B57)</f>
        <v>0</v>
      </c>
      <c r="D5" s="30">
        <f>(SUM(HH_hh_gas_kWh,HH_rest_gas_kWh)/1000)*0.902</f>
        <v>141296.53537951148</v>
      </c>
      <c r="E5" s="17">
        <f>B46*B57</f>
        <v>6048.253022726537</v>
      </c>
      <c r="F5" s="17">
        <f>B51*B62</f>
        <v>7565.8342902217328</v>
      </c>
      <c r="G5" s="18"/>
      <c r="H5" s="17"/>
      <c r="I5" s="17"/>
      <c r="J5" s="17">
        <f>B50*B61+C50*C61</f>
        <v>0</v>
      </c>
      <c r="K5" s="17"/>
      <c r="L5" s="17"/>
      <c r="M5" s="17"/>
      <c r="N5" s="17">
        <f>B48*B59+C48*C59</f>
        <v>32479.63377720035</v>
      </c>
      <c r="O5" s="17">
        <f>B69*B70*B71</f>
        <v>398.65000000000003</v>
      </c>
      <c r="P5" s="17">
        <f>B77*B78*B79/1000-B77*B78*B79/1000/B80</f>
        <v>514.79999999999995</v>
      </c>
    </row>
    <row r="6" spans="1:16">
      <c r="A6" s="16" t="s">
        <v>634</v>
      </c>
      <c r="B6" s="831">
        <f>kWh_PV_kleiner_dan_10kW</f>
        <v>4225.9666696214235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45922.115669621424</v>
      </c>
      <c r="C8" s="21">
        <f>C5</f>
        <v>0</v>
      </c>
      <c r="D8" s="21">
        <f>D5</f>
        <v>141296.53537951148</v>
      </c>
      <c r="E8" s="21">
        <f>E5</f>
        <v>6048.253022726537</v>
      </c>
      <c r="F8" s="21">
        <f>F5</f>
        <v>7565.8342902217328</v>
      </c>
      <c r="G8" s="21"/>
      <c r="H8" s="21"/>
      <c r="I8" s="21"/>
      <c r="J8" s="21">
        <f>J5</f>
        <v>0</v>
      </c>
      <c r="K8" s="21"/>
      <c r="L8" s="21">
        <f>L5</f>
        <v>0</v>
      </c>
      <c r="M8" s="21">
        <f>M5</f>
        <v>0</v>
      </c>
      <c r="N8" s="21">
        <f>N5</f>
        <v>32479.63377720035</v>
      </c>
      <c r="O8" s="21">
        <f>O5</f>
        <v>398.65000000000003</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0.17953639278629963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8244.6909964390361</v>
      </c>
      <c r="C12" s="23">
        <f ca="1">C10*C8</f>
        <v>0</v>
      </c>
      <c r="D12" s="23">
        <f>D8*D10</f>
        <v>28541.900146661319</v>
      </c>
      <c r="E12" s="23">
        <f>E10*E8</f>
        <v>1372.953436158924</v>
      </c>
      <c r="F12" s="23">
        <f>F10*F8</f>
        <v>2020.0777554892027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6493</v>
      </c>
      <c r="C18" s="168" t="s">
        <v>111</v>
      </c>
      <c r="D18" s="230"/>
      <c r="E18" s="15"/>
    </row>
    <row r="19" spans="1:7">
      <c r="A19" s="173" t="s">
        <v>72</v>
      </c>
      <c r="B19" s="37">
        <f>aantalw2001_ander</f>
        <v>1</v>
      </c>
      <c r="C19" s="168" t="s">
        <v>111</v>
      </c>
      <c r="D19" s="231"/>
      <c r="E19" s="15"/>
    </row>
    <row r="20" spans="1:7">
      <c r="A20" s="173" t="s">
        <v>73</v>
      </c>
      <c r="B20" s="37">
        <f>aantalw2001_propaan</f>
        <v>111</v>
      </c>
      <c r="C20" s="169">
        <f>IF(ISERROR(B20/SUM($B$20,$B$21,$B$22)*100),0,B20/SUM($B$20,$B$21,$B$22)*100)</f>
        <v>12.171052631578947</v>
      </c>
      <c r="D20" s="231"/>
      <c r="E20" s="15"/>
    </row>
    <row r="21" spans="1:7">
      <c r="A21" s="173" t="s">
        <v>74</v>
      </c>
      <c r="B21" s="37">
        <f>aantalw2001_elektriciteit</f>
        <v>642</v>
      </c>
      <c r="C21" s="169">
        <f>IF(ISERROR(B21/SUM($B$20,$B$21,$B$22)*100),0,B21/SUM($B$20,$B$21,$B$22)*100)</f>
        <v>70.39473684210526</v>
      </c>
      <c r="D21" s="231"/>
      <c r="E21" s="15"/>
    </row>
    <row r="22" spans="1:7">
      <c r="A22" s="173" t="s">
        <v>75</v>
      </c>
      <c r="B22" s="37">
        <f>aantalw2001_hout</f>
        <v>159</v>
      </c>
      <c r="C22" s="169">
        <f>IF(ISERROR(B22/SUM($B$20,$B$21,$B$22)*100),0,B22/SUM($B$20,$B$21,$B$22)*100)</f>
        <v>17.434210526315788</v>
      </c>
      <c r="D22" s="231"/>
      <c r="E22" s="15"/>
    </row>
    <row r="23" spans="1:7">
      <c r="A23" s="173" t="s">
        <v>76</v>
      </c>
      <c r="B23" s="37">
        <f>aantalw2001_niet_gespec</f>
        <v>177</v>
      </c>
      <c r="C23" s="168" t="s">
        <v>111</v>
      </c>
      <c r="D23" s="230"/>
      <c r="E23" s="15"/>
    </row>
    <row r="24" spans="1:7">
      <c r="A24" s="173" t="s">
        <v>77</v>
      </c>
      <c r="B24" s="37">
        <f>aantalw2001_steenkool</f>
        <v>221</v>
      </c>
      <c r="C24" s="168" t="s">
        <v>111</v>
      </c>
      <c r="D24" s="231"/>
      <c r="E24" s="15"/>
    </row>
    <row r="25" spans="1:7">
      <c r="A25" s="173" t="s">
        <v>78</v>
      </c>
      <c r="B25" s="37">
        <f>aantalw2001_stookolie</f>
        <v>2623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11786</v>
      </c>
      <c r="C28" s="36"/>
      <c r="D28" s="230"/>
    </row>
    <row r="29" spans="1:7" s="15" customFormat="1">
      <c r="A29" s="232" t="s">
        <v>746</v>
      </c>
      <c r="B29" s="37">
        <f>SUM(HH_hh_gas_aantal,HH_rest_gas_aantal)</f>
        <v>9075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9075</v>
      </c>
      <c r="C32" s="169">
        <f>IF(ISERROR(B32/SUM($B$32,$B$34,$B$35,$B$36,$B$38,$B$39)*100),0,B32/SUM($B$32,$B$34,$B$35,$B$36,$B$38,$B$39)*100)</f>
        <v>77.174929840972879</v>
      </c>
      <c r="D32" s="235"/>
      <c r="G32" s="15"/>
    </row>
    <row r="33" spans="1:7">
      <c r="A33" s="173" t="s">
        <v>72</v>
      </c>
      <c r="B33" s="34" t="s">
        <v>111</v>
      </c>
      <c r="C33" s="169"/>
      <c r="D33" s="235"/>
      <c r="G33" s="15"/>
    </row>
    <row r="34" spans="1:7">
      <c r="A34" s="173" t="s">
        <v>73</v>
      </c>
      <c r="B34" s="33">
        <f>IF((($B$28-$B$32-$B$39-$B$77-$B$38)*C20/100)&lt;0,0,($B$28-$B$32-$B$39-$B$77-$B$38)*C20/100)</f>
        <v>290.25526315789472</v>
      </c>
      <c r="C34" s="169">
        <f>IF(ISERROR(B34/SUM($B$32,$B$34,$B$35,$B$36,$B$38,$B$39)*100),0,B34/SUM($B$32,$B$34,$B$35,$B$36,$B$38,$B$39)*100)</f>
        <v>2.4683668947860764</v>
      </c>
      <c r="D34" s="235"/>
      <c r="G34" s="15"/>
    </row>
    <row r="35" spans="1:7">
      <c r="A35" s="173" t="s">
        <v>74</v>
      </c>
      <c r="B35" s="33">
        <f>IF((($B$28-$B$32-$B$39-$B$77-$B$38)*C21/100)&lt;0,0,($B$28-$B$32-$B$39-$B$77-$B$38)*C21/100)</f>
        <v>1678.7736842105264</v>
      </c>
      <c r="C35" s="169">
        <f>IF(ISERROR(B35/SUM($B$32,$B$34,$B$35,$B$36,$B$38,$B$39)*100),0,B35/SUM($B$32,$B$34,$B$35,$B$36,$B$38,$B$39)*100)</f>
        <v>14.276500418492443</v>
      </c>
      <c r="D35" s="235"/>
      <c r="G35" s="15"/>
    </row>
    <row r="36" spans="1:7">
      <c r="A36" s="173" t="s">
        <v>75</v>
      </c>
      <c r="B36" s="33">
        <f>IF((($B$28-$B$32-$B$39-$B$77-$B$38)*C22/100)&lt;0,0,($B$28-$B$32-$B$39-$B$77-$B$38)*C22/100)</f>
        <v>415.77105263157893</v>
      </c>
      <c r="C36" s="169">
        <f>IF(ISERROR(B36/SUM($B$32,$B$34,$B$35,$B$36,$B$38,$B$39)*100),0,B36/SUM($B$32,$B$34,$B$35,$B$36,$B$38,$B$39)*100)</f>
        <v>3.5357687952341093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299.19999999999982</v>
      </c>
      <c r="C39" s="169">
        <f>IF(ISERROR(B39/SUM($B$32,$B$34,$B$35,$B$36,$B$38,$B$39)*100),0,B39/SUM($B$32,$B$34,$B$35,$B$36,$B$38,$B$39)*100)</f>
        <v>2.5444340505144982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9075</v>
      </c>
      <c r="C44" s="34" t="s">
        <v>111</v>
      </c>
      <c r="D44" s="176"/>
    </row>
    <row r="45" spans="1:7">
      <c r="A45" s="173" t="s">
        <v>72</v>
      </c>
      <c r="B45" s="33" t="str">
        <f t="shared" si="0"/>
        <v>-</v>
      </c>
      <c r="C45" s="34" t="s">
        <v>111</v>
      </c>
      <c r="D45" s="176"/>
    </row>
    <row r="46" spans="1:7">
      <c r="A46" s="173" t="s">
        <v>73</v>
      </c>
      <c r="B46" s="33">
        <f t="shared" si="0"/>
        <v>290.25526315789472</v>
      </c>
      <c r="C46" s="34" t="s">
        <v>111</v>
      </c>
      <c r="D46" s="176"/>
    </row>
    <row r="47" spans="1:7">
      <c r="A47" s="173" t="s">
        <v>74</v>
      </c>
      <c r="B47" s="33">
        <f t="shared" si="0"/>
        <v>1678.7736842105264</v>
      </c>
      <c r="C47" s="34" t="s">
        <v>111</v>
      </c>
      <c r="D47" s="176"/>
    </row>
    <row r="48" spans="1:7">
      <c r="A48" s="173" t="s">
        <v>75</v>
      </c>
      <c r="B48" s="33">
        <f t="shared" si="0"/>
        <v>415.77105263157893</v>
      </c>
      <c r="C48" s="33">
        <f>B48*10</f>
        <v>4157.7105263157891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299.19999999999982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33846.197</v>
      </c>
      <c r="C5" s="17">
        <f>IF(ISERROR('Eigen informatie GS &amp; warmtenet'!B58),0,'Eigen informatie GS &amp; warmtenet'!B58)</f>
        <v>0</v>
      </c>
      <c r="D5" s="30">
        <f>SUM(D6:D12)</f>
        <v>41883.503704772105</v>
      </c>
      <c r="E5" s="17">
        <f>SUM(E6:E12)</f>
        <v>428.01731936137713</v>
      </c>
      <c r="F5" s="17">
        <f>SUM(F6:F12)</f>
        <v>6462.6689986181509</v>
      </c>
      <c r="G5" s="18"/>
      <c r="H5" s="17"/>
      <c r="I5" s="17"/>
      <c r="J5" s="17">
        <f>SUM(J6:J12)</f>
        <v>0</v>
      </c>
      <c r="K5" s="17"/>
      <c r="L5" s="17"/>
      <c r="M5" s="17"/>
      <c r="N5" s="17">
        <f>SUM(N6:N12)</f>
        <v>1764.5359958763331</v>
      </c>
      <c r="O5" s="17">
        <f>B38*B39*B40</f>
        <v>4.6900000000000004</v>
      </c>
      <c r="P5" s="17">
        <f>B46*B47*B48/1000-B46*B47*B48/1000/B49</f>
        <v>57.2</v>
      </c>
      <c r="R5" s="32"/>
    </row>
    <row r="6" spans="1:18">
      <c r="A6" s="32" t="s">
        <v>54</v>
      </c>
      <c r="B6" s="37">
        <f>B26</f>
        <v>7720.3990000000003</v>
      </c>
      <c r="C6" s="33"/>
      <c r="D6" s="37">
        <f>IF(ISERROR(TER_kantoor_gas_kWh/1000),0,TER_kantoor_gas_kWh/1000)*0.902</f>
        <v>12210.030790049659</v>
      </c>
      <c r="E6" s="33">
        <f>$C$26*'E Balans VL '!I12/100/3.6*1000000</f>
        <v>29.995384618702403</v>
      </c>
      <c r="F6" s="33">
        <f>$C$26*('E Balans VL '!L12+'E Balans VL '!N12)/100/3.6*1000000</f>
        <v>1174.2024378699186</v>
      </c>
      <c r="G6" s="34"/>
      <c r="H6" s="33"/>
      <c r="I6" s="33"/>
      <c r="J6" s="33">
        <f>$C$26*('E Balans VL '!D12+'E Balans VL '!E12)/100/3.6*1000000</f>
        <v>0</v>
      </c>
      <c r="K6" s="33"/>
      <c r="L6" s="33"/>
      <c r="M6" s="33"/>
      <c r="N6" s="33">
        <f>$C$26*'E Balans VL '!Y12/100/3.6*1000000</f>
        <v>4.2548647300232085</v>
      </c>
      <c r="O6" s="33"/>
      <c r="P6" s="33"/>
      <c r="R6" s="32"/>
    </row>
    <row r="7" spans="1:18">
      <c r="A7" s="32" t="s">
        <v>53</v>
      </c>
      <c r="B7" s="37">
        <f t="shared" ref="B7:B12" si="0">B27</f>
        <v>2680.556</v>
      </c>
      <c r="C7" s="33"/>
      <c r="D7" s="37">
        <f>IF(ISERROR(TER_horeca_gas_kWh/1000),0,TER_horeca_gas_kWh/1000)*0.902</f>
        <v>3807.0241956276677</v>
      </c>
      <c r="E7" s="33">
        <f>$C$27*'E Balans VL '!I9/100/3.6*1000000</f>
        <v>150.99643614193607</v>
      </c>
      <c r="F7" s="33">
        <f>$C$27*('E Balans VL '!L9+'E Balans VL '!N9)/100/3.6*1000000</f>
        <v>772.91186878835106</v>
      </c>
      <c r="G7" s="34"/>
      <c r="H7" s="33"/>
      <c r="I7" s="33"/>
      <c r="J7" s="33">
        <f>$C$27*('E Balans VL '!D9+'E Balans VL '!E9)/100/3.6*1000000</f>
        <v>0</v>
      </c>
      <c r="K7" s="33"/>
      <c r="L7" s="33"/>
      <c r="M7" s="33"/>
      <c r="N7" s="33">
        <f>$C$27*'E Balans VL '!Y9/100/3.6*1000000</f>
        <v>0.7400875821204419</v>
      </c>
      <c r="O7" s="33"/>
      <c r="P7" s="33"/>
      <c r="R7" s="32"/>
    </row>
    <row r="8" spans="1:18">
      <c r="A8" s="6" t="s">
        <v>52</v>
      </c>
      <c r="B8" s="37">
        <f t="shared" si="0"/>
        <v>16009.757</v>
      </c>
      <c r="C8" s="33"/>
      <c r="D8" s="37">
        <f>IF(ISERROR(TER_handel_gas_kWh/1000),0,TER_handel_gas_kWh/1000)*0.902</f>
        <v>7836.797335474912</v>
      </c>
      <c r="E8" s="33">
        <f>$C$28*'E Balans VL '!I13/100/3.6*1000000</f>
        <v>230.75491407240983</v>
      </c>
      <c r="F8" s="33">
        <f>$C$28*('E Balans VL '!L13+'E Balans VL '!N13)/100/3.6*1000000</f>
        <v>2781.2676329815749</v>
      </c>
      <c r="G8" s="34"/>
      <c r="H8" s="33"/>
      <c r="I8" s="33"/>
      <c r="J8" s="33">
        <f>$C$28*('E Balans VL '!D13+'E Balans VL '!E13)/100/3.6*1000000</f>
        <v>0</v>
      </c>
      <c r="K8" s="33"/>
      <c r="L8" s="33"/>
      <c r="M8" s="33"/>
      <c r="N8" s="33">
        <f>$C$28*'E Balans VL '!Y13/100/3.6*1000000</f>
        <v>47.967014214863717</v>
      </c>
      <c r="O8" s="33"/>
      <c r="P8" s="33"/>
      <c r="R8" s="32"/>
    </row>
    <row r="9" spans="1:18">
      <c r="A9" s="32" t="s">
        <v>51</v>
      </c>
      <c r="B9" s="37">
        <f t="shared" si="0"/>
        <v>4007.174</v>
      </c>
      <c r="C9" s="33"/>
      <c r="D9" s="37">
        <f>IF(ISERROR(TER_gezond_gas_kWh/1000),0,TER_gezond_gas_kWh/1000)*0.902</f>
        <v>6668.031796582367</v>
      </c>
      <c r="E9" s="33">
        <f>$C$29*'E Balans VL '!I10/100/3.6*1000000</f>
        <v>4.280700453358639</v>
      </c>
      <c r="F9" s="33">
        <f>$C$29*('E Balans VL '!L10+'E Balans VL '!N10)/100/3.6*1000000</f>
        <v>653.69186198778084</v>
      </c>
      <c r="G9" s="34"/>
      <c r="H9" s="33"/>
      <c r="I9" s="33"/>
      <c r="J9" s="33">
        <f>$C$29*('E Balans VL '!D10+'E Balans VL '!E10)/100/3.6*1000000</f>
        <v>0</v>
      </c>
      <c r="K9" s="33"/>
      <c r="L9" s="33"/>
      <c r="M9" s="33"/>
      <c r="N9" s="33">
        <f>$C$29*'E Balans VL '!Y10/100/3.6*1000000</f>
        <v>41.25156988213093</v>
      </c>
      <c r="O9" s="33"/>
      <c r="P9" s="33"/>
      <c r="R9" s="32"/>
    </row>
    <row r="10" spans="1:18">
      <c r="A10" s="32" t="s">
        <v>50</v>
      </c>
      <c r="B10" s="37">
        <f t="shared" si="0"/>
        <v>2399.6610000000001</v>
      </c>
      <c r="C10" s="33"/>
      <c r="D10" s="37">
        <f>IF(ISERROR(TER_ander_gas_kWh/1000),0,TER_ander_gas_kWh/1000)*0.902</f>
        <v>3542.8506062192746</v>
      </c>
      <c r="E10" s="33">
        <f>$C$30*'E Balans VL '!I14/100/3.6*1000000</f>
        <v>11.035675923465472</v>
      </c>
      <c r="F10" s="33">
        <f>$C$30*('E Balans VL '!L14+'E Balans VL '!N14)/100/3.6*1000000</f>
        <v>719.25409381101804</v>
      </c>
      <c r="G10" s="34"/>
      <c r="H10" s="33"/>
      <c r="I10" s="33"/>
      <c r="J10" s="33">
        <f>$C$30*('E Balans VL '!D14+'E Balans VL '!E14)/100/3.6*1000000</f>
        <v>0</v>
      </c>
      <c r="K10" s="33"/>
      <c r="L10" s="33"/>
      <c r="M10" s="33"/>
      <c r="N10" s="33">
        <f>$C$30*'E Balans VL '!Y14/100/3.6*1000000</f>
        <v>1670.3224594671949</v>
      </c>
      <c r="O10" s="33"/>
      <c r="P10" s="33"/>
      <c r="R10" s="32"/>
    </row>
    <row r="11" spans="1:18">
      <c r="A11" s="32" t="s">
        <v>55</v>
      </c>
      <c r="B11" s="37">
        <f t="shared" si="0"/>
        <v>1028.6500000000001</v>
      </c>
      <c r="C11" s="33"/>
      <c r="D11" s="37">
        <f>IF(ISERROR(TER_onderwijs_gas_kWh/1000),0,TER_onderwijs_gas_kWh/1000)*0.902</f>
        <v>4050.791538554894</v>
      </c>
      <c r="E11" s="33">
        <f>$C$31*'E Balans VL '!I11/100/3.6*1000000</f>
        <v>0.95420815150471949</v>
      </c>
      <c r="F11" s="33">
        <f>$C$31*('E Balans VL '!L11+'E Balans VL '!N11)/100/3.6*1000000</f>
        <v>361.34110317950729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3767.9774422633313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33846.197</v>
      </c>
      <c r="C16" s="21">
        <f t="shared" ca="1" si="1"/>
        <v>0</v>
      </c>
      <c r="D16" s="21">
        <f t="shared" ca="1" si="1"/>
        <v>41883.503704772105</v>
      </c>
      <c r="E16" s="21">
        <f t="shared" si="1"/>
        <v>428.01731936137713</v>
      </c>
      <c r="F16" s="21">
        <f t="shared" ca="1" si="1"/>
        <v>6462.6689986181509</v>
      </c>
      <c r="G16" s="21">
        <f t="shared" si="1"/>
        <v>0</v>
      </c>
      <c r="H16" s="21">
        <f t="shared" si="1"/>
        <v>0</v>
      </c>
      <c r="I16" s="21">
        <f t="shared" si="1"/>
        <v>0</v>
      </c>
      <c r="J16" s="21">
        <f t="shared" si="1"/>
        <v>0</v>
      </c>
      <c r="K16" s="21">
        <f t="shared" si="1"/>
        <v>0</v>
      </c>
      <c r="L16" s="21">
        <f t="shared" ca="1" si="1"/>
        <v>0</v>
      </c>
      <c r="M16" s="21">
        <f t="shared" si="1"/>
        <v>0</v>
      </c>
      <c r="N16" s="21">
        <f t="shared" ca="1" si="1"/>
        <v>1764.5359958763331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0.17953639278629963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6076.6241189144757</v>
      </c>
      <c r="C20" s="23">
        <f t="shared" ref="C20:P20" ca="1" si="2">C16*C18</f>
        <v>0</v>
      </c>
      <c r="D20" s="23">
        <f t="shared" ca="1" si="2"/>
        <v>8460.4677483639662</v>
      </c>
      <c r="E20" s="23">
        <f t="shared" si="2"/>
        <v>97.159931495032609</v>
      </c>
      <c r="F20" s="23">
        <f t="shared" ca="1" si="2"/>
        <v>1725.5326226310465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7720.3990000000003</v>
      </c>
      <c r="C26" s="39">
        <f>IF(ISERROR(B26*3.6/1000000/'E Balans VL '!Z12*100),0,B26*3.6/1000000/'E Balans VL '!Z12*100)</f>
        <v>0.16398509894852689</v>
      </c>
      <c r="D26" s="239" t="s">
        <v>692</v>
      </c>
      <c r="F26" s="6"/>
    </row>
    <row r="27" spans="1:18">
      <c r="A27" s="233" t="s">
        <v>53</v>
      </c>
      <c r="B27" s="33">
        <f>IF(ISERROR(TER_horeca_ele_kWh/1000),0,TER_horeca_ele_kWh/1000)</f>
        <v>2680.556</v>
      </c>
      <c r="C27" s="39">
        <f>IF(ISERROR(B27*3.6/1000000/'E Balans VL '!Z9*100),0,B27*3.6/1000000/'E Balans VL '!Z9*100)</f>
        <v>0.20842955379591624</v>
      </c>
      <c r="D27" s="239" t="s">
        <v>692</v>
      </c>
      <c r="F27" s="6"/>
    </row>
    <row r="28" spans="1:18">
      <c r="A28" s="173" t="s">
        <v>52</v>
      </c>
      <c r="B28" s="33">
        <f>IF(ISERROR(TER_handel_ele_kWh/1000),0,TER_handel_ele_kWh/1000)</f>
        <v>16009.757</v>
      </c>
      <c r="C28" s="39">
        <f>IF(ISERROR(B28*3.6/1000000/'E Balans VL '!Z13*100),0,B28*3.6/1000000/'E Balans VL '!Z13*100)</f>
        <v>0.45805798936916819</v>
      </c>
      <c r="D28" s="239" t="s">
        <v>692</v>
      </c>
      <c r="F28" s="6"/>
    </row>
    <row r="29" spans="1:18">
      <c r="A29" s="233" t="s">
        <v>51</v>
      </c>
      <c r="B29" s="33">
        <f>IF(ISERROR(TER_gezond_ele_kWh/1000),0,TER_gezond_ele_kWh/1000)</f>
        <v>4007.174</v>
      </c>
      <c r="C29" s="39">
        <f>IF(ISERROR(B29*3.6/1000000/'E Balans VL '!Z10*100),0,B29*3.6/1000000/'E Balans VL '!Z10*100)</f>
        <v>0.43687508155624127</v>
      </c>
      <c r="D29" s="239" t="s">
        <v>692</v>
      </c>
      <c r="F29" s="6"/>
    </row>
    <row r="30" spans="1:18">
      <c r="A30" s="233" t="s">
        <v>50</v>
      </c>
      <c r="B30" s="33">
        <f>IF(ISERROR(TER_ander_ele_kWh/1000),0,TER_ander_ele_kWh/1000)</f>
        <v>2399.6610000000001</v>
      </c>
      <c r="C30" s="39">
        <f>IF(ISERROR(B30*3.6/1000000/'E Balans VL '!Z14*100),0,B30*3.6/1000000/'E Balans VL '!Z14*100)</f>
        <v>0.17560174847806215</v>
      </c>
      <c r="D30" s="239" t="s">
        <v>692</v>
      </c>
      <c r="F30" s="6"/>
    </row>
    <row r="31" spans="1:18">
      <c r="A31" s="233" t="s">
        <v>55</v>
      </c>
      <c r="B31" s="33">
        <f>IF(ISERROR(TER_onderwijs_ele_kWh/1000),0,TER_onderwijs_ele_kWh/1000)</f>
        <v>1028.6500000000001</v>
      </c>
      <c r="C31" s="39">
        <f>IF(ISERROR(B31*3.6/1000000/'E Balans VL '!Z11*100),0,B31*3.6/1000000/'E Balans VL '!Z11*100)</f>
        <v>0.20660511635442677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75284.99500000001</v>
      </c>
      <c r="C5" s="17">
        <f>IF(ISERROR('Eigen informatie GS &amp; warmtenet'!B59),0,'Eigen informatie GS &amp; warmtenet'!B59)</f>
        <v>0</v>
      </c>
      <c r="D5" s="30">
        <f>SUM(D6:D15)</f>
        <v>55118.772309317166</v>
      </c>
      <c r="E5" s="17">
        <f>SUM(E6:E15)</f>
        <v>7919.640294222073</v>
      </c>
      <c r="F5" s="17">
        <f>SUM(F6:F15)</f>
        <v>67898.757033756134</v>
      </c>
      <c r="G5" s="18"/>
      <c r="H5" s="17"/>
      <c r="I5" s="17"/>
      <c r="J5" s="17">
        <f>SUM(J6:J15)</f>
        <v>3.2740422376674672</v>
      </c>
      <c r="K5" s="17"/>
      <c r="L5" s="17"/>
      <c r="M5" s="17"/>
      <c r="N5" s="17">
        <f>SUM(N6:N15)</f>
        <v>19132.56601297716</v>
      </c>
      <c r="O5" s="17">
        <f>B43*B44*B45</f>
        <v>0</v>
      </c>
      <c r="P5" s="17">
        <f>B51*B52*B53/1000-B51*B52*B53/1000/B54</f>
        <v>0</v>
      </c>
      <c r="R5" s="32"/>
    </row>
    <row r="6" spans="1:18">
      <c r="A6" s="6" t="s">
        <v>35</v>
      </c>
      <c r="B6" s="37">
        <f>IF( ISERROR(IND_ijzer_ele_kWh/1000),0,IND_ijzer_ele_kWh/1000)</f>
        <v>262.99299999999999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15603.165000000001</v>
      </c>
      <c r="C8" s="33"/>
      <c r="D8" s="37">
        <f>IF( ISERROR(IND_metaal_Gas_kWH/1000),0,IND_metaal_Gas_kWH/1000)*0.902</f>
        <v>360.4451868609425</v>
      </c>
      <c r="E8" s="33">
        <f>C30*'E Balans VL '!I18/100/3.6*1000000</f>
        <v>448.18146589648313</v>
      </c>
      <c r="F8" s="33">
        <f>C30*'E Balans VL '!L18/100/3.6*1000000+C30*'E Balans VL '!N18/100/3.6*1000000</f>
        <v>4001.9117305104455</v>
      </c>
      <c r="G8" s="34"/>
      <c r="H8" s="33"/>
      <c r="I8" s="33"/>
      <c r="J8" s="40">
        <f>C30*'E Balans VL '!D18/100/3.6*1000000+C30*'E Balans VL '!E18/100/3.6*1000000</f>
        <v>0</v>
      </c>
      <c r="K8" s="33"/>
      <c r="L8" s="33"/>
      <c r="M8" s="33"/>
      <c r="N8" s="33">
        <f>C30*'E Balans VL '!Y18/100/3.6*1000000</f>
        <v>423.65778032228155</v>
      </c>
      <c r="O8" s="33"/>
      <c r="P8" s="33"/>
      <c r="R8" s="32"/>
    </row>
    <row r="9" spans="1:18">
      <c r="A9" s="6" t="s">
        <v>33</v>
      </c>
      <c r="B9" s="37">
        <f t="shared" si="0"/>
        <v>16999.647000000001</v>
      </c>
      <c r="C9" s="33"/>
      <c r="D9" s="37">
        <f>IF( ISERROR(IND_andere_gas_kWh/1000),0,IND_andere_gas_kWh/1000)*0.902</f>
        <v>9973.5476832451877</v>
      </c>
      <c r="E9" s="33">
        <f>C31*'E Balans VL '!I19/100/3.6*1000000</f>
        <v>4601.3864718916475</v>
      </c>
      <c r="F9" s="33">
        <f>C31*'E Balans VL '!L19/100/3.6*1000000+C31*'E Balans VL '!N19/100/3.6*1000000</f>
        <v>11323.5638404333</v>
      </c>
      <c r="G9" s="34"/>
      <c r="H9" s="33"/>
      <c r="I9" s="33"/>
      <c r="J9" s="40">
        <f>C31*'E Balans VL '!D19/100/3.6*1000000+C31*'E Balans VL '!E19/100/3.6*1000000</f>
        <v>0</v>
      </c>
      <c r="K9" s="33"/>
      <c r="L9" s="33"/>
      <c r="M9" s="33"/>
      <c r="N9" s="33">
        <f>C31*'E Balans VL '!Y19/100/3.6*1000000</f>
        <v>5550.1023571877831</v>
      </c>
      <c r="O9" s="33"/>
      <c r="P9" s="33"/>
      <c r="R9" s="32"/>
    </row>
    <row r="10" spans="1:18">
      <c r="A10" s="6" t="s">
        <v>41</v>
      </c>
      <c r="B10" s="37">
        <f t="shared" si="0"/>
        <v>34928.218999999997</v>
      </c>
      <c r="C10" s="33"/>
      <c r="D10" s="37">
        <f>IF( ISERROR(IND_voed_gas_kWh/1000),0,IND_voed_gas_kWh/1000)*0.902</f>
        <v>2145.719944688436</v>
      </c>
      <c r="E10" s="33">
        <f>C32*'E Balans VL '!I20/100/3.6*1000000</f>
        <v>2848.8257871350561</v>
      </c>
      <c r="F10" s="33">
        <f>C32*'E Balans VL '!L20/100/3.6*1000000+C32*'E Balans VL '!N20/100/3.6*1000000</f>
        <v>52081.143494696531</v>
      </c>
      <c r="G10" s="34"/>
      <c r="H10" s="33"/>
      <c r="I10" s="33"/>
      <c r="J10" s="40">
        <f>C32*'E Balans VL '!D20/100/3.6*1000000+C32*'E Balans VL '!E20/100/3.6*1000000</f>
        <v>0.46205794019974028</v>
      </c>
      <c r="K10" s="33"/>
      <c r="L10" s="33"/>
      <c r="M10" s="33"/>
      <c r="N10" s="33">
        <f>C32*'E Balans VL '!Y20/100/3.6*1000000</f>
        <v>10260.678258247595</v>
      </c>
      <c r="O10" s="33"/>
      <c r="P10" s="33"/>
      <c r="R10" s="32"/>
    </row>
    <row r="11" spans="1:18">
      <c r="A11" s="6" t="s">
        <v>40</v>
      </c>
      <c r="B11" s="37">
        <f t="shared" si="0"/>
        <v>5173.6620000000003</v>
      </c>
      <c r="C11" s="33"/>
      <c r="D11" s="37">
        <f>IF( ISERROR(IND_textiel_gas_kWh/1000),0,IND_textiel_gas_kWh/1000)*0.902</f>
        <v>0</v>
      </c>
      <c r="E11" s="33">
        <f>C33*'E Balans VL '!I21/100/3.6*1000000</f>
        <v>1.0255256600228482</v>
      </c>
      <c r="F11" s="33">
        <f>C33*'E Balans VL '!L21/100/3.6*1000000+C33*'E Balans VL '!N21/100/3.6*1000000</f>
        <v>190.55221350312962</v>
      </c>
      <c r="G11" s="34"/>
      <c r="H11" s="33"/>
      <c r="I11" s="33"/>
      <c r="J11" s="40">
        <f>C33*'E Balans VL '!D21/100/3.6*1000000+C33*'E Balans VL '!E21/100/3.6*1000000</f>
        <v>0</v>
      </c>
      <c r="K11" s="33"/>
      <c r="L11" s="33"/>
      <c r="M11" s="33"/>
      <c r="N11" s="33">
        <f>C33*'E Balans VL '!Y21/100/3.6*1000000</f>
        <v>24.05622225121072</v>
      </c>
      <c r="O11" s="33"/>
      <c r="P11" s="33"/>
      <c r="R11" s="32"/>
    </row>
    <row r="12" spans="1:18">
      <c r="A12" s="6" t="s">
        <v>37</v>
      </c>
      <c r="B12" s="37">
        <f t="shared" si="0"/>
        <v>511.27800000000002</v>
      </c>
      <c r="C12" s="33"/>
      <c r="D12" s="37">
        <f>IF( ISERROR(IND_min_gas_kWh/1000),0,IND_min_gas_kWh/1000)*0.902</f>
        <v>0</v>
      </c>
      <c r="E12" s="33">
        <f>C34*'E Balans VL '!I22/100/3.6*1000000</f>
        <v>3.982744217265719</v>
      </c>
      <c r="F12" s="33">
        <f>C34*'E Balans VL '!L22/100/3.6*1000000+C34*'E Balans VL '!N22/100/3.6*1000000</f>
        <v>192.82264260729346</v>
      </c>
      <c r="G12" s="34"/>
      <c r="H12" s="33"/>
      <c r="I12" s="33"/>
      <c r="J12" s="40">
        <f>C34*'E Balans VL '!D22/100/3.6*1000000+C34*'E Balans VL '!E22/100/3.6*1000000</f>
        <v>2.8119842974677267</v>
      </c>
      <c r="K12" s="33"/>
      <c r="L12" s="33"/>
      <c r="M12" s="33"/>
      <c r="N12" s="33">
        <f>C34*'E Balans VL '!Y22/100/3.6*1000000</f>
        <v>0</v>
      </c>
      <c r="O12" s="33"/>
      <c r="P12" s="33"/>
      <c r="R12" s="32"/>
    </row>
    <row r="13" spans="1:18">
      <c r="A13" s="6" t="s">
        <v>39</v>
      </c>
      <c r="B13" s="37">
        <f t="shared" si="0"/>
        <v>1339.36</v>
      </c>
      <c r="C13" s="33"/>
      <c r="D13" s="37">
        <f>IF( ISERROR(IND_papier_gas_kWh/1000),0,IND_papier_gas_kWh/1000)*0.902</f>
        <v>552.22660917437145</v>
      </c>
      <c r="E13" s="33">
        <f>C35*'E Balans VL '!I23/100/3.6*1000000</f>
        <v>14.032236016139811</v>
      </c>
      <c r="F13" s="33">
        <f>C35*'E Balans VL '!L23/100/3.6*1000000+C35*'E Balans VL '!N23/100/3.6*1000000</f>
        <v>99.943280596246765</v>
      </c>
      <c r="G13" s="34"/>
      <c r="H13" s="33"/>
      <c r="I13" s="33"/>
      <c r="J13" s="40">
        <f>C35*'E Balans VL '!D23/100/3.6*1000000+C35*'E Balans VL '!E23/100/3.6*1000000</f>
        <v>0</v>
      </c>
      <c r="K13" s="33"/>
      <c r="L13" s="33"/>
      <c r="M13" s="33"/>
      <c r="N13" s="33">
        <f>C35*'E Balans VL '!Y23/100/3.6*1000000</f>
        <v>2862.7422018508209</v>
      </c>
      <c r="O13" s="33"/>
      <c r="P13" s="33"/>
      <c r="R13" s="32"/>
    </row>
    <row r="14" spans="1:18">
      <c r="A14" s="6" t="s">
        <v>34</v>
      </c>
      <c r="B14" s="37">
        <f t="shared" si="0"/>
        <v>466.67099999999999</v>
      </c>
      <c r="C14" s="33"/>
      <c r="D14" s="37">
        <f>IF( ISERROR(IND_chemie_gas_kWh/1000),0,IND_chemie_gas_kWh/1000)*0.902</f>
        <v>0</v>
      </c>
      <c r="E14" s="33">
        <f>C36*'E Balans VL '!I24/100/3.6*1000000</f>
        <v>2.206063405457543</v>
      </c>
      <c r="F14" s="33">
        <f>C36*'E Balans VL '!L24/100/3.6*1000000+C36*'E Balans VL '!N24/100/3.6*1000000</f>
        <v>8.819831409182008</v>
      </c>
      <c r="G14" s="34"/>
      <c r="H14" s="33"/>
      <c r="I14" s="33"/>
      <c r="J14" s="40">
        <f>C36*'E Balans VL '!D24/100/3.6*1000000+C36*'E Balans VL '!E24/100/3.6*1000000</f>
        <v>0</v>
      </c>
      <c r="K14" s="33"/>
      <c r="L14" s="33"/>
      <c r="M14" s="33"/>
      <c r="N14" s="33">
        <f>C36*'E Balans VL '!Y24/100/3.6*1000000</f>
        <v>11.329193117467453</v>
      </c>
      <c r="O14" s="33"/>
      <c r="P14" s="33"/>
      <c r="R14" s="32"/>
    </row>
    <row r="15" spans="1:18">
      <c r="A15" s="6" t="s">
        <v>270</v>
      </c>
      <c r="B15" s="37">
        <f t="shared" si="0"/>
        <v>0</v>
      </c>
      <c r="C15" s="33"/>
      <c r="D15" s="37">
        <f>IF( ISERROR(IND_rest_gas_kWh/1000),0,IND_rest_gas_kWh/1000)*0.902</f>
        <v>42086.832885348231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75284.99500000001</v>
      </c>
      <c r="C18" s="21">
        <f>C5+C16</f>
        <v>0</v>
      </c>
      <c r="D18" s="21">
        <f>MAX((D5+D16),0)</f>
        <v>55118.772309317166</v>
      </c>
      <c r="E18" s="21">
        <f>MAX((E5+E16),0)</f>
        <v>7919.640294222073</v>
      </c>
      <c r="F18" s="21">
        <f>MAX((F5+F16),0)</f>
        <v>67898.757033756134</v>
      </c>
      <c r="G18" s="21"/>
      <c r="H18" s="21"/>
      <c r="I18" s="21"/>
      <c r="J18" s="21">
        <f>MAX((J5+J16),0)</f>
        <v>3.2740422376674672</v>
      </c>
      <c r="K18" s="21"/>
      <c r="L18" s="21">
        <f>MAX((L5+L16),0)</f>
        <v>0</v>
      </c>
      <c r="M18" s="21"/>
      <c r="N18" s="21">
        <f>MAX((N5+N16),0)</f>
        <v>19132.56601297716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0.17953639278629963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13516.396433234606</v>
      </c>
      <c r="C22" s="23">
        <f ca="1">C18*C20</f>
        <v>0</v>
      </c>
      <c r="D22" s="23">
        <f>D18*D20</f>
        <v>11133.992006482069</v>
      </c>
      <c r="E22" s="23">
        <f>E18*E20</f>
        <v>1797.7583467884106</v>
      </c>
      <c r="F22" s="23">
        <f>F18*F20</f>
        <v>18128.96812801289</v>
      </c>
      <c r="G22" s="23"/>
      <c r="H22" s="23"/>
      <c r="I22" s="23"/>
      <c r="J22" s="23">
        <f>J18*J20</f>
        <v>1.1590109521342833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15603.165000000001</v>
      </c>
      <c r="C30" s="39">
        <f>IF(ISERROR(B30*3.6/1000000/'E Balans VL '!Z18*100),0,B30*3.6/1000000/'E Balans VL '!Z18*100)</f>
        <v>1.535311605362716</v>
      </c>
      <c r="D30" s="239" t="s">
        <v>692</v>
      </c>
    </row>
    <row r="31" spans="1:18">
      <c r="A31" s="6" t="s">
        <v>33</v>
      </c>
      <c r="B31" s="37">
        <f>IF( ISERROR(IND_ander_ele_kWh/1000),0,IND_ander_ele_kWh/1000)</f>
        <v>16999.647000000001</v>
      </c>
      <c r="C31" s="39">
        <f>IF(ISERROR(B31*3.6/1000000/'E Balans VL '!Z19*100),0,B31*3.6/1000000/'E Balans VL '!Z19*100)</f>
        <v>0.7403210663651677</v>
      </c>
      <c r="D31" s="239" t="s">
        <v>692</v>
      </c>
    </row>
    <row r="32" spans="1:18">
      <c r="A32" s="173" t="s">
        <v>41</v>
      </c>
      <c r="B32" s="37">
        <f>IF( ISERROR(IND_voed_ele_kWh/1000),0,IND_voed_ele_kWh/1000)</f>
        <v>34928.218999999997</v>
      </c>
      <c r="C32" s="39">
        <f>IF(ISERROR(B32*3.6/1000000/'E Balans VL '!Z20*100),0,B32*3.6/1000000/'E Balans VL '!Z20*100)</f>
        <v>6.627125835533862</v>
      </c>
      <c r="D32" s="239" t="s">
        <v>692</v>
      </c>
    </row>
    <row r="33" spans="1:5">
      <c r="A33" s="173" t="s">
        <v>40</v>
      </c>
      <c r="B33" s="37">
        <f>IF( ISERROR(IND_textiel_ele_kWh/1000),0,IND_textiel_ele_kWh/1000)</f>
        <v>5173.6620000000003</v>
      </c>
      <c r="C33" s="39">
        <f>IF(ISERROR(B33*3.6/1000000/'E Balans VL '!Z21*100),0,B33*3.6/1000000/'E Balans VL '!Z21*100)</f>
        <v>0.29538986323882455</v>
      </c>
      <c r="D33" s="239" t="s">
        <v>692</v>
      </c>
    </row>
    <row r="34" spans="1:5">
      <c r="A34" s="173" t="s">
        <v>37</v>
      </c>
      <c r="B34" s="37">
        <f>IF( ISERROR(IND_min_ele_kWh/1000),0,IND_min_ele_kWh/1000)</f>
        <v>511.27800000000002</v>
      </c>
      <c r="C34" s="39">
        <f>IF(ISERROR(B34*3.6/1000000/'E Balans VL '!Z22*100),0,B34*3.6/1000000/'E Balans VL '!Z22*100)</f>
        <v>7.1890820893648205E-2</v>
      </c>
      <c r="D34" s="239" t="s">
        <v>692</v>
      </c>
    </row>
    <row r="35" spans="1:5">
      <c r="A35" s="173" t="s">
        <v>39</v>
      </c>
      <c r="B35" s="37">
        <f>IF( ISERROR(IND_papier_ele_kWh/1000),0,IND_papier_ele_kWh/1000)</f>
        <v>1339.36</v>
      </c>
      <c r="C35" s="39">
        <f>IF(ISERROR(B35*3.6/1000000/'E Balans VL '!Z22*100),0,B35*3.6/1000000/'E Balans VL '!Z22*100)</f>
        <v>0.1883274654339061</v>
      </c>
      <c r="D35" s="239" t="s">
        <v>692</v>
      </c>
    </row>
    <row r="36" spans="1:5">
      <c r="A36" s="173" t="s">
        <v>34</v>
      </c>
      <c r="B36" s="37">
        <f>IF( ISERROR(IND_chemie_ele_kWh/1000),0,IND_chemie_ele_kWh/1000)</f>
        <v>466.67099999999999</v>
      </c>
      <c r="C36" s="39">
        <f>IF(ISERROR(B36*3.6/1000000/'E Balans VL '!Z24*100),0,B36*3.6/1000000/'E Balans VL '!Z24*100)</f>
        <v>1.3600171925940355E-2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1917.12</v>
      </c>
      <c r="C5" s="17">
        <f>'Eigen informatie GS &amp; warmtenet'!B60</f>
        <v>0</v>
      </c>
      <c r="D5" s="30">
        <f>IF(ISERROR(SUM(LB_lb_gas_kWh,LB_rest_gas_kWh,onbekend_gas_kWh)/1000),0,SUM(LB_lb_gas_kWh,LB_rest_gas_kWh,onbekend_gas_kWh)/1000)*0.902</f>
        <v>14257.498652116657</v>
      </c>
      <c r="E5" s="17">
        <f>B17*'E Balans VL '!I25/3.6*1000000/100</f>
        <v>24.158181752711538</v>
      </c>
      <c r="F5" s="17">
        <f>B17*('E Balans VL '!L25/3.6*1000000+'E Balans VL '!N25/3.6*1000000)/100</f>
        <v>6614.5442672571462</v>
      </c>
      <c r="G5" s="18"/>
      <c r="H5" s="17"/>
      <c r="I5" s="17"/>
      <c r="J5" s="17">
        <f>('E Balans VL '!D25+'E Balans VL '!E25)/3.6*1000000*landbouw!B17/100</f>
        <v>288.31305494898834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1917.12</v>
      </c>
      <c r="C8" s="21">
        <f>C5+C6</f>
        <v>0</v>
      </c>
      <c r="D8" s="21">
        <f>MAX((D5+D6),0)</f>
        <v>14257.498652116657</v>
      </c>
      <c r="E8" s="21">
        <f>MAX((E5+E6),0)</f>
        <v>24.158181752711538</v>
      </c>
      <c r="F8" s="21">
        <f>MAX((F5+F6),0)</f>
        <v>6614.5442672571462</v>
      </c>
      <c r="G8" s="21"/>
      <c r="H8" s="21"/>
      <c r="I8" s="21"/>
      <c r="J8" s="21">
        <f>MAX((J5+J6),0)</f>
        <v>288.31305494898834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0.17953639278629963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344.19280933847074</v>
      </c>
      <c r="C12" s="23">
        <f ca="1">C8*C10</f>
        <v>0</v>
      </c>
      <c r="D12" s="23">
        <f>D8*D10</f>
        <v>2880.0147277275651</v>
      </c>
      <c r="E12" s="23">
        <f>E8*E10</f>
        <v>5.4839072578655195</v>
      </c>
      <c r="F12" s="23">
        <f>F8*F10</f>
        <v>1766.0833193576582</v>
      </c>
      <c r="G12" s="23"/>
      <c r="H12" s="23"/>
      <c r="I12" s="23"/>
      <c r="J12" s="23">
        <f>J8*J10</f>
        <v>102.06282145194187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0.26737781588499632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81.450354464449077</v>
      </c>
      <c r="C26" s="249">
        <f>B26*'GWP N2O_CH4'!B5</f>
        <v>1710.4574437534307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102.59511254354845</v>
      </c>
      <c r="C27" s="249">
        <f>B27*'GWP N2O_CH4'!B5</f>
        <v>2154.4973634145176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1.4516810457207285</v>
      </c>
      <c r="C28" s="249">
        <f>B28*'GWP N2O_CH4'!B4</f>
        <v>450.02112417342585</v>
      </c>
      <c r="D28" s="50"/>
    </row>
    <row r="29" spans="1:4">
      <c r="A29" s="41" t="s">
        <v>277</v>
      </c>
      <c r="B29" s="249">
        <f>B34*'ha_N2O bodem landbouw'!B4</f>
        <v>5.3311786193322472</v>
      </c>
      <c r="C29" s="249">
        <f>B29*'GWP N2O_CH4'!B4</f>
        <v>1652.6653719929966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1.3311420306237032E-3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2.7963127359902053E-5</v>
      </c>
      <c r="C5" s="448" t="s">
        <v>211</v>
      </c>
      <c r="D5" s="433">
        <f>SUM(D6:D11)</f>
        <v>5.0617007146714894E-5</v>
      </c>
      <c r="E5" s="433">
        <f>SUM(E6:E11)</f>
        <v>1.6242741070601719E-3</v>
      </c>
      <c r="F5" s="446" t="s">
        <v>211</v>
      </c>
      <c r="G5" s="433">
        <f>SUM(G6:G11)</f>
        <v>0.46405853861897511</v>
      </c>
      <c r="H5" s="433">
        <f>SUM(H6:H11)</f>
        <v>7.6338193717876049E-2</v>
      </c>
      <c r="I5" s="448" t="s">
        <v>211</v>
      </c>
      <c r="J5" s="448" t="s">
        <v>211</v>
      </c>
      <c r="K5" s="448" t="s">
        <v>211</v>
      </c>
      <c r="L5" s="448" t="s">
        <v>211</v>
      </c>
      <c r="M5" s="433">
        <f>SUM(M6:M11)</f>
        <v>2.4202388275942188E-2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1.0344175023674364E-5</v>
      </c>
      <c r="C6" s="949"/>
      <c r="D6" s="949">
        <f>vkm_2011_GW_PW*SUMIFS(TableVerdeelsleutelVkm[CNG],TableVerdeelsleutelVkm[Voertuigtype],"Lichte voertuigen")*SUMIFS(TableECFTransport[EnergieConsumptieFactor (PJ per km)],TableECFTransport[Index],CONCATENATE($A6,"_CNG_CNG"))</f>
        <v>1.464937495362997E-5</v>
      </c>
      <c r="E6" s="949">
        <f>vkm_2011_GW_PW*SUMIFS(TableVerdeelsleutelVkm[LPG],TableVerdeelsleutelVkm[Voertuigtype],"Lichte voertuigen")*SUMIFS(TableECFTransport[EnergieConsumptieFactor (PJ per km)],TableECFTransport[Index],CONCATENATE($A6,"_LPG_LPG"))</f>
        <v>4.6008864027796676E-4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8.2690526823150881E-2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2.2219696832464001E-2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4.681559123508228E-3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6.7922484501119887E-2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2.419979383643137E-5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3.065059126469323E-3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9.4940676587720456E-6</v>
      </c>
      <c r="C8" s="949"/>
      <c r="D8" s="436">
        <f>vkm_2011_NGW_PW*SUMIFS(TableVerdeelsleutelVkm[CNG],TableVerdeelsleutelVkm[Voertuigtype],"Lichte voertuigen")*SUMIFS(TableECFTransport[EnergieConsumptieFactor (PJ per km)],TableECFTransport[Index],CONCATENATE($A8,"_CNG_CNG"))</f>
        <v>2.3953310300595178E-5</v>
      </c>
      <c r="E8" s="436">
        <f>vkm_2011_NGW_PW*SUMIFS(TableVerdeelsleutelVkm[LPG],TableVerdeelsleutelVkm[Voertuigtype],"Lichte voertuigen")*SUMIFS(TableECFTransport[EnergieConsumptieFactor (PJ per km)],TableECFTransport[Index],CONCATENATE($A8,"_LPG_LPG"))</f>
        <v>6.9291540823010033E-4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0.11745588089335754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3.5056424286117091E-2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6.7994518225667367E-3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5.0813034905310014E-2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1.713160053663827E-5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2.2929392208167853E-3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8.1248846774556437E-6</v>
      </c>
      <c r="C10" s="949"/>
      <c r="D10" s="436">
        <f>vkm_2011_SW_PW*SUMIFS(TableVerdeelsleutelVkm[CNG],TableVerdeelsleutelVkm[Voertuigtype],"Lichte voertuigen")*SUMIFS(TableECFTransport[EnergieConsumptieFactor (PJ per km)],TableECFTransport[Index],CONCATENATE($A10,"_CNG_CNG"))</f>
        <v>1.2014321892489747E-5</v>
      </c>
      <c r="E10" s="436">
        <f>vkm_2011_SW_PW*SUMIFS(TableVerdeelsleutelVkm[LPG],TableVerdeelsleutelVkm[Voertuigtype],"Lichte voertuigen")*SUMIFS(TableECFTransport[EnergieConsumptieFactor (PJ per km)],TableECFTransport[Index],CONCATENATE($A10,"_LPG_LPG"))</f>
        <v>4.7127005855210471E-4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7.6708911041653463E-2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1.8994434692764902E-2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4.2736346459389656E-3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6.8467700454383343E-2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2.6306512156992643E-5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3.0897443366421475E-3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7.76753537775057</v>
      </c>
      <c r="C14" s="21"/>
      <c r="D14" s="21">
        <f t="shared" ref="D14:M14" si="0">((D5)*10^9/3600)+D12</f>
        <v>14.060279762976361</v>
      </c>
      <c r="E14" s="21">
        <f t="shared" si="0"/>
        <v>451.18725196115884</v>
      </c>
      <c r="F14" s="21"/>
      <c r="G14" s="21">
        <f t="shared" si="0"/>
        <v>128905.14961638197</v>
      </c>
      <c r="H14" s="21">
        <f t="shared" si="0"/>
        <v>21205.053810521124</v>
      </c>
      <c r="I14" s="21"/>
      <c r="J14" s="21"/>
      <c r="K14" s="21"/>
      <c r="L14" s="21"/>
      <c r="M14" s="21">
        <f t="shared" si="0"/>
        <v>6722.8856322061629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0.17953639278629963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1.3945552825613046</v>
      </c>
      <c r="C18" s="23"/>
      <c r="D18" s="23">
        <f t="shared" ref="D18:M18" si="1">D14*D16</f>
        <v>2.840176512121225</v>
      </c>
      <c r="E18" s="23">
        <f t="shared" si="1"/>
        <v>102.41950619518306</v>
      </c>
      <c r="F18" s="23"/>
      <c r="G18" s="23">
        <f t="shared" si="1"/>
        <v>34417.674947573985</v>
      </c>
      <c r="H18" s="23">
        <f t="shared" si="1"/>
        <v>5280.0583988197595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2.3580870243743602E-3</v>
      </c>
      <c r="H50" s="323">
        <f t="shared" si="2"/>
        <v>0</v>
      </c>
      <c r="I50" s="323">
        <f t="shared" si="2"/>
        <v>0</v>
      </c>
      <c r="J50" s="323">
        <f t="shared" si="2"/>
        <v>0</v>
      </c>
      <c r="K50" s="323">
        <f t="shared" si="2"/>
        <v>0</v>
      </c>
      <c r="L50" s="323">
        <f t="shared" si="2"/>
        <v>0</v>
      </c>
      <c r="M50" s="323">
        <f t="shared" si="2"/>
        <v>1.0486989765760237E-4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2.3580870243743602E-3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1.0486989765760237E-4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655.02417343732225</v>
      </c>
      <c r="H54" s="21">
        <f t="shared" si="3"/>
        <v>0</v>
      </c>
      <c r="I54" s="21">
        <f t="shared" si="3"/>
        <v>0</v>
      </c>
      <c r="J54" s="21">
        <f t="shared" si="3"/>
        <v>0</v>
      </c>
      <c r="K54" s="21">
        <f t="shared" si="3"/>
        <v>0</v>
      </c>
      <c r="L54" s="21">
        <f t="shared" si="3"/>
        <v>0</v>
      </c>
      <c r="M54" s="21">
        <f t="shared" si="3"/>
        <v>29.130527127111769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0.17953639278629963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174.89145430776506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23185.947366404973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6708.2725677371782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29894.219934142151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36203.453999999998</v>
      </c>
      <c r="D10" s="704">
        <f ca="1">tertiair!C16</f>
        <v>0</v>
      </c>
      <c r="E10" s="704">
        <f ca="1">tertiair!D16</f>
        <v>41883.503704772105</v>
      </c>
      <c r="F10" s="704">
        <f>tertiair!E16</f>
        <v>428.01731936137713</v>
      </c>
      <c r="G10" s="704">
        <f ca="1">tertiair!F16</f>
        <v>6462.6689986181509</v>
      </c>
      <c r="H10" s="704">
        <f>tertiair!G16</f>
        <v>0</v>
      </c>
      <c r="I10" s="704">
        <f>tertiair!H16</f>
        <v>0</v>
      </c>
      <c r="J10" s="704">
        <f>tertiair!I16</f>
        <v>0</v>
      </c>
      <c r="K10" s="704">
        <f>tertiair!J16</f>
        <v>0</v>
      </c>
      <c r="L10" s="704">
        <f>tertiair!K16</f>
        <v>0</v>
      </c>
      <c r="M10" s="704">
        <f ca="1">tertiair!L16</f>
        <v>0</v>
      </c>
      <c r="N10" s="704">
        <f>tertiair!M16</f>
        <v>0</v>
      </c>
      <c r="O10" s="704">
        <f ca="1">tertiair!N16</f>
        <v>1764.5359958763331</v>
      </c>
      <c r="P10" s="704">
        <f>tertiair!O16</f>
        <v>4.6900000000000004</v>
      </c>
      <c r="Q10" s="705">
        <f>tertiair!P16</f>
        <v>57.2</v>
      </c>
      <c r="R10" s="707">
        <f ca="1">SUM(C10:Q10)</f>
        <v>86804.070018627943</v>
      </c>
      <c r="S10" s="67"/>
    </row>
    <row r="11" spans="1:19" s="459" customFormat="1">
      <c r="A11" s="858" t="s">
        <v>225</v>
      </c>
      <c r="B11" s="863"/>
      <c r="C11" s="704">
        <f>huishoudens!B8</f>
        <v>45922.115669621424</v>
      </c>
      <c r="D11" s="704">
        <f>huishoudens!C8</f>
        <v>0</v>
      </c>
      <c r="E11" s="704">
        <f>huishoudens!D8</f>
        <v>141296.53537951148</v>
      </c>
      <c r="F11" s="704">
        <f>huishoudens!E8</f>
        <v>6048.253022726537</v>
      </c>
      <c r="G11" s="704">
        <f>huishoudens!F8</f>
        <v>7565.8342902217328</v>
      </c>
      <c r="H11" s="704">
        <f>huishoudens!G8</f>
        <v>0</v>
      </c>
      <c r="I11" s="704">
        <f>huishoudens!H8</f>
        <v>0</v>
      </c>
      <c r="J11" s="704">
        <f>huishoudens!I8</f>
        <v>0</v>
      </c>
      <c r="K11" s="704">
        <f>huishoudens!J8</f>
        <v>0</v>
      </c>
      <c r="L11" s="704">
        <f>huishoudens!K8</f>
        <v>0</v>
      </c>
      <c r="M11" s="704">
        <f>huishoudens!L8</f>
        <v>0</v>
      </c>
      <c r="N11" s="704">
        <f>huishoudens!M8</f>
        <v>0</v>
      </c>
      <c r="O11" s="704">
        <f>huishoudens!N8</f>
        <v>32479.63377720035</v>
      </c>
      <c r="P11" s="704">
        <f>huishoudens!O8</f>
        <v>398.65000000000003</v>
      </c>
      <c r="Q11" s="705">
        <f>huishoudens!P8</f>
        <v>514.79999999999995</v>
      </c>
      <c r="R11" s="707">
        <f>SUM(C11:Q11)</f>
        <v>234225.82213928152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75284.99500000001</v>
      </c>
      <c r="D13" s="704">
        <f>industrie!C18</f>
        <v>0</v>
      </c>
      <c r="E13" s="704">
        <f>industrie!D18</f>
        <v>55118.772309317166</v>
      </c>
      <c r="F13" s="704">
        <f>industrie!E18</f>
        <v>7919.640294222073</v>
      </c>
      <c r="G13" s="704">
        <f>industrie!F18</f>
        <v>67898.757033756134</v>
      </c>
      <c r="H13" s="704">
        <f>industrie!G18</f>
        <v>0</v>
      </c>
      <c r="I13" s="704">
        <f>industrie!H18</f>
        <v>0</v>
      </c>
      <c r="J13" s="704">
        <f>industrie!I18</f>
        <v>0</v>
      </c>
      <c r="K13" s="704">
        <f>industrie!J18</f>
        <v>3.2740422376674672</v>
      </c>
      <c r="L13" s="704">
        <f>industrie!K18</f>
        <v>0</v>
      </c>
      <c r="M13" s="704">
        <f>industrie!L18</f>
        <v>0</v>
      </c>
      <c r="N13" s="704">
        <f>industrie!M18</f>
        <v>0</v>
      </c>
      <c r="O13" s="704">
        <f>industrie!N18</f>
        <v>19132.56601297716</v>
      </c>
      <c r="P13" s="704">
        <f>industrie!O18</f>
        <v>0</v>
      </c>
      <c r="Q13" s="705">
        <f>industrie!P18</f>
        <v>0</v>
      </c>
      <c r="R13" s="707">
        <f>SUM(C13:Q13)</f>
        <v>225358.00469251018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157410.56466962141</v>
      </c>
      <c r="D15" s="709">
        <f t="shared" ref="D15:Q15" ca="1" si="0">SUM(D9:D14)</f>
        <v>0</v>
      </c>
      <c r="E15" s="709">
        <f t="shared" ca="1" si="0"/>
        <v>238298.81139360074</v>
      </c>
      <c r="F15" s="709">
        <f t="shared" si="0"/>
        <v>14395.910636309987</v>
      </c>
      <c r="G15" s="709">
        <f t="shared" ca="1" si="0"/>
        <v>81927.260322596019</v>
      </c>
      <c r="H15" s="709">
        <f t="shared" si="0"/>
        <v>0</v>
      </c>
      <c r="I15" s="709">
        <f t="shared" si="0"/>
        <v>0</v>
      </c>
      <c r="J15" s="709">
        <f t="shared" si="0"/>
        <v>0</v>
      </c>
      <c r="K15" s="709">
        <f t="shared" si="0"/>
        <v>3.2740422376674672</v>
      </c>
      <c r="L15" s="709">
        <f t="shared" si="0"/>
        <v>0</v>
      </c>
      <c r="M15" s="709">
        <f t="shared" ca="1" si="0"/>
        <v>0</v>
      </c>
      <c r="N15" s="709">
        <f t="shared" si="0"/>
        <v>0</v>
      </c>
      <c r="O15" s="709">
        <f t="shared" ca="1" si="0"/>
        <v>53376.735786053847</v>
      </c>
      <c r="P15" s="709">
        <f t="shared" si="0"/>
        <v>403.34000000000003</v>
      </c>
      <c r="Q15" s="710">
        <f t="shared" si="0"/>
        <v>572</v>
      </c>
      <c r="R15" s="711">
        <f ca="1">SUM(R9:R14)</f>
        <v>546387.8968504197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655.02417343732225</v>
      </c>
      <c r="I18" s="704">
        <f>transport!H54</f>
        <v>0</v>
      </c>
      <c r="J18" s="704">
        <f>transport!I54</f>
        <v>0</v>
      </c>
      <c r="K18" s="704">
        <f>transport!J54</f>
        <v>0</v>
      </c>
      <c r="L18" s="704">
        <f>transport!K54</f>
        <v>0</v>
      </c>
      <c r="M18" s="704">
        <f>transport!L54</f>
        <v>0</v>
      </c>
      <c r="N18" s="704">
        <f>transport!M54</f>
        <v>29.130527127111769</v>
      </c>
      <c r="O18" s="704">
        <f>transport!N54</f>
        <v>0</v>
      </c>
      <c r="P18" s="704">
        <f>transport!O54</f>
        <v>0</v>
      </c>
      <c r="Q18" s="705">
        <f>transport!P54</f>
        <v>0</v>
      </c>
      <c r="R18" s="707">
        <f>SUM(C18:Q18)</f>
        <v>684.15470056443405</v>
      </c>
      <c r="S18" s="67"/>
    </row>
    <row r="19" spans="1:19" s="459" customFormat="1" ht="15" thickBot="1">
      <c r="A19" s="858" t="s">
        <v>307</v>
      </c>
      <c r="B19" s="863"/>
      <c r="C19" s="713">
        <f>transport!B14</f>
        <v>7.76753537775057</v>
      </c>
      <c r="D19" s="713">
        <f>transport!C14</f>
        <v>0</v>
      </c>
      <c r="E19" s="713">
        <f>transport!D14</f>
        <v>14.060279762976361</v>
      </c>
      <c r="F19" s="713">
        <f>transport!E14</f>
        <v>451.18725196115884</v>
      </c>
      <c r="G19" s="713">
        <f>transport!F14</f>
        <v>0</v>
      </c>
      <c r="H19" s="713">
        <f>transport!G14</f>
        <v>128905.14961638197</v>
      </c>
      <c r="I19" s="713">
        <f>transport!H14</f>
        <v>21205.053810521124</v>
      </c>
      <c r="J19" s="713">
        <f>transport!I14</f>
        <v>0</v>
      </c>
      <c r="K19" s="713">
        <f>transport!J14</f>
        <v>0</v>
      </c>
      <c r="L19" s="713">
        <f>transport!K14</f>
        <v>0</v>
      </c>
      <c r="M19" s="713">
        <f>transport!L14</f>
        <v>0</v>
      </c>
      <c r="N19" s="713">
        <f>transport!M14</f>
        <v>6722.8856322061629</v>
      </c>
      <c r="O19" s="713">
        <f>transport!N14</f>
        <v>0</v>
      </c>
      <c r="P19" s="713">
        <f>transport!O14</f>
        <v>0</v>
      </c>
      <c r="Q19" s="714">
        <f>transport!P14</f>
        <v>0</v>
      </c>
      <c r="R19" s="715">
        <f>SUM(C19:Q19)</f>
        <v>157306.10412621114</v>
      </c>
      <c r="S19" s="67"/>
    </row>
    <row r="20" spans="1:19" s="459" customFormat="1" ht="15.75" thickBot="1">
      <c r="A20" s="716" t="s">
        <v>230</v>
      </c>
      <c r="B20" s="866"/>
      <c r="C20" s="861">
        <f>SUM(C17:C19)</f>
        <v>7.76753537775057</v>
      </c>
      <c r="D20" s="717">
        <f t="shared" ref="D20:R20" si="1">SUM(D17:D19)</f>
        <v>0</v>
      </c>
      <c r="E20" s="717">
        <f t="shared" si="1"/>
        <v>14.060279762976361</v>
      </c>
      <c r="F20" s="717">
        <f t="shared" si="1"/>
        <v>451.18725196115884</v>
      </c>
      <c r="G20" s="717">
        <f t="shared" si="1"/>
        <v>0</v>
      </c>
      <c r="H20" s="717">
        <f t="shared" si="1"/>
        <v>129560.1737898193</v>
      </c>
      <c r="I20" s="717">
        <f t="shared" si="1"/>
        <v>21205.053810521124</v>
      </c>
      <c r="J20" s="717">
        <f t="shared" si="1"/>
        <v>0</v>
      </c>
      <c r="K20" s="717">
        <f t="shared" si="1"/>
        <v>0</v>
      </c>
      <c r="L20" s="717">
        <f t="shared" si="1"/>
        <v>0</v>
      </c>
      <c r="M20" s="717">
        <f t="shared" si="1"/>
        <v>0</v>
      </c>
      <c r="N20" s="717">
        <f t="shared" si="1"/>
        <v>6752.016159333275</v>
      </c>
      <c r="O20" s="717">
        <f t="shared" si="1"/>
        <v>0</v>
      </c>
      <c r="P20" s="717">
        <f t="shared" si="1"/>
        <v>0</v>
      </c>
      <c r="Q20" s="718">
        <f t="shared" si="1"/>
        <v>0</v>
      </c>
      <c r="R20" s="719">
        <f t="shared" si="1"/>
        <v>157990.25882677556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1917.12</v>
      </c>
      <c r="D22" s="713">
        <f>+landbouw!C8</f>
        <v>0</v>
      </c>
      <c r="E22" s="713">
        <f>+landbouw!D8</f>
        <v>14257.498652116657</v>
      </c>
      <c r="F22" s="713">
        <f>+landbouw!E8</f>
        <v>24.158181752711538</v>
      </c>
      <c r="G22" s="713">
        <f>+landbouw!F8</f>
        <v>6614.5442672571462</v>
      </c>
      <c r="H22" s="713">
        <f>+landbouw!G8</f>
        <v>0</v>
      </c>
      <c r="I22" s="713">
        <f>+landbouw!H8</f>
        <v>0</v>
      </c>
      <c r="J22" s="713">
        <f>+landbouw!I8</f>
        <v>0</v>
      </c>
      <c r="K22" s="713">
        <f>+landbouw!J8</f>
        <v>288.31305494898834</v>
      </c>
      <c r="L22" s="713">
        <f>+landbouw!K8</f>
        <v>0</v>
      </c>
      <c r="M22" s="713">
        <f>+landbouw!L8</f>
        <v>0</v>
      </c>
      <c r="N22" s="713">
        <f>+landbouw!M8</f>
        <v>0</v>
      </c>
      <c r="O22" s="713">
        <f>+landbouw!N8</f>
        <v>0</v>
      </c>
      <c r="P22" s="713">
        <f>+landbouw!O8</f>
        <v>0</v>
      </c>
      <c r="Q22" s="714">
        <f>+landbouw!P8</f>
        <v>0</v>
      </c>
      <c r="R22" s="715">
        <f>SUM(C22:Q22)</f>
        <v>23101.634156075503</v>
      </c>
      <c r="S22" s="67"/>
    </row>
    <row r="23" spans="1:19" s="459" customFormat="1" ht="17.25" thickTop="1" thickBot="1">
      <c r="A23" s="720" t="s">
        <v>116</v>
      </c>
      <c r="B23" s="852"/>
      <c r="C23" s="721">
        <f ca="1">C20+C15+C22</f>
        <v>159335.45220499916</v>
      </c>
      <c r="D23" s="721">
        <f t="shared" ref="D23:Q23" ca="1" si="2">D20+D15+D22</f>
        <v>0</v>
      </c>
      <c r="E23" s="721">
        <f t="shared" ca="1" si="2"/>
        <v>252570.37032548038</v>
      </c>
      <c r="F23" s="721">
        <f t="shared" si="2"/>
        <v>14871.256070023857</v>
      </c>
      <c r="G23" s="721">
        <f t="shared" ca="1" si="2"/>
        <v>88541.804589853171</v>
      </c>
      <c r="H23" s="721">
        <f t="shared" si="2"/>
        <v>129560.1737898193</v>
      </c>
      <c r="I23" s="721">
        <f t="shared" si="2"/>
        <v>21205.053810521124</v>
      </c>
      <c r="J23" s="721">
        <f t="shared" si="2"/>
        <v>0</v>
      </c>
      <c r="K23" s="721">
        <f t="shared" si="2"/>
        <v>291.5870971866558</v>
      </c>
      <c r="L23" s="721">
        <f t="shared" si="2"/>
        <v>0</v>
      </c>
      <c r="M23" s="721">
        <f t="shared" ca="1" si="2"/>
        <v>0</v>
      </c>
      <c r="N23" s="721">
        <f t="shared" si="2"/>
        <v>6752.016159333275</v>
      </c>
      <c r="O23" s="721">
        <f t="shared" ca="1" si="2"/>
        <v>53376.735786053847</v>
      </c>
      <c r="P23" s="721">
        <f t="shared" si="2"/>
        <v>403.34000000000003</v>
      </c>
      <c r="Q23" s="722">
        <f t="shared" si="2"/>
        <v>572</v>
      </c>
      <c r="R23" s="723">
        <f ca="1">R20+R15+R22</f>
        <v>727479.78983327083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6499.8375375647302</v>
      </c>
      <c r="D36" s="704">
        <f ca="1">tertiair!C20</f>
        <v>0</v>
      </c>
      <c r="E36" s="704">
        <f ca="1">tertiair!D20</f>
        <v>8460.4677483639662</v>
      </c>
      <c r="F36" s="704">
        <f>tertiair!E20</f>
        <v>97.159931495032609</v>
      </c>
      <c r="G36" s="704">
        <f ca="1">tertiair!F20</f>
        <v>1725.5326226310465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16782.997840054777</v>
      </c>
    </row>
    <row r="37" spans="1:18">
      <c r="A37" s="873" t="s">
        <v>225</v>
      </c>
      <c r="B37" s="880"/>
      <c r="C37" s="704">
        <f ca="1">huishoudens!B12</f>
        <v>8244.6909964390361</v>
      </c>
      <c r="D37" s="704">
        <f ca="1">huishoudens!C12</f>
        <v>0</v>
      </c>
      <c r="E37" s="704">
        <f>huishoudens!D12</f>
        <v>28541.900146661319</v>
      </c>
      <c r="F37" s="704">
        <f>huishoudens!E12</f>
        <v>1372.953436158924</v>
      </c>
      <c r="G37" s="704">
        <f>huishoudens!F12</f>
        <v>2020.0777554892027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40179.622334748485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13516.396433234606</v>
      </c>
      <c r="D39" s="704">
        <f ca="1">industrie!C22</f>
        <v>0</v>
      </c>
      <c r="E39" s="704">
        <f>industrie!D22</f>
        <v>11133.992006482069</v>
      </c>
      <c r="F39" s="704">
        <f>industrie!E22</f>
        <v>1797.7583467884106</v>
      </c>
      <c r="G39" s="704">
        <f>industrie!F22</f>
        <v>18128.96812801289</v>
      </c>
      <c r="H39" s="704">
        <f>industrie!G22</f>
        <v>0</v>
      </c>
      <c r="I39" s="704">
        <f>industrie!H22</f>
        <v>0</v>
      </c>
      <c r="J39" s="704">
        <f>industrie!I22</f>
        <v>0</v>
      </c>
      <c r="K39" s="704">
        <f>industrie!J22</f>
        <v>1.1590109521342833</v>
      </c>
      <c r="L39" s="704">
        <f>industrie!K22</f>
        <v>0</v>
      </c>
      <c r="M39" s="704">
        <f>industrie!L22</f>
        <v>0</v>
      </c>
      <c r="N39" s="704">
        <f>industrie!M22</f>
        <v>0</v>
      </c>
      <c r="O39" s="704">
        <f>industrie!N22</f>
        <v>0</v>
      </c>
      <c r="P39" s="704">
        <f>industrie!O22</f>
        <v>0</v>
      </c>
      <c r="Q39" s="814">
        <f>industrie!P22</f>
        <v>0</v>
      </c>
      <c r="R39" s="906">
        <f ca="1">SUM(C39:Q39)</f>
        <v>44578.273925470116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28260.924967238374</v>
      </c>
      <c r="D41" s="749">
        <f t="shared" ref="D41:R41" ca="1" si="4">SUM(D35:D40)</f>
        <v>0</v>
      </c>
      <c r="E41" s="749">
        <f t="shared" ca="1" si="4"/>
        <v>48136.359901507356</v>
      </c>
      <c r="F41" s="749">
        <f t="shared" si="4"/>
        <v>3267.8717144423672</v>
      </c>
      <c r="G41" s="749">
        <f t="shared" ca="1" si="4"/>
        <v>21874.578506133141</v>
      </c>
      <c r="H41" s="749">
        <f t="shared" si="4"/>
        <v>0</v>
      </c>
      <c r="I41" s="749">
        <f t="shared" si="4"/>
        <v>0</v>
      </c>
      <c r="J41" s="749">
        <f t="shared" si="4"/>
        <v>0</v>
      </c>
      <c r="K41" s="749">
        <f t="shared" si="4"/>
        <v>1.1590109521342833</v>
      </c>
      <c r="L41" s="749">
        <f t="shared" si="4"/>
        <v>0</v>
      </c>
      <c r="M41" s="749">
        <f t="shared" ca="1" si="4"/>
        <v>0</v>
      </c>
      <c r="N41" s="749">
        <f t="shared" si="4"/>
        <v>0</v>
      </c>
      <c r="O41" s="749">
        <f t="shared" ca="1" si="4"/>
        <v>0</v>
      </c>
      <c r="P41" s="749">
        <f t="shared" si="4"/>
        <v>0</v>
      </c>
      <c r="Q41" s="750">
        <f t="shared" si="4"/>
        <v>0</v>
      </c>
      <c r="R41" s="751">
        <f t="shared" ca="1" si="4"/>
        <v>101540.89410027338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174.89145430776506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174.89145430776506</v>
      </c>
    </row>
    <row r="45" spans="1:18" ht="15" thickBot="1">
      <c r="A45" s="876" t="s">
        <v>307</v>
      </c>
      <c r="B45" s="886"/>
      <c r="C45" s="713">
        <f ca="1">transport!B18</f>
        <v>1.3945552825613046</v>
      </c>
      <c r="D45" s="713">
        <f>transport!C18</f>
        <v>0</v>
      </c>
      <c r="E45" s="713">
        <f>transport!D18</f>
        <v>2.840176512121225</v>
      </c>
      <c r="F45" s="713">
        <f>transport!E18</f>
        <v>102.41950619518306</v>
      </c>
      <c r="G45" s="713">
        <f>transport!F18</f>
        <v>0</v>
      </c>
      <c r="H45" s="713">
        <f>transport!G18</f>
        <v>34417.674947573985</v>
      </c>
      <c r="I45" s="713">
        <f>transport!H18</f>
        <v>5280.0583988197595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39804.387584383614</v>
      </c>
    </row>
    <row r="46" spans="1:18" ht="15.75" thickBot="1">
      <c r="A46" s="874" t="s">
        <v>230</v>
      </c>
      <c r="B46" s="887"/>
      <c r="C46" s="749">
        <f t="shared" ref="C46:R46" ca="1" si="5">SUM(C43:C45)</f>
        <v>1.3945552825613046</v>
      </c>
      <c r="D46" s="749">
        <f t="shared" ca="1" si="5"/>
        <v>0</v>
      </c>
      <c r="E46" s="749">
        <f t="shared" si="5"/>
        <v>2.840176512121225</v>
      </c>
      <c r="F46" s="749">
        <f t="shared" si="5"/>
        <v>102.41950619518306</v>
      </c>
      <c r="G46" s="749">
        <f t="shared" si="5"/>
        <v>0</v>
      </c>
      <c r="H46" s="749">
        <f t="shared" si="5"/>
        <v>34592.566401881748</v>
      </c>
      <c r="I46" s="749">
        <f t="shared" si="5"/>
        <v>5280.0583988197595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39979.279038691377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344.19280933847074</v>
      </c>
      <c r="D48" s="704">
        <f ca="1">+landbouw!C12</f>
        <v>0</v>
      </c>
      <c r="E48" s="704">
        <f>+landbouw!D12</f>
        <v>2880.0147277275651</v>
      </c>
      <c r="F48" s="704">
        <f>+landbouw!E12</f>
        <v>5.4839072578655195</v>
      </c>
      <c r="G48" s="704">
        <f>+landbouw!F12</f>
        <v>1766.0833193576582</v>
      </c>
      <c r="H48" s="704">
        <f>+landbouw!G12</f>
        <v>0</v>
      </c>
      <c r="I48" s="704">
        <f>+landbouw!H12</f>
        <v>0</v>
      </c>
      <c r="J48" s="704">
        <f>+landbouw!I12</f>
        <v>0</v>
      </c>
      <c r="K48" s="704">
        <f>+landbouw!J12</f>
        <v>102.06282145194187</v>
      </c>
      <c r="L48" s="704">
        <f>+landbouw!K12</f>
        <v>0</v>
      </c>
      <c r="M48" s="704">
        <f>+landbouw!L12</f>
        <v>0</v>
      </c>
      <c r="N48" s="704">
        <f>+landbouw!M12</f>
        <v>0</v>
      </c>
      <c r="O48" s="704">
        <f>+landbouw!N12</f>
        <v>0</v>
      </c>
      <c r="P48" s="704">
        <f>+landbouw!O12</f>
        <v>0</v>
      </c>
      <c r="Q48" s="705">
        <f>+landbouw!P12</f>
        <v>0</v>
      </c>
      <c r="R48" s="747">
        <f ca="1">SUM(C48:Q48)</f>
        <v>5097.8375851335022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28606.512331859405</v>
      </c>
      <c r="D53" s="759">
        <f t="shared" ref="D53:Q53" ca="1" si="6">D41+D46+D48</f>
        <v>0</v>
      </c>
      <c r="E53" s="759">
        <f t="shared" ca="1" si="6"/>
        <v>51019.214805747048</v>
      </c>
      <c r="F53" s="759">
        <f t="shared" si="6"/>
        <v>3375.7751278954161</v>
      </c>
      <c r="G53" s="759">
        <f t="shared" ca="1" si="6"/>
        <v>23640.661825490799</v>
      </c>
      <c r="H53" s="759">
        <f t="shared" si="6"/>
        <v>34592.566401881748</v>
      </c>
      <c r="I53" s="759">
        <f t="shared" si="6"/>
        <v>5280.0583988197595</v>
      </c>
      <c r="J53" s="759">
        <f t="shared" si="6"/>
        <v>0</v>
      </c>
      <c r="K53" s="759">
        <f t="shared" si="6"/>
        <v>103.22183240407615</v>
      </c>
      <c r="L53" s="759">
        <f t="shared" si="6"/>
        <v>0</v>
      </c>
      <c r="M53" s="759">
        <f t="shared" ca="1" si="6"/>
        <v>0</v>
      </c>
      <c r="N53" s="759">
        <f t="shared" si="6"/>
        <v>0</v>
      </c>
      <c r="O53" s="759">
        <f t="shared" ca="1" si="6"/>
        <v>0</v>
      </c>
      <c r="P53" s="759">
        <f>P41+P46+P48</f>
        <v>0</v>
      </c>
      <c r="Q53" s="760">
        <f t="shared" si="6"/>
        <v>0</v>
      </c>
      <c r="R53" s="761">
        <f ca="1">R41+R46+R48</f>
        <v>146618.01072409825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0.17953639278629965</v>
      </c>
      <c r="D55" s="824">
        <f t="shared" ca="1" si="7"/>
        <v>0</v>
      </c>
      <c r="E55" s="824">
        <f t="shared" ca="1" si="7"/>
        <v>0.20200000000000004</v>
      </c>
      <c r="F55" s="824">
        <f t="shared" si="7"/>
        <v>0.22700000000000004</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23185.947366404973</v>
      </c>
      <c r="C64" s="781">
        <f>'lokale energieproductie'!B4</f>
        <v>23185.947366404973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6708.2725677371782</v>
      </c>
      <c r="C66" s="781">
        <f>'lokale energieproductie'!B6</f>
        <v>6708.2725677371782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29894.219934142151</v>
      </c>
      <c r="C69" s="789">
        <f>SUM(C64:C68)</f>
        <v>29894.219934142151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45922.115669621424</v>
      </c>
      <c r="C4" s="463">
        <f>huishoudens!C8</f>
        <v>0</v>
      </c>
      <c r="D4" s="463">
        <f>huishoudens!D8</f>
        <v>141296.53537951148</v>
      </c>
      <c r="E4" s="463">
        <f>huishoudens!E8</f>
        <v>6048.253022726537</v>
      </c>
      <c r="F4" s="463">
        <f>huishoudens!F8</f>
        <v>7565.8342902217328</v>
      </c>
      <c r="G4" s="463">
        <f>huishoudens!G8</f>
        <v>0</v>
      </c>
      <c r="H4" s="463">
        <f>huishoudens!H8</f>
        <v>0</v>
      </c>
      <c r="I4" s="463">
        <f>huishoudens!I8</f>
        <v>0</v>
      </c>
      <c r="J4" s="463">
        <f>huishoudens!J8</f>
        <v>0</v>
      </c>
      <c r="K4" s="463">
        <f>huishoudens!K8</f>
        <v>0</v>
      </c>
      <c r="L4" s="463">
        <f>huishoudens!L8</f>
        <v>0</v>
      </c>
      <c r="M4" s="463">
        <f>huishoudens!M8</f>
        <v>0</v>
      </c>
      <c r="N4" s="463">
        <f>huishoudens!N8</f>
        <v>32479.63377720035</v>
      </c>
      <c r="O4" s="463">
        <f>huishoudens!O8</f>
        <v>398.65000000000003</v>
      </c>
      <c r="P4" s="464">
        <f>huishoudens!P8</f>
        <v>514.79999999999995</v>
      </c>
      <c r="Q4" s="465">
        <f>SUM(B4:P4)</f>
        <v>234225.82213928152</v>
      </c>
    </row>
    <row r="5" spans="1:17">
      <c r="A5" s="462" t="s">
        <v>156</v>
      </c>
      <c r="B5" s="463">
        <f ca="1">tertiair!B16</f>
        <v>33846.197</v>
      </c>
      <c r="C5" s="463">
        <f ca="1">tertiair!C16</f>
        <v>0</v>
      </c>
      <c r="D5" s="463">
        <f ca="1">tertiair!D16</f>
        <v>41883.503704772105</v>
      </c>
      <c r="E5" s="463">
        <f>tertiair!E16</f>
        <v>428.01731936137713</v>
      </c>
      <c r="F5" s="463">
        <f ca="1">tertiair!F16</f>
        <v>6462.6689986181509</v>
      </c>
      <c r="G5" s="463">
        <f>tertiair!G16</f>
        <v>0</v>
      </c>
      <c r="H5" s="463">
        <f>tertiair!H16</f>
        <v>0</v>
      </c>
      <c r="I5" s="463">
        <f>tertiair!I16</f>
        <v>0</v>
      </c>
      <c r="J5" s="463">
        <f>tertiair!J16</f>
        <v>0</v>
      </c>
      <c r="K5" s="463">
        <f>tertiair!K16</f>
        <v>0</v>
      </c>
      <c r="L5" s="463">
        <f ca="1">tertiair!L16</f>
        <v>0</v>
      </c>
      <c r="M5" s="463">
        <f>tertiair!M16</f>
        <v>0</v>
      </c>
      <c r="N5" s="463">
        <f ca="1">tertiair!N16</f>
        <v>1764.5359958763331</v>
      </c>
      <c r="O5" s="463">
        <f>tertiair!O16</f>
        <v>4.6900000000000004</v>
      </c>
      <c r="P5" s="464">
        <f>tertiair!P16</f>
        <v>57.2</v>
      </c>
      <c r="Q5" s="462">
        <f t="shared" ref="Q5:Q13" ca="1" si="0">SUM(B5:P5)</f>
        <v>84446.81301862796</v>
      </c>
    </row>
    <row r="6" spans="1:17">
      <c r="A6" s="462" t="s">
        <v>194</v>
      </c>
      <c r="B6" s="463">
        <f>'openbare verlichting'!B8</f>
        <v>2357.2570000000001</v>
      </c>
      <c r="C6" s="463"/>
      <c r="D6" s="463"/>
      <c r="E6" s="463"/>
      <c r="F6" s="463"/>
      <c r="G6" s="463"/>
      <c r="H6" s="463"/>
      <c r="I6" s="463"/>
      <c r="J6" s="463"/>
      <c r="K6" s="463"/>
      <c r="L6" s="463"/>
      <c r="M6" s="463"/>
      <c r="N6" s="463"/>
      <c r="O6" s="463"/>
      <c r="P6" s="464"/>
      <c r="Q6" s="462">
        <f t="shared" si="0"/>
        <v>2357.2570000000001</v>
      </c>
    </row>
    <row r="7" spans="1:17">
      <c r="A7" s="462" t="s">
        <v>112</v>
      </c>
      <c r="B7" s="463">
        <f>landbouw!B8</f>
        <v>1917.12</v>
      </c>
      <c r="C7" s="463">
        <f>landbouw!C8</f>
        <v>0</v>
      </c>
      <c r="D7" s="463">
        <f>landbouw!D8</f>
        <v>14257.498652116657</v>
      </c>
      <c r="E7" s="463">
        <f>landbouw!E8</f>
        <v>24.158181752711538</v>
      </c>
      <c r="F7" s="463">
        <f>landbouw!F8</f>
        <v>6614.5442672571462</v>
      </c>
      <c r="G7" s="463">
        <f>landbouw!G8</f>
        <v>0</v>
      </c>
      <c r="H7" s="463">
        <f>landbouw!H8</f>
        <v>0</v>
      </c>
      <c r="I7" s="463">
        <f>landbouw!I8</f>
        <v>0</v>
      </c>
      <c r="J7" s="463">
        <f>landbouw!J8</f>
        <v>288.31305494898834</v>
      </c>
      <c r="K7" s="463">
        <f>landbouw!K8</f>
        <v>0</v>
      </c>
      <c r="L7" s="463">
        <f>landbouw!L8</f>
        <v>0</v>
      </c>
      <c r="M7" s="463">
        <f>landbouw!M8</f>
        <v>0</v>
      </c>
      <c r="N7" s="463">
        <f>landbouw!N8</f>
        <v>0</v>
      </c>
      <c r="O7" s="463">
        <f>landbouw!O8</f>
        <v>0</v>
      </c>
      <c r="P7" s="464">
        <f>landbouw!P8</f>
        <v>0</v>
      </c>
      <c r="Q7" s="462">
        <f t="shared" si="0"/>
        <v>23101.634156075503</v>
      </c>
    </row>
    <row r="8" spans="1:17">
      <c r="A8" s="462" t="s">
        <v>657</v>
      </c>
      <c r="B8" s="463">
        <f>industrie!B18</f>
        <v>75284.99500000001</v>
      </c>
      <c r="C8" s="463">
        <f>industrie!C18</f>
        <v>0</v>
      </c>
      <c r="D8" s="463">
        <f>industrie!D18</f>
        <v>55118.772309317166</v>
      </c>
      <c r="E8" s="463">
        <f>industrie!E18</f>
        <v>7919.640294222073</v>
      </c>
      <c r="F8" s="463">
        <f>industrie!F18</f>
        <v>67898.757033756134</v>
      </c>
      <c r="G8" s="463">
        <f>industrie!G18</f>
        <v>0</v>
      </c>
      <c r="H8" s="463">
        <f>industrie!H18</f>
        <v>0</v>
      </c>
      <c r="I8" s="463">
        <f>industrie!I18</f>
        <v>0</v>
      </c>
      <c r="J8" s="463">
        <f>industrie!J18</f>
        <v>3.2740422376674672</v>
      </c>
      <c r="K8" s="463">
        <f>industrie!K18</f>
        <v>0</v>
      </c>
      <c r="L8" s="463">
        <f>industrie!L18</f>
        <v>0</v>
      </c>
      <c r="M8" s="463">
        <f>industrie!M18</f>
        <v>0</v>
      </c>
      <c r="N8" s="463">
        <f>industrie!N18</f>
        <v>19132.56601297716</v>
      </c>
      <c r="O8" s="463">
        <f>industrie!O18</f>
        <v>0</v>
      </c>
      <c r="P8" s="464">
        <f>industrie!P18</f>
        <v>0</v>
      </c>
      <c r="Q8" s="462">
        <f t="shared" si="0"/>
        <v>225358.00469251018</v>
      </c>
    </row>
    <row r="9" spans="1:17" s="468" customFormat="1">
      <c r="A9" s="466" t="s">
        <v>574</v>
      </c>
      <c r="B9" s="467">
        <f>transport!B14</f>
        <v>7.76753537775057</v>
      </c>
      <c r="C9" s="467">
        <f>transport!C14</f>
        <v>0</v>
      </c>
      <c r="D9" s="467">
        <f>transport!D14</f>
        <v>14.060279762976361</v>
      </c>
      <c r="E9" s="467">
        <f>transport!E14</f>
        <v>451.18725196115884</v>
      </c>
      <c r="F9" s="467">
        <f>transport!F14</f>
        <v>0</v>
      </c>
      <c r="G9" s="467">
        <f>transport!G14</f>
        <v>128905.14961638197</v>
      </c>
      <c r="H9" s="467">
        <f>transport!H14</f>
        <v>21205.053810521124</v>
      </c>
      <c r="I9" s="467">
        <f>transport!I14</f>
        <v>0</v>
      </c>
      <c r="J9" s="467">
        <f>transport!J14</f>
        <v>0</v>
      </c>
      <c r="K9" s="467">
        <f>transport!K14</f>
        <v>0</v>
      </c>
      <c r="L9" s="467">
        <f>transport!L14</f>
        <v>0</v>
      </c>
      <c r="M9" s="467">
        <f>transport!M14</f>
        <v>6722.8856322061629</v>
      </c>
      <c r="N9" s="467">
        <f>transport!N14</f>
        <v>0</v>
      </c>
      <c r="O9" s="467">
        <f>transport!O14</f>
        <v>0</v>
      </c>
      <c r="P9" s="467">
        <f>transport!P14</f>
        <v>0</v>
      </c>
      <c r="Q9" s="466">
        <f>SUM(B9:P9)</f>
        <v>157306.10412621114</v>
      </c>
    </row>
    <row r="10" spans="1:17">
      <c r="A10" s="462" t="s">
        <v>564</v>
      </c>
      <c r="B10" s="463">
        <f>transport!B54</f>
        <v>0</v>
      </c>
      <c r="C10" s="463">
        <f>transport!C54</f>
        <v>0</v>
      </c>
      <c r="D10" s="463">
        <f>transport!D54</f>
        <v>0</v>
      </c>
      <c r="E10" s="463">
        <f>transport!E54</f>
        <v>0</v>
      </c>
      <c r="F10" s="463">
        <f>transport!F54</f>
        <v>0</v>
      </c>
      <c r="G10" s="463">
        <f>transport!G54</f>
        <v>655.02417343732225</v>
      </c>
      <c r="H10" s="463">
        <f>transport!H54</f>
        <v>0</v>
      </c>
      <c r="I10" s="463">
        <f>transport!I54</f>
        <v>0</v>
      </c>
      <c r="J10" s="463">
        <f>transport!J54</f>
        <v>0</v>
      </c>
      <c r="K10" s="463">
        <f>transport!K54</f>
        <v>0</v>
      </c>
      <c r="L10" s="463">
        <f>transport!L54</f>
        <v>0</v>
      </c>
      <c r="M10" s="463">
        <f>transport!M54</f>
        <v>29.130527127111769</v>
      </c>
      <c r="N10" s="463">
        <f>transport!N54</f>
        <v>0</v>
      </c>
      <c r="O10" s="463">
        <f>transport!O54</f>
        <v>0</v>
      </c>
      <c r="P10" s="464">
        <f>transport!P54</f>
        <v>0</v>
      </c>
      <c r="Q10" s="462">
        <f t="shared" si="0"/>
        <v>684.15470056443405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159335.45220499919</v>
      </c>
      <c r="C14" s="473">
        <f t="shared" ref="C14:Q14" ca="1" si="1">SUM(C4:C13)</f>
        <v>0</v>
      </c>
      <c r="D14" s="473">
        <f t="shared" ca="1" si="1"/>
        <v>252570.37032548038</v>
      </c>
      <c r="E14" s="473">
        <f t="shared" si="1"/>
        <v>14871.256070023857</v>
      </c>
      <c r="F14" s="473">
        <f t="shared" ca="1" si="1"/>
        <v>88541.804589853156</v>
      </c>
      <c r="G14" s="473">
        <f t="shared" si="1"/>
        <v>129560.1737898193</v>
      </c>
      <c r="H14" s="473">
        <f t="shared" si="1"/>
        <v>21205.053810521124</v>
      </c>
      <c r="I14" s="473">
        <f t="shared" si="1"/>
        <v>0</v>
      </c>
      <c r="J14" s="473">
        <f t="shared" si="1"/>
        <v>291.5870971866558</v>
      </c>
      <c r="K14" s="473">
        <f t="shared" si="1"/>
        <v>0</v>
      </c>
      <c r="L14" s="473">
        <f t="shared" ca="1" si="1"/>
        <v>0</v>
      </c>
      <c r="M14" s="473">
        <f t="shared" si="1"/>
        <v>6752.016159333275</v>
      </c>
      <c r="N14" s="473">
        <f t="shared" ca="1" si="1"/>
        <v>53376.735786053847</v>
      </c>
      <c r="O14" s="473">
        <f t="shared" si="1"/>
        <v>403.34000000000003</v>
      </c>
      <c r="P14" s="474">
        <f t="shared" si="1"/>
        <v>572</v>
      </c>
      <c r="Q14" s="474">
        <f t="shared" ca="1" si="1"/>
        <v>727479.78983327071</v>
      </c>
    </row>
    <row r="16" spans="1:17">
      <c r="A16" s="476" t="s">
        <v>569</v>
      </c>
      <c r="B16" s="829">
        <f ca="1">huishoudens!B10</f>
        <v>0.17953639278629963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8244.6909964390361</v>
      </c>
      <c r="C21" s="463">
        <f t="shared" ref="C21:C30" ca="1" si="3">C4*$C$16</f>
        <v>0</v>
      </c>
      <c r="D21" s="463">
        <f t="shared" ref="D21:D30" si="4">D4*$D$16</f>
        <v>28541.900146661319</v>
      </c>
      <c r="E21" s="463">
        <f t="shared" ref="E21:E30" si="5">E4*$E$16</f>
        <v>1372.953436158924</v>
      </c>
      <c r="F21" s="463">
        <f t="shared" ref="F21:F30" si="6">F4*$F$16</f>
        <v>2020.0777554892027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40179.622334748485</v>
      </c>
    </row>
    <row r="22" spans="1:17">
      <c r="A22" s="462" t="s">
        <v>156</v>
      </c>
      <c r="B22" s="463">
        <f t="shared" ca="1" si="2"/>
        <v>6076.6241189144757</v>
      </c>
      <c r="C22" s="463">
        <f t="shared" ca="1" si="3"/>
        <v>0</v>
      </c>
      <c r="D22" s="463">
        <f t="shared" ca="1" si="4"/>
        <v>8460.4677483639662</v>
      </c>
      <c r="E22" s="463">
        <f t="shared" si="5"/>
        <v>97.159931495032609</v>
      </c>
      <c r="F22" s="463">
        <f t="shared" ca="1" si="6"/>
        <v>1725.5326226310465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16359.784421404522</v>
      </c>
    </row>
    <row r="23" spans="1:17">
      <c r="A23" s="462" t="s">
        <v>194</v>
      </c>
      <c r="B23" s="463">
        <f t="shared" ca="1" si="2"/>
        <v>423.21341865025431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423.21341865025431</v>
      </c>
    </row>
    <row r="24" spans="1:17">
      <c r="A24" s="462" t="s">
        <v>112</v>
      </c>
      <c r="B24" s="463">
        <f t="shared" ca="1" si="2"/>
        <v>344.19280933847074</v>
      </c>
      <c r="C24" s="463">
        <f t="shared" ca="1" si="3"/>
        <v>0</v>
      </c>
      <c r="D24" s="463">
        <f t="shared" si="4"/>
        <v>2880.0147277275651</v>
      </c>
      <c r="E24" s="463">
        <f t="shared" si="5"/>
        <v>5.4839072578655195</v>
      </c>
      <c r="F24" s="463">
        <f t="shared" si="6"/>
        <v>1766.0833193576582</v>
      </c>
      <c r="G24" s="463">
        <f t="shared" si="7"/>
        <v>0</v>
      </c>
      <c r="H24" s="463">
        <f t="shared" si="8"/>
        <v>0</v>
      </c>
      <c r="I24" s="463">
        <f t="shared" si="9"/>
        <v>0</v>
      </c>
      <c r="J24" s="463">
        <f t="shared" si="10"/>
        <v>102.06282145194187</v>
      </c>
      <c r="K24" s="463">
        <f t="shared" si="11"/>
        <v>0</v>
      </c>
      <c r="L24" s="463">
        <f t="shared" si="12"/>
        <v>0</v>
      </c>
      <c r="M24" s="463">
        <f t="shared" si="13"/>
        <v>0</v>
      </c>
      <c r="N24" s="463">
        <f t="shared" si="14"/>
        <v>0</v>
      </c>
      <c r="O24" s="463">
        <f t="shared" si="15"/>
        <v>0</v>
      </c>
      <c r="P24" s="464">
        <f t="shared" si="16"/>
        <v>0</v>
      </c>
      <c r="Q24" s="462">
        <f t="shared" ca="1" si="17"/>
        <v>5097.8375851335022</v>
      </c>
    </row>
    <row r="25" spans="1:17">
      <c r="A25" s="462" t="s">
        <v>657</v>
      </c>
      <c r="B25" s="463">
        <f t="shared" ca="1" si="2"/>
        <v>13516.396433234606</v>
      </c>
      <c r="C25" s="463">
        <f t="shared" ca="1" si="3"/>
        <v>0</v>
      </c>
      <c r="D25" s="463">
        <f t="shared" si="4"/>
        <v>11133.992006482069</v>
      </c>
      <c r="E25" s="463">
        <f t="shared" si="5"/>
        <v>1797.7583467884106</v>
      </c>
      <c r="F25" s="463">
        <f t="shared" si="6"/>
        <v>18128.96812801289</v>
      </c>
      <c r="G25" s="463">
        <f t="shared" si="7"/>
        <v>0</v>
      </c>
      <c r="H25" s="463">
        <f t="shared" si="8"/>
        <v>0</v>
      </c>
      <c r="I25" s="463">
        <f t="shared" si="9"/>
        <v>0</v>
      </c>
      <c r="J25" s="463">
        <f t="shared" si="10"/>
        <v>1.1590109521342833</v>
      </c>
      <c r="K25" s="463">
        <f t="shared" si="11"/>
        <v>0</v>
      </c>
      <c r="L25" s="463">
        <f t="shared" si="12"/>
        <v>0</v>
      </c>
      <c r="M25" s="463">
        <f t="shared" si="13"/>
        <v>0</v>
      </c>
      <c r="N25" s="463">
        <f t="shared" si="14"/>
        <v>0</v>
      </c>
      <c r="O25" s="463">
        <f t="shared" si="15"/>
        <v>0</v>
      </c>
      <c r="P25" s="464">
        <f t="shared" si="16"/>
        <v>0</v>
      </c>
      <c r="Q25" s="462">
        <f t="shared" ca="1" si="17"/>
        <v>44578.273925470116</v>
      </c>
    </row>
    <row r="26" spans="1:17" s="468" customFormat="1">
      <c r="A26" s="466" t="s">
        <v>574</v>
      </c>
      <c r="B26" s="823">
        <f t="shared" ca="1" si="2"/>
        <v>1.3945552825613046</v>
      </c>
      <c r="C26" s="467">
        <f t="shared" ca="1" si="3"/>
        <v>0</v>
      </c>
      <c r="D26" s="467">
        <f t="shared" si="4"/>
        <v>2.840176512121225</v>
      </c>
      <c r="E26" s="467">
        <f t="shared" si="5"/>
        <v>102.41950619518306</v>
      </c>
      <c r="F26" s="467">
        <f t="shared" si="6"/>
        <v>0</v>
      </c>
      <c r="G26" s="467">
        <f t="shared" si="7"/>
        <v>34417.674947573985</v>
      </c>
      <c r="H26" s="467">
        <f t="shared" si="8"/>
        <v>5280.0583988197595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39804.387584383614</v>
      </c>
    </row>
    <row r="27" spans="1:17">
      <c r="A27" s="462" t="s">
        <v>564</v>
      </c>
      <c r="B27" s="463">
        <f t="shared" ca="1" si="2"/>
        <v>0</v>
      </c>
      <c r="C27" s="463">
        <f t="shared" ca="1" si="3"/>
        <v>0</v>
      </c>
      <c r="D27" s="463">
        <f t="shared" si="4"/>
        <v>0</v>
      </c>
      <c r="E27" s="463">
        <f t="shared" si="5"/>
        <v>0</v>
      </c>
      <c r="F27" s="463">
        <f t="shared" si="6"/>
        <v>0</v>
      </c>
      <c r="G27" s="463">
        <f t="shared" si="7"/>
        <v>174.89145430776506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174.89145430776506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28606.512331859401</v>
      </c>
      <c r="C31" s="473">
        <f t="shared" ca="1" si="18"/>
        <v>0</v>
      </c>
      <c r="D31" s="473">
        <f t="shared" ca="1" si="18"/>
        <v>51019.214805747048</v>
      </c>
      <c r="E31" s="473">
        <f t="shared" si="18"/>
        <v>3375.7751278954156</v>
      </c>
      <c r="F31" s="473">
        <f t="shared" ca="1" si="18"/>
        <v>23640.661825490795</v>
      </c>
      <c r="G31" s="473">
        <f t="shared" si="18"/>
        <v>34592.566401881748</v>
      </c>
      <c r="H31" s="473">
        <f t="shared" si="18"/>
        <v>5280.0583988197595</v>
      </c>
      <c r="I31" s="473">
        <f t="shared" si="18"/>
        <v>0</v>
      </c>
      <c r="J31" s="473">
        <f t="shared" si="18"/>
        <v>103.22183240407615</v>
      </c>
      <c r="K31" s="473">
        <f t="shared" si="18"/>
        <v>0</v>
      </c>
      <c r="L31" s="473">
        <f t="shared" ca="1" si="18"/>
        <v>0</v>
      </c>
      <c r="M31" s="473">
        <f t="shared" si="18"/>
        <v>0</v>
      </c>
      <c r="N31" s="473">
        <f t="shared" ca="1" si="18"/>
        <v>0</v>
      </c>
      <c r="O31" s="473">
        <f t="shared" si="18"/>
        <v>0</v>
      </c>
      <c r="P31" s="474">
        <f t="shared" si="18"/>
        <v>0</v>
      </c>
      <c r="Q31" s="474">
        <f t="shared" ca="1" si="18"/>
        <v>146618.01072409825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0.17953639278629963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0.17953639278629963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0.17953639278629963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2018-06-27T09:31:16Z</dcterms:modified>
</cp:coreProperties>
</file>