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G14" i="22" l="1"/>
  <c r="L7" i="48"/>
  <c r="L24" s="1"/>
  <c r="E7"/>
  <c r="E24" s="1"/>
  <c r="E12" i="17"/>
  <c r="F48" i="1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L31"/>
  <c r="J5"/>
  <c r="J22" s="1"/>
  <c r="J20" i="15"/>
  <c r="K36" i="14"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Q4" i="48"/>
  <c r="N22"/>
  <c r="R11" i="14"/>
  <c r="J21" i="48"/>
  <c r="R10" i="14"/>
  <c r="C29" i="20" l="1"/>
  <c r="C17" i="19"/>
  <c r="C19" s="1"/>
  <c r="D35" i="14" s="1"/>
  <c r="C20" i="16"/>
  <c r="C22" s="1"/>
  <c r="D39" i="14" s="1"/>
  <c r="C10" i="13"/>
  <c r="C16" i="48" s="1"/>
  <c r="C30" s="1"/>
  <c r="C16" i="22"/>
  <c r="C10" i="17"/>
  <c r="C12" s="1"/>
  <c r="D48" i="14" s="1"/>
  <c r="C17" i="49"/>
  <c r="C18" i="15"/>
  <c r="C20" s="1"/>
  <c r="D36" i="14" s="1"/>
  <c r="C56" i="22"/>
  <c r="C58" s="1"/>
  <c r="D44" i="14" s="1"/>
  <c r="D46" s="1"/>
  <c r="K13"/>
  <c r="K15" s="1"/>
  <c r="K23" s="1"/>
  <c r="F8" i="48"/>
  <c r="Q8" s="1"/>
  <c r="Q14" s="1"/>
  <c r="N25"/>
  <c r="N31" s="1"/>
  <c r="N14"/>
  <c r="E25"/>
  <c r="E31" s="1"/>
  <c r="E14"/>
  <c r="H55" i="14"/>
  <c r="E55"/>
  <c r="C78"/>
  <c r="C81" s="1"/>
  <c r="J14" i="48"/>
  <c r="J31"/>
  <c r="R19" i="14"/>
  <c r="R20" s="1"/>
  <c r="H14" i="48"/>
  <c r="G31"/>
  <c r="H26"/>
  <c r="H31" s="1"/>
  <c r="F55" i="14"/>
  <c r="O53"/>
  <c r="G53"/>
  <c r="G55" s="1"/>
  <c r="O69" s="1"/>
  <c r="B9" i="6" s="1"/>
  <c r="B12" s="1"/>
  <c r="M53" i="14"/>
  <c r="M55" s="1"/>
  <c r="C24" i="48"/>
  <c r="C27"/>
  <c r="C28"/>
  <c r="C22"/>
  <c r="K55" i="14"/>
  <c r="R13"/>
  <c r="R15" s="1"/>
  <c r="F25" i="48"/>
  <c r="F31" s="1"/>
  <c r="C25" l="1"/>
  <c r="C31" s="1"/>
  <c r="F14"/>
  <c r="C29"/>
  <c r="C21"/>
  <c r="C12" i="13"/>
  <c r="D37" i="14" s="1"/>
  <c r="D41" s="1"/>
  <c r="C26" i="48"/>
  <c r="C23"/>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<sst xmlns="http://schemas.openxmlformats.org/spreadsheetml/2006/main" count="1979" uniqueCount="849">
  <si>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</si>
  <si>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</si>
  <si>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</si>
  <si>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</si>
  <si>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</si>
  <si>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</si>
  <si>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</si>
  <si>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</si>
  <si>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</si>
  <si>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</si>
  <si>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</si>
  <si>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</si>
  <si>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</si>
  <si>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</si>
  <si>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</si>
  <si>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</si>
  <si>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</si>
  <si>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</si>
  <si>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</si>
  <si>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</si>
  <si>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</si>
  <si>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</si>
  <si>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</si>
  <si>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</si>
  <si>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</si>
  <si>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</si>
  <si>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</si>
  <si>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</si>
  <si>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</si>
  <si>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</si>
  <si>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</si>
  <si>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</si>
  <si>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</si>
  <si>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</si>
  <si>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</si>
  <si>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</si>
  <si>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</si>
  <si>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</si>
  <si>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</si>
  <si>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</si>
  <si>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</si>
  <si>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</si>
  <si>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</si>
  <si>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</si>
  <si>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</si>
  <si>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</si>
  <si>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</si>
  <si>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</si>
  <si>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</si>
  <si>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</si>
  <si>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</si>
  <si>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</si>
  <si>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</si>
  <si>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</si>
  <si>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</si>
  <si>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</si>
  <si>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</si>
  <si>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</si>
  <si>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</si>
  <si>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</si>
  <si>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</si>
  <si>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</si>
  <si>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</si>
  <si>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</si>
  <si>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</si>
  <si>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</si>
  <si>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</si>
  <si>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</si>
  <si>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</si>
  <si>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</si>
  <si>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</si>
  <si>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</si>
  <si>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</si>
  <si>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</si>
  <si>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</si>
  <si>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</si>
  <si>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</si>
  <si>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</si>
  <si>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</si>
  <si>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</si>
  <si>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</si>
  <si>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</si>
  <si>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</si>
  <si>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</si>
  <si>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</si>
  <si>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</si>
  <si>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</si>
  <si>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</si>
  <si>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</si>
  <si>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</si>
  <si>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</si>
  <si>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</si>
  <si>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</si>
  <si>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</si>
  <si>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</si>
  <si>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</si>
  <si>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</si>
  <si>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</si>
  <si>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</si>
  <si>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</si>
  <si>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</si>
  <si>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</si>
  <si>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</si>
  <si>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</si>
  <si>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</si>
  <si>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</si>
  <si>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</si>
  <si>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</si>
  <si>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</si>
  <si>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</si>
  <si>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</si>
  <si>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</si>
  <si>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</si>
  <si>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</si>
  <si>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</si>
  <si>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</si>
  <si>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</si>
  <si>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</si>
  <si>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</si>
  <si>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</si>
  <si>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</si>
  <si>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</si>
  <si>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</si>
  <si>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</si>
  <si>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</si>
  <si>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</si>
  <si>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</si>
  <si>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</si>
  <si>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</si>
  <si>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</si>
  <si>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</si>
  <si>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</si>
  <si>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</si>
  <si>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</si>
  <si>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</si>
  <si>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</si>
  <si>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</si>
  <si>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</si>
  <si>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</si>
  <si>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</si>
  <si>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</si>
  <si>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</si>
  <si>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</si>
  <si>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</si>
  <si>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</si>
  <si>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</si>
  <si>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</si>
  <si>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</si>
  <si>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</si>
  <si>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</si>
  <si>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</si>
  <si>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</si>
  <si>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</si>
  <si>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</si>
  <si>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</si>
  <si>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</si>
  <si>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</si>
  <si>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</si>
  <si>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</si>
  <si>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</si>
  <si>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</si>
  <si>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</si>
  <si>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</si>
  <si>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</si>
  <si>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</si>
  <si>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</si>
  <si>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</si>
  <si>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</si>
  <si>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</si>
  <si>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</si>
  <si>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</si>
  <si>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</si>
  <si>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</si>
  <si>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</si>
  <si>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</si>
  <si>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</si>
  <si>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</si>
  <si>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</si>
  <si>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</si>
  <si>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</si>
  <si>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</si>
  <si>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</si>
  <si>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</si>
  <si>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</si>
  <si>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</si>
  <si>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</si>
  <si>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</si>
  <si>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</si>
  <si>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</si>
  <si>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</si>
  <si>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</si>
  <si>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</si>
  <si>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</si>
  <si>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</si>
  <si>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</si>
  <si>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</si>
  <si>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</si>
  <si>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</si>
  <si>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</si>
  <si>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</si>
  <si>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</si>
  <si>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</si>
  <si>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</si>
  <si>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</si>
  <si>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</si>
  <si>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</si>
  <si>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</si>
  <si>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</si>
  <si>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</si>
  <si>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</si>
  <si>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</si>
  <si>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</si>
  <si>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</si>
  <si>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</si>
  <si>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</si>
  <si>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</si>
  <si>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</si>
  <si>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</si>
  <si>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</si>
  <si>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</si>
  <si>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</si>
  <si>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</si>
  <si>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</si>
  <si>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</si>
  <si>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</si>
  <si>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</si>
  <si>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</si>
  <si>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</si>
  <si>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</si>
  <si>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</si>
  <si>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</si>
  <si>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</si>
  <si>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</si>
  <si>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</si>
  <si>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</si>
  <si>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</si>
  <si>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</si>
  <si>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</si>
  <si>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</si>
  <si>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</si>
  <si>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</si>
  <si>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</si>
  <si>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</si>
  <si>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</si>
  <si>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</si>
  <si>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</si>
  <si>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</si>
  <si>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</si>
  <si>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</si>
  <si>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</si>
  <si>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</si>
  <si>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</si>
  <si>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</si>
  <si>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</si>
  <si>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</si>
  <si>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</si>
  <si>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</si>
  <si>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</si>
  <si>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</si>
  <si>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</si>
  <si>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</si>
  <si>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</si>
  <si>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</si>
  <si>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</si>
  <si>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</si>
  <si>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</si>
  <si>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</si>
  <si>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</si>
  <si>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</si>
  <si>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</si>
  <si>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</si>
  <si>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</si>
  <si>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</si>
  <si>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</si>
  <si>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</si>
  <si>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</si>
  <si>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</si>
  <si>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</si>
  <si>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</si>
  <si>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</si>
  <si>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</si>
  <si>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</si>
  <si>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</si>
  <si>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</si>
  <si>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</si>
  <si>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</si>
  <si>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</si>
  <si>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</si>
  <si>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</si>
  <si>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</si>
  <si>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</si>
  <si>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</si>
  <si>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</si>
  <si>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</si>
  <si>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</si>
  <si>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</si>
  <si>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</si>
  <si>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</si>
  <si>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</si>
  <si>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</si>
  <si>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</si>
  <si>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</si>
  <si>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</si>
  <si>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</si>
  <si>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</si>
  <si>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</si>
  <si>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</si>
  <si>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</si>
  <si>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</si>
  <si>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</si>
  <si>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</si>
  <si>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</si>
  <si>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</si>
  <si>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</si>
  <si>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</si>
  <si>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</si>
  <si>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</si>
  <si>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</si>
  <si>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</si>
  <si>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</si>
  <si>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</si>
  <si>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</si>
  <si>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</si>
  <si>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</si>
  <si>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</si>
  <si>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</si>
  <si>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</si>
  <si>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</si>
  <si>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</si>
  <si>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</si>
  <si>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</si>
  <si>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</si>
  <si>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</si>
  <si>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</si>
  <si>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</si>
  <si>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</si>
  <si>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</si>
  <si>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</si>
  <si>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</si>
  <si>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</si>
  <si>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</si>
  <si>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</si>
  <si>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</si>
  <si>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</si>
  <si>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</si>
  <si>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</si>
  <si>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</si>
  <si>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</si>
  <si>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</si>
  <si>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</si>
  <si>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</si>
  <si>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</si>
  <si>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</si>
  <si>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</si>
  <si>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</si>
  <si>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</si>
  <si>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</si>
  <si>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</si>
  <si>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</si>
  <si>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</si>
  <si>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</si>
  <si>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</si>
  <si>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</si>
  <si>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</si>
  <si>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</si>
  <si>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</si>
  <si>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</si>
  <si>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</si>
  <si>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</si>
  <si>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</si>
  <si>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</si>
  <si>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</si>
  <si>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</si>
  <si>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</si>
  <si>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</si>
  <si>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</si>
  <si>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</si>
  <si>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</si>
  <si>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</si>
  <si>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</si>
  <si>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</si>
  <si>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</si>
  <si>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</si>
  <si>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</si>
  <si>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</si>
  <si>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</si>
  <si>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</si>
  <si>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</si>
  <si>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</si>
  <si>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</si>
  <si>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</si>
  <si>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</si>
  <si>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</si>
  <si>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</si>
  <si>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</si>
  <si>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</si>
  <si>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</si>
  <si>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</si>
  <si>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</si>
  <si>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</si>
  <si>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</si>
  <si>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</si>
  <si>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</si>
  <si>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</si>
  <si>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</si>
  <si>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</si>
  <si>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</si>
  <si>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</si>
  <si>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</si>
  <si>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</si>
  <si>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</si>
  <si>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</si>
  <si>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</si>
  <si>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</si>
  <si>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</si>
  <si>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</si>
  <si>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</si>
  <si>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</si>
  <si>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</si>
  <si>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</si>
  <si>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</si>
  <si>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</si>
  <si>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</si>
  <si>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</si>
  <si>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</si>
  <si>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</si>
  <si>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</si>
  <si>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</si>
  <si>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</si>
  <si>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</si>
  <si>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</si>
  <si>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</si>
  <si>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</si>
  <si>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</si>
  <si>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</si>
  <si>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</si>
  <si>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</si>
  <si>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</si>
  <si>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</si>
  <si>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</si>
  <si>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</si>
  <si>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</si>
  <si>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</si>
  <si>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</si>
  <si>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</si>
  <si>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</si>
  <si>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</si>
  <si>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</si>
  <si>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</si>
  <si>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</si>
  <si>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</si>
  <si>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</si>
  <si>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</si>
  <si>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</si>
  <si>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</si>
  <si>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</si>
  <si>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</si>
  <si>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</si>
  <si>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</si>
  <si>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</si>
  <si>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</si>
  <si>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</si>
  <si>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</si>
  <si>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</si>
  <si>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</si>
  <si>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</si>
  <si>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</si>
  <si>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</si>
  <si>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</si>
  <si>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</si>
  <si>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</si>
  <si>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</si>
  <si>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</si>
  <si>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</si>
  <si>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</si>
  <si>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</si>
  <si>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</si>
  <si>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</si>
  <si>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</si>
  <si>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</si>
  <si>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</si>
  <si>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</si>
  <si>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</si>
  <si>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</si>
  <si>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</si>
  <si>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</si>
  <si>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</si>
  <si>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</si>
  <si>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</si>
  <si>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</si>
  <si>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</si>
  <si>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</si>
  <si>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</si>
  <si>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</si>
  <si>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</si>
  <si>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</si>
  <si>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</si>
  <si>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</si>
  <si>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</si>
  <si>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</si>
  <si>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</si>
  <si>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</si>
  <si>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</si>
  <si>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</si>
  <si>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</si>
  <si>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</si>
  <si>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</si>
  <si>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</si>
  <si>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</si>
  <si>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</si>
  <si>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</si>
  <si>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</si>
  <si>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</si>
  <si>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</si>
  <si>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</si>
  <si>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</si>
  <si>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</si>
  <si>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</si>
  <si>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</si>
  <si>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</si>
  <si>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</si>
  <si>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</si>
  <si>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</si>
  <si>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</si>
  <si>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</si>
  <si>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</si>
  <si>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</si>
  <si>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</si>
  <si>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</si>
  <si>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</si>
  <si>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</si>
  <si>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</si>
  <si>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</si>
  <si>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</si>
  <si>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</si>
  <si>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</si>
  <si>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</si>
  <si>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</si>
  <si>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</si>
  <si>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</si>
  <si>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</si>
  <si>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</si>
  <si>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</si>
  <si>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</si>
  <si>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</si>
  <si>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</si>
  <si>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</si>
  <si>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</si>
  <si>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</si>
  <si>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</si>
  <si>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</si>
  <si>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</si>
  <si>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</si>
  <si>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</si>
  <si>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</si>
  <si>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</si>
  <si>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</si>
  <si>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</si>
  <si>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</si>
  <si>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</si>
  <si>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</si>
  <si>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</si>
  <si>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</si>
  <si>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</si>
  <si>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</si>
  <si>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</si>
  <si>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</si>
  <si>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</si>
  <si>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</si>
  <si>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</si>
  <si>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</si>
  <si>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</si>
  <si>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</si>
  <si>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</si>
  <si>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</si>
  <si>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</si>
  <si>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</si>
  <si>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</si>
  <si>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</si>
  <si>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</si>
  <si>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</si>
  <si>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</si>
  <si>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</si>
  <si>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</si>
  <si>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</si>
  <si>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</si>
  <si>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</si>
  <si>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</si>
  <si>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</si>
  <si>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</si>
  <si>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</si>
  <si>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</si>
  <si>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</si>
  <si>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</si>
  <si>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</si>
  <si>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</si>
  <si>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</si>
  <si>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</si>
  <si>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</si>
  <si>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</si>
  <si>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</si>
  <si>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</si>
  <si>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</si>
  <si>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</si>
  <si>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</si>
  <si>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</si>
  <si>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</si>
  <si>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</si>
  <si>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</si>
  <si>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</si>
  <si>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</si>
  <si>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</si>
  <si>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</si>
  <si>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</si>
  <si>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</si>
  <si>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</si>
  <si>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</si>
  <si>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</si>
  <si>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</si>
  <si>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</si>
  <si>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</si>
  <si>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</si>
  <si>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</si>
  <si>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</si>
  <si>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</si>
  <si>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</si>
  <si>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</si>
  <si>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</si>
  <si>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</si>
  <si>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</si>
  <si>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</si>
  <si>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</si>
  <si>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</si>
  <si>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</si>
  <si>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</si>
  <si>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</si>
  <si>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</si>
  <si>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</si>
  <si>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</si>
  <si>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</si>
  <si>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</si>
  <si>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</si>
  <si>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</si>
  <si>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</si>
  <si>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</si>
  <si>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</si>
  <si>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</si>
  <si>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</si>
  <si>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</si>
  <si>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</si>
  <si>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</si>
  <si>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</si>
  <si>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</si>
  <si>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</si>
  <si>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</si>
  <si>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</si>
  <si>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</si>
  <si>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</si>
  <si>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</si>
  <si>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</si>
  <si>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</si>
  <si>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</si>
  <si>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</si>
  <si>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</si>
  <si>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</si>
  <si>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</si>
  <si>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</si>
  <si>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</si>
  <si>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</si>
  <si>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</si>
  <si>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</si>
  <si>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</si>
  <si>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</si>
  <si>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</si>
  <si>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</si>
  <si>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</si>
  <si>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</si>
  <si>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</si>
  <si>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</si>
  <si>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</si>
  <si>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</si>
  <si>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</si>
  <si>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</si>
  <si>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</si>
  <si>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</si>
  <si>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</si>
  <si>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</si>
  <si>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</si>
  <si>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</si>
  <si>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</si>
  <si>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</si>
  <si>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</si>
  <si>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</si>
  <si>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</si>
  <si>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</si>
  <si>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</si>
  <si>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</si>
  <si>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</si>
  <si>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</si>
  <si>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</si>
  <si>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</si>
  <si>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</si>
  <si>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</si>
  <si>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</si>
  <si>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</si>
  <si>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</si>
  <si>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</si>
  <si>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</si>
  <si>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</si>
  <si>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</si>
  <si>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</si>
  <si>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</si>
  <si>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</si>
  <si>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</si>
  <si>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</si>
  <si>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</si>
  <si>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</si>
  <si>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</si>
  <si>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</si>
  <si>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</si>
  <si>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</si>
  <si>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</si>
  <si>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</si>
  <si>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</si>
  <si>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</si>
  <si>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</si>
  <si>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</si>
  <si>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</si>
  <si>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</si>
  <si>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</si>
  <si>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</si>
  <si>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</si>
  <si>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</si>
  <si>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</si>
  <si>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</si>
  <si>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</si>
  <si>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</si>
  <si>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</si>
  <si>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</si>
  <si>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</si>
  <si>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</si>
  <si>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</si>
  <si>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</si>
  <si>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</si>
  <si>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</si>
  <si>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</si>
  <si>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</si>
  <si>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</si>
  <si>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</si>
  <si>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</si>
  <si>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</si>
  <si>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</si>
  <si>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</si>
  <si>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</si>
  <si>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</si>
  <si>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</si>
  <si>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</si>
  <si>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</si>
  <si>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</si>
  <si>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</si>
  <si>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</si>
  <si>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</si>
  <si>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</si>
  <si>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</si>
  <si>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</si>
  <si>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</si>
  <si>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</si>
  <si>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</si>
  <si>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</si>
  <si>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</si>
  <si>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</si>
  <si>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</si>
  <si>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</si>
  <si>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</si>
  <si>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</si>
  <si>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</si>
  <si>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</si>
  <si>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</si>
  <si>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</si>
  <si>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</si>
  <si>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</si>
  <si>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</si>
  <si>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</si>
  <si>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</si>
  <si>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</si>
  <si>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</si>
  <si>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</si>
  <si>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</si>
  <si>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</si>
  <si>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</si>
  <si>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</si>
  <si>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</si>
  <si>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</si>
  <si>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</si>
  <si>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</si>
  <si>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</si>
  <si>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</si>
  <si>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</si>
  <si>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</si>
  <si>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</si>
  <si>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</si>
  <si>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</si>
  <si>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</si>
  <si>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</si>
  <si>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</si>
  <si>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</si>
  <si>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</si>
  <si>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</si>
  <si>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</si>
  <si>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</si>
  <si>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</si>
  <si>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</si>
  <si>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</si>
  <si>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</si>
  <si>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</si>
  <si>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</si>
  <si>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</si>
  <si>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</si>
  <si>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</si>
  <si>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</si>
  <si>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</si>
  <si>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</si>
  <si>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</si>
  <si>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</si>
  <si>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</si>
  <si>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</si>
  <si>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</si>
  <si>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</si>
  <si>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</si>
  <si>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</si>
  <si>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</si>
  <si>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</si>
  <si>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</si>
  <si>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36006</t>
  </si>
  <si>
    <t>HOOGLEDE</t>
  </si>
  <si>
    <t>Cultuurgrond (ha)</t>
  </si>
  <si>
    <t>Paarden&amp;pony's 200 - 600 kg</t>
  </si>
  <si>
    <t>Paarden&amp;pony's &lt; 200 kg</t>
  </si>
  <si>
    <t>op basis van VEA (maart 2018) en Inventaris Hernieuwbare Energiebronnen (juni 2018)</t>
  </si>
  <si>
    <t>VEA (juni 2018)</t>
  </si>
  <si>
    <t>Domein De Vossenberg nv</t>
  </si>
  <si>
    <t>Hogestraat 194 , 8830 Hooglede</t>
  </si>
  <si>
    <t>WKK-0336 Domein De Vossenberg</t>
  </si>
  <si>
    <t>interne verbrandingsmotor</t>
  </si>
  <si>
    <t>WKK interne verbrandinsgmotor (gas)</t>
  </si>
  <si>
    <t>Infrax West</t>
  </si>
  <si>
    <t>Senergho bvba</t>
  </si>
  <si>
    <t>Driewegenstraat 21, 8830 Hooglede</t>
  </si>
  <si>
    <t>WKK-0045 Senergho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</si>
</sst>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93480.365182167749</c:v>
                </c:pt>
                <c:pt idx="1">
                  <c:v>43925.172139663162</c:v>
                </c:pt>
                <c:pt idx="2">
                  <c:v>1004.783</c:v>
                </c:pt>
                <c:pt idx="3">
                  <c:v>21330.455389770879</c:v>
                </c:pt>
                <c:pt idx="4">
                  <c:v>134498.96810885539</c:v>
                </c:pt>
                <c:pt idx="5">
                  <c:v>57558.613072555083</c:v>
                </c:pt>
                <c:pt idx="6">
                  <c:v>548.31427430145231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93480.365182167749</c:v>
                </c:pt>
                <c:pt idx="1">
                  <c:v>43925.172139663162</c:v>
                </c:pt>
                <c:pt idx="2">
                  <c:v>1004.783</c:v>
                </c:pt>
                <c:pt idx="3">
                  <c:v>21330.455389770879</c:v>
                </c:pt>
                <c:pt idx="4">
                  <c:v>134498.96810885539</c:v>
                </c:pt>
                <c:pt idx="5">
                  <c:v>57558.613072555083</c:v>
                </c:pt>
                <c:pt idx="6">
                  <c:v>548.31427430145231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16523.976417723152</c:v>
                </c:pt>
                <c:pt idx="1">
                  <c:v>7473.4867277606772</c:v>
                </c:pt>
                <c:pt idx="2">
                  <c:v>193.30914655589075</c:v>
                </c:pt>
                <c:pt idx="3">
                  <c:v>5183.9230459701157</c:v>
                </c:pt>
                <c:pt idx="4">
                  <c:v>24147.875103709855</c:v>
                </c:pt>
                <c:pt idx="5">
                  <c:v>14564.503715677569</c:v>
                </c:pt>
                <c:pt idx="6">
                  <c:v>140.16636993237515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16523.976417723152</c:v>
                </c:pt>
                <c:pt idx="1">
                  <c:v>7473.4867277606772</c:v>
                </c:pt>
                <c:pt idx="2">
                  <c:v>193.30914655589075</c:v>
                </c:pt>
                <c:pt idx="3">
                  <c:v>5183.9230459701157</c:v>
                </c:pt>
                <c:pt idx="4">
                  <c:v>24147.875103709855</c:v>
                </c:pt>
                <c:pt idx="5">
                  <c:v>14564.503715677569</c:v>
                </c:pt>
                <c:pt idx="6">
                  <c:v>140.16636993237515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36006</v>
      </c>
      <c r="B6" s="398"/>
      <c r="C6" s="399"/>
    </row>
    <row r="7" spans="1:7" s="396" customFormat="1" ht="15.75" customHeight="1">
      <c r="A7" s="400" t="str">
        <f>txtMunicipality</f>
        <v>HOOGLEDE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19608.884999999998</v>
      </c>
      <c r="D10" s="704">
        <f ca="1">tertiair!C16</f>
        <v>6955.7142857142853</v>
      </c>
      <c r="E10" s="704">
        <f ca="1">tertiair!D16</f>
        <v>15481.138122571429</v>
      </c>
      <c r="F10" s="704">
        <f>tertiair!E16</f>
        <v>126.45300663205903</v>
      </c>
      <c r="G10" s="704">
        <f ca="1">tertiair!F16</f>
        <v>2662.4313914120503</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0</v>
      </c>
      <c r="Q10" s="705">
        <f>tertiair!P16</f>
        <v>95.333333333333343</v>
      </c>
      <c r="R10" s="707">
        <f ca="1">SUM(C10:Q10)</f>
        <v>44929.955139663158</v>
      </c>
      <c r="S10" s="67"/>
    </row>
    <row r="11" spans="1:19" s="459" customFormat="1">
      <c r="A11" s="858" t="s">
        <v>225</v>
      </c>
      <c r="B11" s="863"/>
      <c r="C11" s="704">
        <f>huishoudens!B8</f>
        <v>19748.163517563036</v>
      </c>
      <c r="D11" s="704">
        <f>huishoudens!C8</f>
        <v>0</v>
      </c>
      <c r="E11" s="704">
        <f>huishoudens!D8</f>
        <v>40883.774184000002</v>
      </c>
      <c r="F11" s="704">
        <f>huishoudens!E8</f>
        <v>5117.5869659449527</v>
      </c>
      <c r="G11" s="704">
        <f>huishoudens!F8</f>
        <v>11594.034164661318</v>
      </c>
      <c r="H11" s="704">
        <f>huishoudens!G8</f>
        <v>0</v>
      </c>
      <c r="I11" s="704">
        <f>huishoudens!H8</f>
        <v>0</v>
      </c>
      <c r="J11" s="704">
        <f>huishoudens!I8</f>
        <v>0</v>
      </c>
      <c r="K11" s="704">
        <f>huishoudens!J8</f>
        <v>589.90458096031648</v>
      </c>
      <c r="L11" s="704">
        <f>huishoudens!K8</f>
        <v>0</v>
      </c>
      <c r="M11" s="704">
        <f>huishoudens!L8</f>
        <v>0</v>
      </c>
      <c r="N11" s="704">
        <f>huishoudens!M8</f>
        <v>0</v>
      </c>
      <c r="O11" s="704">
        <f>huishoudens!N8</f>
        <v>15115.818435704794</v>
      </c>
      <c r="P11" s="704">
        <f>huishoudens!O8</f>
        <v>164.15</v>
      </c>
      <c r="Q11" s="705">
        <f>huishoudens!P8</f>
        <v>266.93333333333334</v>
      </c>
      <c r="R11" s="707">
        <f>SUM(C11:Q11)</f>
        <v>93480.365182167749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52060.857000000004</v>
      </c>
      <c r="D13" s="704">
        <f>industrie!C18</f>
        <v>0</v>
      </c>
      <c r="E13" s="704">
        <f>industrie!D18</f>
        <v>32796.143622000003</v>
      </c>
      <c r="F13" s="704">
        <f>industrie!E18</f>
        <v>6979.6181869534348</v>
      </c>
      <c r="G13" s="704">
        <f>industrie!F18</f>
        <v>22182.168959532013</v>
      </c>
      <c r="H13" s="704">
        <f>industrie!G18</f>
        <v>0</v>
      </c>
      <c r="I13" s="704">
        <f>industrie!H18</f>
        <v>0</v>
      </c>
      <c r="J13" s="704">
        <f>industrie!I18</f>
        <v>0</v>
      </c>
      <c r="K13" s="704">
        <f>industrie!J18</f>
        <v>0.30515910453018441</v>
      </c>
      <c r="L13" s="704">
        <f>industrie!K18</f>
        <v>0</v>
      </c>
      <c r="M13" s="704">
        <f>industrie!L18</f>
        <v>0</v>
      </c>
      <c r="N13" s="704">
        <f>industrie!M18</f>
        <v>0</v>
      </c>
      <c r="O13" s="704">
        <f>industrie!N18</f>
        <v>20479.875181265401</v>
      </c>
      <c r="P13" s="704">
        <f>industrie!O18</f>
        <v>0</v>
      </c>
      <c r="Q13" s="705">
        <f>industrie!P18</f>
        <v>0</v>
      </c>
      <c r="R13" s="707">
        <f>SUM(C13:Q13)</f>
        <v>134498.96810885539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91417.905517563035</v>
      </c>
      <c r="D15" s="709">
        <f t="shared" ref="D15:Q15" ca="1" si="0">SUM(D9:D14)</f>
        <v>6955.7142857142853</v>
      </c>
      <c r="E15" s="709">
        <f t="shared" ca="1" si="0"/>
        <v>89161.055928571441</v>
      </c>
      <c r="F15" s="709">
        <f t="shared" si="0"/>
        <v>12223.658159530447</v>
      </c>
      <c r="G15" s="709">
        <f t="shared" ca="1" si="0"/>
        <v>36438.634515605379</v>
      </c>
      <c r="H15" s="709">
        <f t="shared" si="0"/>
        <v>0</v>
      </c>
      <c r="I15" s="709">
        <f t="shared" si="0"/>
        <v>0</v>
      </c>
      <c r="J15" s="709">
        <f t="shared" si="0"/>
        <v>0</v>
      </c>
      <c r="K15" s="709">
        <f t="shared" si="0"/>
        <v>590.20974006484664</v>
      </c>
      <c r="L15" s="709">
        <f t="shared" si="0"/>
        <v>0</v>
      </c>
      <c r="M15" s="709">
        <f t="shared" ca="1" si="0"/>
        <v>0</v>
      </c>
      <c r="N15" s="709">
        <f t="shared" si="0"/>
        <v>0</v>
      </c>
      <c r="O15" s="709">
        <f t="shared" ca="1" si="0"/>
        <v>35595.693616970195</v>
      </c>
      <c r="P15" s="709">
        <f t="shared" si="0"/>
        <v>164.15</v>
      </c>
      <c r="Q15" s="710">
        <f t="shared" si="0"/>
        <v>362.26666666666665</v>
      </c>
      <c r="R15" s="711">
        <f ca="1">SUM(R9:R14)</f>
        <v>272909.28843068634</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524.96767764934509</v>
      </c>
      <c r="I18" s="704">
        <f>transport!H54</f>
        <v>0</v>
      </c>
      <c r="J18" s="704">
        <f>transport!I54</f>
        <v>0</v>
      </c>
      <c r="K18" s="704">
        <f>transport!J54</f>
        <v>0</v>
      </c>
      <c r="L18" s="704">
        <f>transport!K54</f>
        <v>0</v>
      </c>
      <c r="M18" s="704">
        <f>transport!L54</f>
        <v>0</v>
      </c>
      <c r="N18" s="704">
        <f>transport!M54</f>
        <v>23.346596652107259</v>
      </c>
      <c r="O18" s="704">
        <f>transport!N54</f>
        <v>0</v>
      </c>
      <c r="P18" s="704">
        <f>transport!O54</f>
        <v>0</v>
      </c>
      <c r="Q18" s="705">
        <f>transport!P54</f>
        <v>0</v>
      </c>
      <c r="R18" s="707">
        <f>SUM(C18:Q18)</f>
        <v>548.31427430145231</v>
      </c>
      <c r="S18" s="67"/>
    </row>
    <row r="19" spans="1:19" s="459" customFormat="1" ht="15" thickBot="1">
      <c r="A19" s="858" t="s">
        <v>307</v>
      </c>
      <c r="B19" s="863"/>
      <c r="C19" s="713">
        <f>transport!B14</f>
        <v>3.0114033624375751</v>
      </c>
      <c r="D19" s="713">
        <f>transport!C14</f>
        <v>0</v>
      </c>
      <c r="E19" s="713">
        <f>transport!D14</f>
        <v>5.1939920469191003</v>
      </c>
      <c r="F19" s="713">
        <f>transport!E14</f>
        <v>157.87502511441124</v>
      </c>
      <c r="G19" s="713">
        <f>transport!F14</f>
        <v>0</v>
      </c>
      <c r="H19" s="713">
        <f>transport!G14</f>
        <v>47160.237627480834</v>
      </c>
      <c r="I19" s="713">
        <f>transport!H14</f>
        <v>7772.1047843943279</v>
      </c>
      <c r="J19" s="713">
        <f>transport!I14</f>
        <v>0</v>
      </c>
      <c r="K19" s="713">
        <f>transport!J14</f>
        <v>0</v>
      </c>
      <c r="L19" s="713">
        <f>transport!K14</f>
        <v>0</v>
      </c>
      <c r="M19" s="713">
        <f>transport!L14</f>
        <v>0</v>
      </c>
      <c r="N19" s="713">
        <f>transport!M14</f>
        <v>2460.1902401561547</v>
      </c>
      <c r="O19" s="713">
        <f>transport!N14</f>
        <v>0</v>
      </c>
      <c r="P19" s="713">
        <f>transport!O14</f>
        <v>0</v>
      </c>
      <c r="Q19" s="714">
        <f>transport!P14</f>
        <v>0</v>
      </c>
      <c r="R19" s="715">
        <f>SUM(C19:Q19)</f>
        <v>57558.613072555083</v>
      </c>
      <c r="S19" s="67"/>
    </row>
    <row r="20" spans="1:19" s="459" customFormat="1" ht="15.75" thickBot="1">
      <c r="A20" s="716" t="s">
        <v>230</v>
      </c>
      <c r="B20" s="866"/>
      <c r="C20" s="861">
        <f>SUM(C17:C19)</f>
        <v>3.0114033624375751</v>
      </c>
      <c r="D20" s="717">
        <f t="shared" ref="D20:R20" si="1">SUM(D17:D19)</f>
        <v>0</v>
      </c>
      <c r="E20" s="717">
        <f t="shared" si="1"/>
        <v>5.1939920469191003</v>
      </c>
      <c r="F20" s="717">
        <f t="shared" si="1"/>
        <v>157.87502511441124</v>
      </c>
      <c r="G20" s="717">
        <f t="shared" si="1"/>
        <v>0</v>
      </c>
      <c r="H20" s="717">
        <f t="shared" si="1"/>
        <v>47685.205305130177</v>
      </c>
      <c r="I20" s="717">
        <f t="shared" si="1"/>
        <v>7772.1047843943279</v>
      </c>
      <c r="J20" s="717">
        <f t="shared" si="1"/>
        <v>0</v>
      </c>
      <c r="K20" s="717">
        <f t="shared" si="1"/>
        <v>0</v>
      </c>
      <c r="L20" s="717">
        <f t="shared" si="1"/>
        <v>0</v>
      </c>
      <c r="M20" s="717">
        <f t="shared" si="1"/>
        <v>0</v>
      </c>
      <c r="N20" s="717">
        <f t="shared" si="1"/>
        <v>2483.5368368082618</v>
      </c>
      <c r="O20" s="717">
        <f t="shared" si="1"/>
        <v>0</v>
      </c>
      <c r="P20" s="717">
        <f t="shared" si="1"/>
        <v>0</v>
      </c>
      <c r="Q20" s="718">
        <f t="shared" si="1"/>
        <v>0</v>
      </c>
      <c r="R20" s="719">
        <f t="shared" si="1"/>
        <v>58106.927346856537</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3679.828</v>
      </c>
      <c r="D22" s="713">
        <f>+landbouw!C8</f>
        <v>0</v>
      </c>
      <c r="E22" s="713">
        <f>+landbouw!D8</f>
        <v>4354.5240640000002</v>
      </c>
      <c r="F22" s="713">
        <f>+landbouw!E8</f>
        <v>46.370573382321929</v>
      </c>
      <c r="G22" s="713">
        <f>+landbouw!F8</f>
        <v>12696.328451996917</v>
      </c>
      <c r="H22" s="713">
        <f>+landbouw!G8</f>
        <v>0</v>
      </c>
      <c r="I22" s="713">
        <f>+landbouw!H8</f>
        <v>0</v>
      </c>
      <c r="J22" s="713">
        <f>+landbouw!I8</f>
        <v>0</v>
      </c>
      <c r="K22" s="713">
        <f>+landbouw!J8</f>
        <v>553.40430039164266</v>
      </c>
      <c r="L22" s="713">
        <f>+landbouw!K8</f>
        <v>0</v>
      </c>
      <c r="M22" s="713">
        <f>+landbouw!L8</f>
        <v>0</v>
      </c>
      <c r="N22" s="713">
        <f>+landbouw!M8</f>
        <v>0</v>
      </c>
      <c r="O22" s="713">
        <f>+landbouw!N8</f>
        <v>0</v>
      </c>
      <c r="P22" s="713">
        <f>+landbouw!O8</f>
        <v>0</v>
      </c>
      <c r="Q22" s="714">
        <f>+landbouw!P8</f>
        <v>0</v>
      </c>
      <c r="R22" s="715">
        <f>SUM(C22:Q22)</f>
        <v>21330.455389770879</v>
      </c>
      <c r="S22" s="67"/>
    </row>
    <row r="23" spans="1:19" s="459" customFormat="1" ht="17.25" thickTop="1" thickBot="1">
      <c r="A23" s="720" t="s">
        <v>116</v>
      </c>
      <c r="B23" s="852"/>
      <c r="C23" s="721">
        <f ca="1">C20+C15+C22</f>
        <v>95100.74492092547</v>
      </c>
      <c r="D23" s="721">
        <f t="shared" ref="D23:Q23" ca="1" si="2">D20+D15+D22</f>
        <v>6955.7142857142853</v>
      </c>
      <c r="E23" s="721">
        <f t="shared" ca="1" si="2"/>
        <v>93520.773984618354</v>
      </c>
      <c r="F23" s="721">
        <f t="shared" si="2"/>
        <v>12427.903758027182</v>
      </c>
      <c r="G23" s="721">
        <f t="shared" ca="1" si="2"/>
        <v>49134.962967602296</v>
      </c>
      <c r="H23" s="721">
        <f t="shared" si="2"/>
        <v>47685.205305130177</v>
      </c>
      <c r="I23" s="721">
        <f t="shared" si="2"/>
        <v>7772.1047843943279</v>
      </c>
      <c r="J23" s="721">
        <f t="shared" si="2"/>
        <v>0</v>
      </c>
      <c r="K23" s="721">
        <f t="shared" si="2"/>
        <v>1143.6140404564894</v>
      </c>
      <c r="L23" s="721">
        <f t="shared" si="2"/>
        <v>0</v>
      </c>
      <c r="M23" s="721">
        <f t="shared" ca="1" si="2"/>
        <v>0</v>
      </c>
      <c r="N23" s="721">
        <f t="shared" si="2"/>
        <v>2483.5368368082618</v>
      </c>
      <c r="O23" s="721">
        <f t="shared" ca="1" si="2"/>
        <v>35595.693616970195</v>
      </c>
      <c r="P23" s="721">
        <f t="shared" si="2"/>
        <v>164.15</v>
      </c>
      <c r="Q23" s="722">
        <f t="shared" si="2"/>
        <v>362.26666666666665</v>
      </c>
      <c r="R23" s="723">
        <f ca="1">R20+R15+R22</f>
        <v>352346.67116731376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3772.5327998807784</v>
      </c>
      <c r="D36" s="704">
        <f ca="1">tertiair!C20</f>
        <v>27.499159663865548</v>
      </c>
      <c r="E36" s="704">
        <f ca="1">tertiair!D20</f>
        <v>3127.1899007594288</v>
      </c>
      <c r="F36" s="704">
        <f>tertiair!E20</f>
        <v>28.704832505477402</v>
      </c>
      <c r="G36" s="704">
        <f ca="1">tertiair!F20</f>
        <v>710.86918150701752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7666.7958743165682</v>
      </c>
    </row>
    <row r="37" spans="1:18">
      <c r="A37" s="873" t="s">
        <v>225</v>
      </c>
      <c r="B37" s="880"/>
      <c r="C37" s="704">
        <f ca="1">huishoudens!B12</f>
        <v>3799.3284476611248</v>
      </c>
      <c r="D37" s="704">
        <f ca="1">huishoudens!C12</f>
        <v>0</v>
      </c>
      <c r="E37" s="704">
        <f>huishoudens!D12</f>
        <v>8258.5223851680003</v>
      </c>
      <c r="F37" s="704">
        <f>huishoudens!E12</f>
        <v>1161.6922412695044</v>
      </c>
      <c r="G37" s="704">
        <f>huishoudens!F12</f>
        <v>3095.6071219645719</v>
      </c>
      <c r="H37" s="704">
        <f>huishoudens!G12</f>
        <v>0</v>
      </c>
      <c r="I37" s="704">
        <f>huishoudens!H12</f>
        <v>0</v>
      </c>
      <c r="J37" s="704">
        <f>huishoudens!I12</f>
        <v>0</v>
      </c>
      <c r="K37" s="704">
        <f>huishoudens!J12</f>
        <v>208.82622165995201</v>
      </c>
      <c r="L37" s="704">
        <f>huishoudens!K12</f>
        <v>0</v>
      </c>
      <c r="M37" s="704">
        <f>huishoudens!L12</f>
        <v>0</v>
      </c>
      <c r="N37" s="704">
        <f>huishoudens!M12</f>
        <v>0</v>
      </c>
      <c r="O37" s="704">
        <f>huishoudens!N12</f>
        <v>0</v>
      </c>
      <c r="P37" s="704">
        <f>huishoudens!O12</f>
        <v>0</v>
      </c>
      <c r="Q37" s="814">
        <f>huishoudens!P12</f>
        <v>0</v>
      </c>
      <c r="R37" s="905">
        <f ca="1">SUM(C37:Q37)</f>
        <v>16523.976417723152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10015.933625109374</v>
      </c>
      <c r="D39" s="704">
        <f ca="1">industrie!C22</f>
        <v>0</v>
      </c>
      <c r="E39" s="704">
        <f>industrie!D22</f>
        <v>6624.8210116440014</v>
      </c>
      <c r="F39" s="704">
        <f>industrie!E22</f>
        <v>1584.3733284384298</v>
      </c>
      <c r="G39" s="704">
        <f>industrie!F22</f>
        <v>5922.6391121950483</v>
      </c>
      <c r="H39" s="704">
        <f>industrie!G22</f>
        <v>0</v>
      </c>
      <c r="I39" s="704">
        <f>industrie!H22</f>
        <v>0</v>
      </c>
      <c r="J39" s="704">
        <f>industrie!I22</f>
        <v>0</v>
      </c>
      <c r="K39" s="704">
        <f>industrie!J22</f>
        <v>0.10802632300368528</v>
      </c>
      <c r="L39" s="704">
        <f>industrie!K22</f>
        <v>0</v>
      </c>
      <c r="M39" s="704">
        <f>industrie!L22</f>
        <v>0</v>
      </c>
      <c r="N39" s="704">
        <f>industrie!M22</f>
        <v>0</v>
      </c>
      <c r="O39" s="704">
        <f>industrie!N22</f>
        <v>0</v>
      </c>
      <c r="P39" s="704">
        <f>industrie!O22</f>
        <v>0</v>
      </c>
      <c r="Q39" s="814">
        <f>industrie!P22</f>
        <v>0</v>
      </c>
      <c r="R39" s="906">
        <f ca="1">SUM(C39:Q39)</f>
        <v>24147.875103709855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17587.794872651277</v>
      </c>
      <c r="D41" s="749">
        <f t="shared" ref="D41:R41" ca="1" si="4">SUM(D35:D40)</f>
        <v>27.499159663865548</v>
      </c>
      <c r="E41" s="749">
        <f t="shared" ca="1" si="4"/>
        <v>18010.53329757143</v>
      </c>
      <c r="F41" s="749">
        <f t="shared" si="4"/>
        <v>2774.7704022134117</v>
      </c>
      <c r="G41" s="749">
        <f t="shared" ca="1" si="4"/>
        <v>9729.115415666638</v>
      </c>
      <c r="H41" s="749">
        <f t="shared" si="4"/>
        <v>0</v>
      </c>
      <c r="I41" s="749">
        <f t="shared" si="4"/>
        <v>0</v>
      </c>
      <c r="J41" s="749">
        <f t="shared" si="4"/>
        <v>0</v>
      </c>
      <c r="K41" s="749">
        <f t="shared" si="4"/>
        <v>208.9342479829557</v>
      </c>
      <c r="L41" s="749">
        <f t="shared" si="4"/>
        <v>0</v>
      </c>
      <c r="M41" s="749">
        <f t="shared" ca="1" si="4"/>
        <v>0</v>
      </c>
      <c r="N41" s="749">
        <f t="shared" si="4"/>
        <v>0</v>
      </c>
      <c r="O41" s="749">
        <f t="shared" ca="1" si="4"/>
        <v>0</v>
      </c>
      <c r="P41" s="749">
        <f t="shared" si="4"/>
        <v>0</v>
      </c>
      <c r="Q41" s="750">
        <f t="shared" si="4"/>
        <v>0</v>
      </c>
      <c r="R41" s="751">
        <f t="shared" ca="1" si="4"/>
        <v>48338.647395749576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140.16636993237515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140.16636993237515</v>
      </c>
    </row>
    <row r="45" spans="1:18" ht="15" thickBot="1">
      <c r="A45" s="876" t="s">
        <v>307</v>
      </c>
      <c r="B45" s="886"/>
      <c r="C45" s="713">
        <f ca="1">transport!B18</f>
        <v>0.57936073154934686</v>
      </c>
      <c r="D45" s="713">
        <f>transport!C18</f>
        <v>0</v>
      </c>
      <c r="E45" s="713">
        <f>transport!D18</f>
        <v>1.0491863934776584</v>
      </c>
      <c r="F45" s="713">
        <f>transport!E18</f>
        <v>35.837630700971353</v>
      </c>
      <c r="G45" s="713">
        <f>transport!F18</f>
        <v>0</v>
      </c>
      <c r="H45" s="713">
        <f>transport!G18</f>
        <v>12591.783446537383</v>
      </c>
      <c r="I45" s="713">
        <f>transport!H18</f>
        <v>1935.2540913141877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14564.503715677569</v>
      </c>
    </row>
    <row r="46" spans="1:18" ht="15.75" thickBot="1">
      <c r="A46" s="874" t="s">
        <v>230</v>
      </c>
      <c r="B46" s="887"/>
      <c r="C46" s="749">
        <f t="shared" ref="C46:R46" ca="1" si="5">SUM(C43:C45)</f>
        <v>0.57936073154934686</v>
      </c>
      <c r="D46" s="749">
        <f t="shared" ca="1" si="5"/>
        <v>0</v>
      </c>
      <c r="E46" s="749">
        <f t="shared" si="5"/>
        <v>1.0491863934776584</v>
      </c>
      <c r="F46" s="749">
        <f t="shared" si="5"/>
        <v>35.837630700971353</v>
      </c>
      <c r="G46" s="749">
        <f t="shared" si="5"/>
        <v>0</v>
      </c>
      <c r="H46" s="749">
        <f t="shared" si="5"/>
        <v>12731.949816469758</v>
      </c>
      <c r="I46" s="749">
        <f t="shared" si="5"/>
        <v>1935.2540913141877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14704.670085609943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707.95824586251001</v>
      </c>
      <c r="D48" s="704">
        <f ca="1">+landbouw!C12</f>
        <v>0</v>
      </c>
      <c r="E48" s="704">
        <f>+landbouw!D12</f>
        <v>879.61386092800012</v>
      </c>
      <c r="F48" s="704">
        <f>+landbouw!E12</f>
        <v>10.526120157787078</v>
      </c>
      <c r="G48" s="704">
        <f>+landbouw!F12</f>
        <v>3389.9196966831769</v>
      </c>
      <c r="H48" s="704">
        <f>+landbouw!G12</f>
        <v>0</v>
      </c>
      <c r="I48" s="704">
        <f>+landbouw!H12</f>
        <v>0</v>
      </c>
      <c r="J48" s="704">
        <f>+landbouw!I12</f>
        <v>0</v>
      </c>
      <c r="K48" s="704">
        <f>+landbouw!J12</f>
        <v>195.90512233864149</v>
      </c>
      <c r="L48" s="704">
        <f>+landbouw!K12</f>
        <v>0</v>
      </c>
      <c r="M48" s="704">
        <f>+landbouw!L12</f>
        <v>0</v>
      </c>
      <c r="N48" s="704">
        <f>+landbouw!M12</f>
        <v>0</v>
      </c>
      <c r="O48" s="704">
        <f>+landbouw!N12</f>
        <v>0</v>
      </c>
      <c r="P48" s="704">
        <f>+landbouw!O12</f>
        <v>0</v>
      </c>
      <c r="Q48" s="705">
        <f>+landbouw!P12</f>
        <v>0</v>
      </c>
      <c r="R48" s="747">
        <f ca="1">SUM(C48:Q48)</f>
        <v>5183.9230459701157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18296.332479245335</v>
      </c>
      <c r="D53" s="759">
        <f t="shared" ref="D53:Q53" ca="1" si="6">D41+D46+D48</f>
        <v>27.499159663865548</v>
      </c>
      <c r="E53" s="759">
        <f t="shared" ca="1" si="6"/>
        <v>18891.196344892905</v>
      </c>
      <c r="F53" s="759">
        <f t="shared" si="6"/>
        <v>2821.1341530721697</v>
      </c>
      <c r="G53" s="759">
        <f t="shared" ca="1" si="6"/>
        <v>13119.035112349815</v>
      </c>
      <c r="H53" s="759">
        <f t="shared" si="6"/>
        <v>12731.949816469758</v>
      </c>
      <c r="I53" s="759">
        <f t="shared" si="6"/>
        <v>1935.2540913141877</v>
      </c>
      <c r="J53" s="759">
        <f t="shared" si="6"/>
        <v>0</v>
      </c>
      <c r="K53" s="759">
        <f t="shared" si="6"/>
        <v>404.83937032159719</v>
      </c>
      <c r="L53" s="759">
        <f t="shared" si="6"/>
        <v>0</v>
      </c>
      <c r="M53" s="759">
        <f t="shared" ca="1" si="6"/>
        <v>0</v>
      </c>
      <c r="N53" s="759">
        <f t="shared" si="6"/>
        <v>0</v>
      </c>
      <c r="O53" s="759">
        <f t="shared" ca="1" si="6"/>
        <v>0</v>
      </c>
      <c r="P53" s="759">
        <f>P41+P46+P48</f>
        <v>0</v>
      </c>
      <c r="Q53" s="760">
        <f t="shared" si="6"/>
        <v>0</v>
      </c>
      <c r="R53" s="761">
        <f ca="1">R41+R46+R48</f>
        <v>68227.240527329632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0.19238895020705044</v>
      </c>
      <c r="D55" s="824">
        <f t="shared" ca="1" si="7"/>
        <v>3.9534630857888447E-3</v>
      </c>
      <c r="E55" s="824">
        <f t="shared" ca="1" si="7"/>
        <v>0.20199999999999999</v>
      </c>
      <c r="F55" s="824">
        <f t="shared" si="7"/>
        <v>0.22699999999999995</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7530.0115839090631</v>
      </c>
      <c r="C66" s="781">
        <f>'lokale energieproductie'!B6</f>
        <v>7530.0115839090631</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4869</v>
      </c>
      <c r="C67" s="780">
        <f>B67*IFERROR(SUM(J67:L67)/SUM(D67:M67),0)</f>
        <v>4788</v>
      </c>
      <c r="D67" s="812">
        <f>'lokale energieproductie'!C7</f>
        <v>95.294117647058826</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5632.9411764705883</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19.249411764705883</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12399.011583909063</v>
      </c>
      <c r="C69" s="789">
        <f>SUM(C64:C68)</f>
        <v>12318.011583909063</v>
      </c>
      <c r="D69" s="790">
        <f t="shared" ref="D69:M69" si="8">SUM(D67:D68)</f>
        <v>95.294117647058826</v>
      </c>
      <c r="E69" s="790">
        <f t="shared" si="8"/>
        <v>0</v>
      </c>
      <c r="F69" s="790">
        <f t="shared" si="8"/>
        <v>0</v>
      </c>
      <c r="G69" s="790">
        <f t="shared" si="8"/>
        <v>0</v>
      </c>
      <c r="H69" s="790">
        <f t="shared" si="8"/>
        <v>0</v>
      </c>
      <c r="I69" s="790">
        <f t="shared" si="8"/>
        <v>0</v>
      </c>
      <c r="J69" s="790">
        <f t="shared" si="8"/>
        <v>0</v>
      </c>
      <c r="K69" s="790">
        <f t="shared" si="8"/>
        <v>5632.9411764705883</v>
      </c>
      <c r="L69" s="790">
        <f t="shared" si="8"/>
        <v>0</v>
      </c>
      <c r="M69" s="918">
        <f t="shared" si="8"/>
        <v>0</v>
      </c>
      <c r="N69" s="791">
        <v>0</v>
      </c>
      <c r="O69" s="791">
        <f>SUM(O67:O68)</f>
        <v>19.249411764705883</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6955.7142857142853</v>
      </c>
      <c r="C78" s="803">
        <f>B78*IFERROR(SUM(I78:L78)/SUM(D78:M78),0)</f>
        <v>6839.9999999999991</v>
      </c>
      <c r="D78" s="818">
        <f>'lokale energieproductie'!C16</f>
        <v>136.1344537815126</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8047.0588235294108</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27.499159663865548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6955.7142857142853</v>
      </c>
      <c r="C81" s="789">
        <f>SUM(C78:C80)</f>
        <v>6839.9999999999991</v>
      </c>
      <c r="D81" s="789">
        <f t="shared" ref="D81:P81" si="9">SUM(D78:D80)</f>
        <v>136.1344537815126</v>
      </c>
      <c r="E81" s="789">
        <f t="shared" si="9"/>
        <v>0</v>
      </c>
      <c r="F81" s="789">
        <f t="shared" si="9"/>
        <v>0</v>
      </c>
      <c r="G81" s="789">
        <f t="shared" si="9"/>
        <v>0</v>
      </c>
      <c r="H81" s="789">
        <f t="shared" si="9"/>
        <v>0</v>
      </c>
      <c r="I81" s="789">
        <f t="shared" si="9"/>
        <v>0</v>
      </c>
      <c r="J81" s="789">
        <f t="shared" si="9"/>
        <v>0</v>
      </c>
      <c r="K81" s="789">
        <f t="shared" si="9"/>
        <v>8047.0588235294108</v>
      </c>
      <c r="L81" s="789">
        <f t="shared" si="9"/>
        <v>0</v>
      </c>
      <c r="M81" s="789">
        <f t="shared" si="9"/>
        <v>0</v>
      </c>
      <c r="N81" s="789">
        <v>0</v>
      </c>
      <c r="O81" s="789">
        <f>SUM(O78:O80)</f>
        <v>27.499159663865548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19748.163517563036</v>
      </c>
      <c r="C4" s="463">
        <f>huishoudens!C8</f>
        <v>0</v>
      </c>
      <c r="D4" s="463">
        <f>huishoudens!D8</f>
        <v>40883.774184000002</v>
      </c>
      <c r="E4" s="463">
        <f>huishoudens!E8</f>
        <v>5117.5869659449527</v>
      </c>
      <c r="F4" s="463">
        <f>huishoudens!F8</f>
        <v>11594.034164661318</v>
      </c>
      <c r="G4" s="463">
        <f>huishoudens!G8</f>
        <v>0</v>
      </c>
      <c r="H4" s="463">
        <f>huishoudens!H8</f>
        <v>0</v>
      </c>
      <c r="I4" s="463">
        <f>huishoudens!I8</f>
        <v>0</v>
      </c>
      <c r="J4" s="463">
        <f>huishoudens!J8</f>
        <v>589.90458096031648</v>
      </c>
      <c r="K4" s="463">
        <f>huishoudens!K8</f>
        <v>0</v>
      </c>
      <c r="L4" s="463">
        <f>huishoudens!L8</f>
        <v>0</v>
      </c>
      <c r="M4" s="463">
        <f>huishoudens!M8</f>
        <v>0</v>
      </c>
      <c r="N4" s="463">
        <f>huishoudens!N8</f>
        <v>15115.818435704794</v>
      </c>
      <c r="O4" s="463">
        <f>huishoudens!O8</f>
        <v>164.15</v>
      </c>
      <c r="P4" s="464">
        <f>huishoudens!P8</f>
        <v>266.93333333333334</v>
      </c>
      <c r="Q4" s="465">
        <f>SUM(B4:P4)</f>
        <v>93480.365182167749</v>
      </c>
    </row>
    <row r="5" spans="1:17">
      <c r="A5" s="462" t="s">
        <v>156</v>
      </c>
      <c r="B5" s="463">
        <f ca="1">tertiair!B16</f>
        <v>18604.101999999999</v>
      </c>
      <c r="C5" s="463">
        <f ca="1">tertiair!C16</f>
        <v>6955.7142857142853</v>
      </c>
      <c r="D5" s="463">
        <f ca="1">tertiair!D16</f>
        <v>15481.138122571429</v>
      </c>
      <c r="E5" s="463">
        <f>tertiair!E16</f>
        <v>126.45300663205903</v>
      </c>
      <c r="F5" s="463">
        <f ca="1">tertiair!F16</f>
        <v>2662.4313914120503</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0</v>
      </c>
      <c r="P5" s="464">
        <f>tertiair!P16</f>
        <v>95.333333333333343</v>
      </c>
      <c r="Q5" s="462">
        <f t="shared" ref="Q5:Q13" ca="1" si="0">SUM(B5:P5)</f>
        <v>43925.172139663162</v>
      </c>
    </row>
    <row r="6" spans="1:17">
      <c r="A6" s="462" t="s">
        <v>194</v>
      </c>
      <c r="B6" s="463">
        <f>'openbare verlichting'!B8</f>
        <v>1004.783</v>
      </c>
      <c r="C6" s="463"/>
      <c r="D6" s="463"/>
      <c r="E6" s="463"/>
      <c r="F6" s="463"/>
      <c r="G6" s="463"/>
      <c r="H6" s="463"/>
      <c r="I6" s="463"/>
      <c r="J6" s="463"/>
      <c r="K6" s="463"/>
      <c r="L6" s="463"/>
      <c r="M6" s="463"/>
      <c r="N6" s="463"/>
      <c r="O6" s="463"/>
      <c r="P6" s="464"/>
      <c r="Q6" s="462">
        <f t="shared" si="0"/>
        <v>1004.783</v>
      </c>
    </row>
    <row r="7" spans="1:17">
      <c r="A7" s="462" t="s">
        <v>112</v>
      </c>
      <c r="B7" s="463">
        <f>landbouw!B8</f>
        <v>3679.828</v>
      </c>
      <c r="C7" s="463">
        <f>landbouw!C8</f>
        <v>0</v>
      </c>
      <c r="D7" s="463">
        <f>landbouw!D8</f>
        <v>4354.5240640000002</v>
      </c>
      <c r="E7" s="463">
        <f>landbouw!E8</f>
        <v>46.370573382321929</v>
      </c>
      <c r="F7" s="463">
        <f>landbouw!F8</f>
        <v>12696.328451996917</v>
      </c>
      <c r="G7" s="463">
        <f>landbouw!G8</f>
        <v>0</v>
      </c>
      <c r="H7" s="463">
        <f>landbouw!H8</f>
        <v>0</v>
      </c>
      <c r="I7" s="463">
        <f>landbouw!I8</f>
        <v>0</v>
      </c>
      <c r="J7" s="463">
        <f>landbouw!J8</f>
        <v>553.40430039164266</v>
      </c>
      <c r="K7" s="463">
        <f>landbouw!K8</f>
        <v>0</v>
      </c>
      <c r="L7" s="463">
        <f>landbouw!L8</f>
        <v>0</v>
      </c>
      <c r="M7" s="463">
        <f>landbouw!M8</f>
        <v>0</v>
      </c>
      <c r="N7" s="463">
        <f>landbouw!N8</f>
        <v>0</v>
      </c>
      <c r="O7" s="463">
        <f>landbouw!O8</f>
        <v>0</v>
      </c>
      <c r="P7" s="464">
        <f>landbouw!P8</f>
        <v>0</v>
      </c>
      <c r="Q7" s="462">
        <f t="shared" si="0"/>
        <v>21330.455389770879</v>
      </c>
    </row>
    <row r="8" spans="1:17">
      <c r="A8" s="462" t="s">
        <v>657</v>
      </c>
      <c r="B8" s="463">
        <f>industrie!B18</f>
        <v>52060.857000000004</v>
      </c>
      <c r="C8" s="463">
        <f>industrie!C18</f>
        <v>0</v>
      </c>
      <c r="D8" s="463">
        <f>industrie!D18</f>
        <v>32796.143622000003</v>
      </c>
      <c r="E8" s="463">
        <f>industrie!E18</f>
        <v>6979.6181869534348</v>
      </c>
      <c r="F8" s="463">
        <f>industrie!F18</f>
        <v>22182.168959532013</v>
      </c>
      <c r="G8" s="463">
        <f>industrie!G18</f>
        <v>0</v>
      </c>
      <c r="H8" s="463">
        <f>industrie!H18</f>
        <v>0</v>
      </c>
      <c r="I8" s="463">
        <f>industrie!I18</f>
        <v>0</v>
      </c>
      <c r="J8" s="463">
        <f>industrie!J18</f>
        <v>0.30515910453018441</v>
      </c>
      <c r="K8" s="463">
        <f>industrie!K18</f>
        <v>0</v>
      </c>
      <c r="L8" s="463">
        <f>industrie!L18</f>
        <v>0</v>
      </c>
      <c r="M8" s="463">
        <f>industrie!M18</f>
        <v>0</v>
      </c>
      <c r="N8" s="463">
        <f>industrie!N18</f>
        <v>20479.875181265401</v>
      </c>
      <c r="O8" s="463">
        <f>industrie!O18</f>
        <v>0</v>
      </c>
      <c r="P8" s="464">
        <f>industrie!P18</f>
        <v>0</v>
      </c>
      <c r="Q8" s="462">
        <f t="shared" si="0"/>
        <v>134498.96810885539</v>
      </c>
    </row>
    <row r="9" spans="1:17" s="468" customFormat="1">
      <c r="A9" s="466" t="s">
        <v>574</v>
      </c>
      <c r="B9" s="467">
        <f>transport!B14</f>
        <v>3.0114033624375751</v>
      </c>
      <c r="C9" s="467">
        <f>transport!C14</f>
        <v>0</v>
      </c>
      <c r="D9" s="467">
        <f>transport!D14</f>
        <v>5.1939920469191003</v>
      </c>
      <c r="E9" s="467">
        <f>transport!E14</f>
        <v>157.87502511441124</v>
      </c>
      <c r="F9" s="467">
        <f>transport!F14</f>
        <v>0</v>
      </c>
      <c r="G9" s="467">
        <f>transport!G14</f>
        <v>47160.237627480834</v>
      </c>
      <c r="H9" s="467">
        <f>transport!H14</f>
        <v>7772.1047843943279</v>
      </c>
      <c r="I9" s="467">
        <f>transport!I14</f>
        <v>0</v>
      </c>
      <c r="J9" s="467">
        <f>transport!J14</f>
        <v>0</v>
      </c>
      <c r="K9" s="467">
        <f>transport!K14</f>
        <v>0</v>
      </c>
      <c r="L9" s="467">
        <f>transport!L14</f>
        <v>0</v>
      </c>
      <c r="M9" s="467">
        <f>transport!M14</f>
        <v>2460.1902401561547</v>
      </c>
      <c r="N9" s="467">
        <f>transport!N14</f>
        <v>0</v>
      </c>
      <c r="O9" s="467">
        <f>transport!O14</f>
        <v>0</v>
      </c>
      <c r="P9" s="467">
        <f>transport!P14</f>
        <v>0</v>
      </c>
      <c r="Q9" s="466">
        <f>SUM(B9:P9)</f>
        <v>57558.613072555083</v>
      </c>
    </row>
    <row r="10" spans="1:17">
      <c r="A10" s="462" t="s">
        <v>564</v>
      </c>
      <c r="B10" s="463">
        <f>transport!B54</f>
        <v>0</v>
      </c>
      <c r="C10" s="463">
        <f>transport!C54</f>
        <v>0</v>
      </c>
      <c r="D10" s="463">
        <f>transport!D54</f>
        <v>0</v>
      </c>
      <c r="E10" s="463">
        <f>transport!E54</f>
        <v>0</v>
      </c>
      <c r="F10" s="463">
        <f>transport!F54</f>
        <v>0</v>
      </c>
      <c r="G10" s="463">
        <f>transport!G54</f>
        <v>524.96767764934509</v>
      </c>
      <c r="H10" s="463">
        <f>transport!H54</f>
        <v>0</v>
      </c>
      <c r="I10" s="463">
        <f>transport!I54</f>
        <v>0</v>
      </c>
      <c r="J10" s="463">
        <f>transport!J54</f>
        <v>0</v>
      </c>
      <c r="K10" s="463">
        <f>transport!K54</f>
        <v>0</v>
      </c>
      <c r="L10" s="463">
        <f>transport!L54</f>
        <v>0</v>
      </c>
      <c r="M10" s="463">
        <f>transport!M54</f>
        <v>23.346596652107259</v>
      </c>
      <c r="N10" s="463">
        <f>transport!N54</f>
        <v>0</v>
      </c>
      <c r="O10" s="463">
        <f>transport!O54</f>
        <v>0</v>
      </c>
      <c r="P10" s="464">
        <f>transport!P54</f>
        <v>0</v>
      </c>
      <c r="Q10" s="462">
        <f t="shared" si="0"/>
        <v>548.31427430145231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95100.744920925485</v>
      </c>
      <c r="C14" s="473">
        <f t="shared" ref="C14:Q14" ca="1" si="1">SUM(C4:C13)</f>
        <v>6955.7142857142853</v>
      </c>
      <c r="D14" s="473">
        <f t="shared" ca="1" si="1"/>
        <v>93520.773984618354</v>
      </c>
      <c r="E14" s="473">
        <f t="shared" si="1"/>
        <v>12427.90375802718</v>
      </c>
      <c r="F14" s="473">
        <f t="shared" ca="1" si="1"/>
        <v>49134.962967602296</v>
      </c>
      <c r="G14" s="473">
        <f t="shared" si="1"/>
        <v>47685.205305130177</v>
      </c>
      <c r="H14" s="473">
        <f t="shared" si="1"/>
        <v>7772.1047843943279</v>
      </c>
      <c r="I14" s="473">
        <f t="shared" si="1"/>
        <v>0</v>
      </c>
      <c r="J14" s="473">
        <f t="shared" si="1"/>
        <v>1143.6140404564894</v>
      </c>
      <c r="K14" s="473">
        <f t="shared" si="1"/>
        <v>0</v>
      </c>
      <c r="L14" s="473">
        <f t="shared" ca="1" si="1"/>
        <v>0</v>
      </c>
      <c r="M14" s="473">
        <f t="shared" si="1"/>
        <v>2483.5368368082618</v>
      </c>
      <c r="N14" s="473">
        <f t="shared" ca="1" si="1"/>
        <v>35595.693616970195</v>
      </c>
      <c r="O14" s="473">
        <f t="shared" si="1"/>
        <v>164.15</v>
      </c>
      <c r="P14" s="474">
        <f t="shared" si="1"/>
        <v>362.26666666666665</v>
      </c>
      <c r="Q14" s="474">
        <f t="shared" ca="1" si="1"/>
        <v>352346.67116731376</v>
      </c>
    </row>
    <row r="16" spans="1:17">
      <c r="A16" s="476" t="s">
        <v>569</v>
      </c>
      <c r="B16" s="829">
        <f ca="1">huishoudens!B10</f>
        <v>0.19238895020705044</v>
      </c>
      <c r="C16" s="829">
        <f ca="1">huishoudens!C10</f>
        <v>3.9534630857888447E-3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3799.3284476611248</v>
      </c>
      <c r="C21" s="463">
        <f t="shared" ref="C21:C30" ca="1" si="3">C4*$C$16</f>
        <v>0</v>
      </c>
      <c r="D21" s="463">
        <f t="shared" ref="D21:D30" si="4">D4*$D$16</f>
        <v>8258.5223851680003</v>
      </c>
      <c r="E21" s="463">
        <f t="shared" ref="E21:E30" si="5">E4*$E$16</f>
        <v>1161.6922412695044</v>
      </c>
      <c r="F21" s="463">
        <f t="shared" ref="F21:F30" si="6">F4*$F$16</f>
        <v>3095.6071219645719</v>
      </c>
      <c r="G21" s="463">
        <f t="shared" ref="G21:G30" si="7">G4*$G$16</f>
        <v>0</v>
      </c>
      <c r="H21" s="463">
        <f t="shared" ref="H21:H30" si="8">H4*$H$16</f>
        <v>0</v>
      </c>
      <c r="I21" s="463">
        <f t="shared" ref="I21:I30" si="9">I4*$I$16</f>
        <v>0</v>
      </c>
      <c r="J21" s="463">
        <f t="shared" ref="J21:J30" si="10">J4*$J$16</f>
        <v>208.82622165995201</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16523.976417723152</v>
      </c>
    </row>
    <row r="22" spans="1:17">
      <c r="A22" s="462" t="s">
        <v>156</v>
      </c>
      <c r="B22" s="463">
        <f t="shared" ca="1" si="2"/>
        <v>3579.2236533248874</v>
      </c>
      <c r="C22" s="463">
        <f t="shared" ca="1" si="3"/>
        <v>27.499159663865548</v>
      </c>
      <c r="D22" s="463">
        <f t="shared" ca="1" si="4"/>
        <v>3127.1899007594288</v>
      </c>
      <c r="E22" s="463">
        <f t="shared" si="5"/>
        <v>28.704832505477402</v>
      </c>
      <c r="F22" s="463">
        <f t="shared" ca="1" si="6"/>
        <v>710.86918150701752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7473.4867277606772</v>
      </c>
    </row>
    <row r="23" spans="1:17">
      <c r="A23" s="462" t="s">
        <v>194</v>
      </c>
      <c r="B23" s="463">
        <f t="shared" ca="1" si="2"/>
        <v>193.30914655589075</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193.30914655589075</v>
      </c>
    </row>
    <row r="24" spans="1:17">
      <c r="A24" s="462" t="s">
        <v>112</v>
      </c>
      <c r="B24" s="463">
        <f t="shared" ca="1" si="2"/>
        <v>707.95824586251001</v>
      </c>
      <c r="C24" s="463">
        <f t="shared" ca="1" si="3"/>
        <v>0</v>
      </c>
      <c r="D24" s="463">
        <f t="shared" si="4"/>
        <v>879.61386092800012</v>
      </c>
      <c r="E24" s="463">
        <f t="shared" si="5"/>
        <v>10.526120157787078</v>
      </c>
      <c r="F24" s="463">
        <f t="shared" si="6"/>
        <v>3389.9196966831769</v>
      </c>
      <c r="G24" s="463">
        <f t="shared" si="7"/>
        <v>0</v>
      </c>
      <c r="H24" s="463">
        <f t="shared" si="8"/>
        <v>0</v>
      </c>
      <c r="I24" s="463">
        <f t="shared" si="9"/>
        <v>0</v>
      </c>
      <c r="J24" s="463">
        <f t="shared" si="10"/>
        <v>195.90512233864149</v>
      </c>
      <c r="K24" s="463">
        <f t="shared" si="11"/>
        <v>0</v>
      </c>
      <c r="L24" s="463">
        <f t="shared" si="12"/>
        <v>0</v>
      </c>
      <c r="M24" s="463">
        <f t="shared" si="13"/>
        <v>0</v>
      </c>
      <c r="N24" s="463">
        <f t="shared" si="14"/>
        <v>0</v>
      </c>
      <c r="O24" s="463">
        <f t="shared" si="15"/>
        <v>0</v>
      </c>
      <c r="P24" s="464">
        <f t="shared" si="16"/>
        <v>0</v>
      </c>
      <c r="Q24" s="462">
        <f t="shared" ca="1" si="17"/>
        <v>5183.9230459701157</v>
      </c>
    </row>
    <row r="25" spans="1:17">
      <c r="A25" s="462" t="s">
        <v>657</v>
      </c>
      <c r="B25" s="463">
        <f t="shared" ca="1" si="2"/>
        <v>10015.933625109374</v>
      </c>
      <c r="C25" s="463">
        <f t="shared" ca="1" si="3"/>
        <v>0</v>
      </c>
      <c r="D25" s="463">
        <f t="shared" si="4"/>
        <v>6624.8210116440014</v>
      </c>
      <c r="E25" s="463">
        <f t="shared" si="5"/>
        <v>1584.3733284384298</v>
      </c>
      <c r="F25" s="463">
        <f t="shared" si="6"/>
        <v>5922.6391121950483</v>
      </c>
      <c r="G25" s="463">
        <f t="shared" si="7"/>
        <v>0</v>
      </c>
      <c r="H25" s="463">
        <f t="shared" si="8"/>
        <v>0</v>
      </c>
      <c r="I25" s="463">
        <f t="shared" si="9"/>
        <v>0</v>
      </c>
      <c r="J25" s="463">
        <f t="shared" si="10"/>
        <v>0.10802632300368528</v>
      </c>
      <c r="K25" s="463">
        <f t="shared" si="11"/>
        <v>0</v>
      </c>
      <c r="L25" s="463">
        <f t="shared" si="12"/>
        <v>0</v>
      </c>
      <c r="M25" s="463">
        <f t="shared" si="13"/>
        <v>0</v>
      </c>
      <c r="N25" s="463">
        <f t="shared" si="14"/>
        <v>0</v>
      </c>
      <c r="O25" s="463">
        <f t="shared" si="15"/>
        <v>0</v>
      </c>
      <c r="P25" s="464">
        <f t="shared" si="16"/>
        <v>0</v>
      </c>
      <c r="Q25" s="462">
        <f t="shared" ca="1" si="17"/>
        <v>24147.875103709855</v>
      </c>
    </row>
    <row r="26" spans="1:17" s="468" customFormat="1">
      <c r="A26" s="466" t="s">
        <v>574</v>
      </c>
      <c r="B26" s="823">
        <f t="shared" ca="1" si="2"/>
        <v>0.57936073154934686</v>
      </c>
      <c r="C26" s="467">
        <f t="shared" ca="1" si="3"/>
        <v>0</v>
      </c>
      <c r="D26" s="467">
        <f t="shared" si="4"/>
        <v>1.0491863934776584</v>
      </c>
      <c r="E26" s="467">
        <f t="shared" si="5"/>
        <v>35.837630700971353</v>
      </c>
      <c r="F26" s="467">
        <f t="shared" si="6"/>
        <v>0</v>
      </c>
      <c r="G26" s="467">
        <f t="shared" si="7"/>
        <v>12591.783446537383</v>
      </c>
      <c r="H26" s="467">
        <f t="shared" si="8"/>
        <v>1935.2540913141877</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14564.503715677569</v>
      </c>
    </row>
    <row r="27" spans="1:17">
      <c r="A27" s="462" t="s">
        <v>564</v>
      </c>
      <c r="B27" s="463">
        <f t="shared" ca="1" si="2"/>
        <v>0</v>
      </c>
      <c r="C27" s="463">
        <f t="shared" ca="1" si="3"/>
        <v>0</v>
      </c>
      <c r="D27" s="463">
        <f t="shared" si="4"/>
        <v>0</v>
      </c>
      <c r="E27" s="463">
        <f t="shared" si="5"/>
        <v>0</v>
      </c>
      <c r="F27" s="463">
        <f t="shared" si="6"/>
        <v>0</v>
      </c>
      <c r="G27" s="463">
        <f t="shared" si="7"/>
        <v>140.16636993237515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140.16636993237515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18296.332479245335</v>
      </c>
      <c r="C31" s="473">
        <f t="shared" ca="1" si="18"/>
        <v>27.499159663865548</v>
      </c>
      <c r="D31" s="473">
        <f t="shared" ca="1" si="18"/>
        <v>18891.196344892909</v>
      </c>
      <c r="E31" s="473">
        <f t="shared" si="18"/>
        <v>2821.1341530721702</v>
      </c>
      <c r="F31" s="473">
        <f t="shared" ca="1" si="18"/>
        <v>13119.035112349815</v>
      </c>
      <c r="G31" s="473">
        <f t="shared" si="18"/>
        <v>12731.949816469758</v>
      </c>
      <c r="H31" s="473">
        <f t="shared" si="18"/>
        <v>1935.2540913141877</v>
      </c>
      <c r="I31" s="473">
        <f t="shared" si="18"/>
        <v>0</v>
      </c>
      <c r="J31" s="473">
        <f t="shared" si="18"/>
        <v>404.83937032159719</v>
      </c>
      <c r="K31" s="473">
        <f t="shared" si="18"/>
        <v>0</v>
      </c>
      <c r="L31" s="473">
        <f t="shared" ca="1" si="18"/>
        <v>0</v>
      </c>
      <c r="M31" s="473">
        <f t="shared" si="18"/>
        <v>0</v>
      </c>
      <c r="N31" s="473">
        <f t="shared" ca="1" si="18"/>
        <v>0</v>
      </c>
      <c r="O31" s="473">
        <f t="shared" si="18"/>
        <v>0</v>
      </c>
      <c r="P31" s="474">
        <f t="shared" si="18"/>
        <v>0</v>
      </c>
      <c r="Q31" s="474">
        <f t="shared" ca="1" si="18"/>
        <v>68227.240527329632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0.19238895020705044</v>
      </c>
      <c r="C17" s="513">
        <f ca="1">'EF ele_warmte'!B22</f>
        <v>3.9534630857888447E-3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0.19238895020705044</v>
      </c>
      <c r="C17" s="513">
        <f ca="1">'EF ele_warmte'!B22</f>
        <v>3.9534630857888447E-3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0.19238895020705044</v>
      </c>
      <c r="C29" s="514">
        <f ca="1">'EF ele_warmte'!B22</f>
        <v>3.9534630857888447E-3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36006</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3936</v>
      </c>
      <c r="C9" s="338">
        <v>4009</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2644</v>
      </c>
    </row>
    <row r="15" spans="1:6">
      <c r="A15" s="1212" t="s">
        <v>184</v>
      </c>
      <c r="B15" s="335">
        <v>22</v>
      </c>
    </row>
    <row r="16" spans="1:6">
      <c r="A16" s="1212" t="s">
        <v>6</v>
      </c>
      <c r="B16" s="335">
        <v>641</v>
      </c>
    </row>
    <row r="17" spans="1:6">
      <c r="A17" s="1212" t="s">
        <v>7</v>
      </c>
      <c r="B17" s="335">
        <v>694</v>
      </c>
    </row>
    <row r="18" spans="1:6">
      <c r="A18" s="1212" t="s">
        <v>8</v>
      </c>
      <c r="B18" s="335">
        <v>780</v>
      </c>
    </row>
    <row r="19" spans="1:6">
      <c r="A19" s="1212" t="s">
        <v>9</v>
      </c>
      <c r="B19" s="335">
        <v>839</v>
      </c>
    </row>
    <row r="20" spans="1:6">
      <c r="A20" s="1212" t="s">
        <v>10</v>
      </c>
      <c r="B20" s="335">
        <v>683</v>
      </c>
    </row>
    <row r="21" spans="1:6">
      <c r="A21" s="1212" t="s">
        <v>11</v>
      </c>
      <c r="B21" s="335">
        <v>22488</v>
      </c>
    </row>
    <row r="22" spans="1:6">
      <c r="A22" s="1212" t="s">
        <v>12</v>
      </c>
      <c r="B22" s="335">
        <v>61965</v>
      </c>
    </row>
    <row r="23" spans="1:6">
      <c r="A23" s="1212" t="s">
        <v>13</v>
      </c>
      <c r="B23" s="335">
        <v>1065</v>
      </c>
    </row>
    <row r="24" spans="1:6">
      <c r="A24" s="1212" t="s">
        <v>14</v>
      </c>
      <c r="B24" s="335">
        <v>51</v>
      </c>
    </row>
    <row r="25" spans="1:6">
      <c r="A25" s="1212" t="s">
        <v>15</v>
      </c>
      <c r="B25" s="335">
        <v>6591</v>
      </c>
    </row>
    <row r="26" spans="1:6">
      <c r="A26" s="1212" t="s">
        <v>16</v>
      </c>
      <c r="B26" s="335">
        <v>367</v>
      </c>
    </row>
    <row r="27" spans="1:6">
      <c r="A27" s="1212" t="s">
        <v>17</v>
      </c>
      <c r="B27" s="335">
        <v>1</v>
      </c>
    </row>
    <row r="28" spans="1:6" s="341" customFormat="1">
      <c r="A28" s="1213" t="s">
        <v>18</v>
      </c>
      <c r="B28" s="1213">
        <v>54349</v>
      </c>
    </row>
    <row r="29" spans="1:6">
      <c r="A29" s="1213" t="s">
        <v>836</v>
      </c>
      <c r="B29" s="1213">
        <v>165</v>
      </c>
      <c r="C29" s="341"/>
      <c r="D29" s="341"/>
      <c r="E29" s="341"/>
      <c r="F29" s="341"/>
    </row>
    <row r="30" spans="1:6">
      <c r="A30" s="1208" t="s">
        <v>837</v>
      </c>
      <c r="B30" s="1208">
        <v>37</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9</v>
      </c>
      <c r="F36" s="335">
        <v>164826</v>
      </c>
    </row>
    <row r="37" spans="1:6">
      <c r="A37" s="1212" t="s">
        <v>25</v>
      </c>
      <c r="B37" s="1212" t="s">
        <v>28</v>
      </c>
      <c r="C37" s="335">
        <v>0</v>
      </c>
      <c r="D37" s="335">
        <v>0</v>
      </c>
      <c r="E37" s="335">
        <v>0</v>
      </c>
      <c r="F37" s="335">
        <v>0</v>
      </c>
    </row>
    <row r="38" spans="1:6">
      <c r="A38" s="1212" t="s">
        <v>25</v>
      </c>
      <c r="B38" s="1212" t="s">
        <v>29</v>
      </c>
      <c r="C38" s="335">
        <v>0</v>
      </c>
      <c r="D38" s="335">
        <v>0</v>
      </c>
      <c r="E38" s="335">
        <v>0</v>
      </c>
      <c r="F38" s="335">
        <v>0</v>
      </c>
    </row>
    <row r="39" spans="1:6">
      <c r="A39" s="1212" t="s">
        <v>30</v>
      </c>
      <c r="B39" s="1212" t="s">
        <v>31</v>
      </c>
      <c r="C39" s="335">
        <v>2435</v>
      </c>
      <c r="D39" s="335">
        <v>45325692</v>
      </c>
      <c r="E39" s="335">
        <v>3739</v>
      </c>
      <c r="F39" s="335">
        <v>16735988</v>
      </c>
    </row>
    <row r="40" spans="1:6">
      <c r="A40" s="1212" t="s">
        <v>30</v>
      </c>
      <c r="B40" s="1212" t="s">
        <v>29</v>
      </c>
      <c r="C40" s="335">
        <v>0</v>
      </c>
      <c r="D40" s="335">
        <v>0</v>
      </c>
      <c r="E40" s="335">
        <v>0</v>
      </c>
      <c r="F40" s="335">
        <v>0</v>
      </c>
    </row>
    <row r="41" spans="1:6">
      <c r="A41" s="1212" t="s">
        <v>32</v>
      </c>
      <c r="B41" s="1212" t="s">
        <v>33</v>
      </c>
      <c r="C41" s="335">
        <v>36</v>
      </c>
      <c r="D41" s="335">
        <v>1017919</v>
      </c>
      <c r="E41" s="335">
        <v>119</v>
      </c>
      <c r="F41" s="335">
        <v>23005407</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3</v>
      </c>
      <c r="D44" s="335">
        <v>50962</v>
      </c>
      <c r="E44" s="335">
        <v>25</v>
      </c>
      <c r="F44" s="335">
        <v>22858673</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6</v>
      </c>
      <c r="D47" s="335">
        <v>15087469</v>
      </c>
      <c r="E47" s="335">
        <v>7</v>
      </c>
      <c r="F47" s="335">
        <v>5716635</v>
      </c>
    </row>
    <row r="48" spans="1:6">
      <c r="A48" s="1212" t="s">
        <v>32</v>
      </c>
      <c r="B48" s="1212" t="s">
        <v>29</v>
      </c>
      <c r="C48" s="335">
        <v>2</v>
      </c>
      <c r="D48" s="335">
        <v>19821512</v>
      </c>
      <c r="E48" s="335">
        <v>3</v>
      </c>
      <c r="F48" s="335">
        <v>117187</v>
      </c>
    </row>
    <row r="49" spans="1:6">
      <c r="A49" s="1212" t="s">
        <v>32</v>
      </c>
      <c r="B49" s="1212" t="s">
        <v>40</v>
      </c>
      <c r="C49" s="335">
        <v>0</v>
      </c>
      <c r="D49" s="335">
        <v>0</v>
      </c>
      <c r="E49" s="335">
        <v>0</v>
      </c>
      <c r="F49" s="335">
        <v>0</v>
      </c>
    </row>
    <row r="50" spans="1:6">
      <c r="A50" s="1212" t="s">
        <v>32</v>
      </c>
      <c r="B50" s="1212" t="s">
        <v>41</v>
      </c>
      <c r="C50" s="335">
        <v>8</v>
      </c>
      <c r="D50" s="335">
        <v>381499</v>
      </c>
      <c r="E50" s="335">
        <v>10</v>
      </c>
      <c r="F50" s="335">
        <v>362955</v>
      </c>
    </row>
    <row r="51" spans="1:6">
      <c r="A51" s="1212" t="s">
        <v>42</v>
      </c>
      <c r="B51" s="1212" t="s">
        <v>43</v>
      </c>
      <c r="C51" s="335">
        <v>24</v>
      </c>
      <c r="D51" s="335">
        <v>4827632</v>
      </c>
      <c r="E51" s="335">
        <v>164</v>
      </c>
      <c r="F51" s="335">
        <v>3679828</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48</v>
      </c>
      <c r="F54" s="335">
        <v>1004783</v>
      </c>
    </row>
    <row r="55" spans="1:6">
      <c r="A55" s="1212" t="s">
        <v>46</v>
      </c>
      <c r="B55" s="1212" t="s">
        <v>29</v>
      </c>
      <c r="C55" s="335">
        <v>0</v>
      </c>
      <c r="D55" s="335">
        <v>0</v>
      </c>
      <c r="E55" s="335">
        <v>0</v>
      </c>
      <c r="F55" s="335">
        <v>0</v>
      </c>
    </row>
    <row r="56" spans="1:6">
      <c r="A56" s="1212" t="s">
        <v>48</v>
      </c>
      <c r="B56" s="1212" t="s">
        <v>29</v>
      </c>
      <c r="C56" s="335">
        <v>74</v>
      </c>
      <c r="D56" s="335">
        <v>3917518</v>
      </c>
      <c r="E56" s="335">
        <v>60</v>
      </c>
      <c r="F56" s="335">
        <v>458024</v>
      </c>
    </row>
    <row r="57" spans="1:6">
      <c r="A57" s="1212" t="s">
        <v>49</v>
      </c>
      <c r="B57" s="1212" t="s">
        <v>50</v>
      </c>
      <c r="C57" s="335">
        <v>24</v>
      </c>
      <c r="D57" s="335">
        <v>1225548</v>
      </c>
      <c r="E57" s="335">
        <v>76</v>
      </c>
      <c r="F57" s="335">
        <v>2390494</v>
      </c>
    </row>
    <row r="58" spans="1:6">
      <c r="A58" s="1212" t="s">
        <v>49</v>
      </c>
      <c r="B58" s="1212" t="s">
        <v>51</v>
      </c>
      <c r="C58" s="335">
        <v>12</v>
      </c>
      <c r="D58" s="335">
        <v>6734831</v>
      </c>
      <c r="E58" s="335">
        <v>23</v>
      </c>
      <c r="F58" s="335">
        <v>2987987</v>
      </c>
    </row>
    <row r="59" spans="1:6">
      <c r="A59" s="1212" t="s">
        <v>49</v>
      </c>
      <c r="B59" s="1212" t="s">
        <v>52</v>
      </c>
      <c r="C59" s="335">
        <v>55</v>
      </c>
      <c r="D59" s="335">
        <v>3022748</v>
      </c>
      <c r="E59" s="335">
        <v>146</v>
      </c>
      <c r="F59" s="335">
        <v>5068637</v>
      </c>
    </row>
    <row r="60" spans="1:6">
      <c r="A60" s="1212" t="s">
        <v>49</v>
      </c>
      <c r="B60" s="1212" t="s">
        <v>53</v>
      </c>
      <c r="C60" s="335">
        <v>14</v>
      </c>
      <c r="D60" s="335">
        <v>1362421</v>
      </c>
      <c r="E60" s="335">
        <v>24</v>
      </c>
      <c r="F60" s="335">
        <v>506593</v>
      </c>
    </row>
    <row r="61" spans="1:6">
      <c r="A61" s="1212" t="s">
        <v>49</v>
      </c>
      <c r="B61" s="1212" t="s">
        <v>54</v>
      </c>
      <c r="C61" s="335">
        <v>74</v>
      </c>
      <c r="D61" s="335">
        <v>4572890</v>
      </c>
      <c r="E61" s="335">
        <v>143</v>
      </c>
      <c r="F61" s="335">
        <v>2736921</v>
      </c>
    </row>
    <row r="62" spans="1:6">
      <c r="A62" s="1212" t="s">
        <v>49</v>
      </c>
      <c r="B62" s="1212" t="s">
        <v>55</v>
      </c>
      <c r="C62" s="335">
        <v>5</v>
      </c>
      <c r="D62" s="335">
        <v>501259</v>
      </c>
      <c r="E62" s="335">
        <v>8</v>
      </c>
      <c r="F62" s="335">
        <v>44470</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1</v>
      </c>
      <c r="D65" s="335">
        <v>62100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12</v>
      </c>
      <c r="F68" s="335">
        <v>124890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39773701</v>
      </c>
      <c r="E73" s="335">
        <v>41183387.466588944</v>
      </c>
    </row>
    <row r="74" spans="1:6">
      <c r="A74" s="1212" t="s">
        <v>64</v>
      </c>
      <c r="B74" s="1212" t="s">
        <v>727</v>
      </c>
      <c r="C74" s="1212" t="s">
        <v>728</v>
      </c>
      <c r="D74" s="335">
        <v>5005852.9536559582</v>
      </c>
      <c r="E74" s="335">
        <v>5195096.4377679182</v>
      </c>
    </row>
    <row r="75" spans="1:6">
      <c r="A75" s="1212" t="s">
        <v>65</v>
      </c>
      <c r="B75" s="1212" t="s">
        <v>725</v>
      </c>
      <c r="C75" s="1212" t="s">
        <v>729</v>
      </c>
      <c r="D75" s="335">
        <v>15376221</v>
      </c>
      <c r="E75" s="335">
        <v>16482482.822346797</v>
      </c>
    </row>
    <row r="76" spans="1:6">
      <c r="A76" s="1212" t="s">
        <v>65</v>
      </c>
      <c r="B76" s="1212" t="s">
        <v>727</v>
      </c>
      <c r="C76" s="1212" t="s">
        <v>730</v>
      </c>
      <c r="D76" s="335">
        <v>1879207.9536559577</v>
      </c>
      <c r="E76" s="335">
        <v>2003085.9204809102</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144858.09268808443</v>
      </c>
      <c r="C83" s="335">
        <v>145722.31804463544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3012.1755175630369</v>
      </c>
    </row>
    <row r="92" spans="1:6">
      <c r="A92" s="1208" t="s">
        <v>69</v>
      </c>
      <c r="B92" s="338">
        <v>4517.8360663460262</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1600</v>
      </c>
    </row>
    <row r="98" spans="1:6">
      <c r="A98" s="1212" t="s">
        <v>72</v>
      </c>
      <c r="B98" s="335">
        <v>0</v>
      </c>
    </row>
    <row r="99" spans="1:6">
      <c r="A99" s="1212" t="s">
        <v>73</v>
      </c>
      <c r="B99" s="335">
        <v>132</v>
      </c>
    </row>
    <row r="100" spans="1:6">
      <c r="A100" s="1212" t="s">
        <v>74</v>
      </c>
      <c r="B100" s="335">
        <v>309</v>
      </c>
    </row>
    <row r="101" spans="1:6">
      <c r="A101" s="1212" t="s">
        <v>75</v>
      </c>
      <c r="B101" s="335">
        <v>104</v>
      </c>
    </row>
    <row r="102" spans="1:6">
      <c r="A102" s="1212" t="s">
        <v>76</v>
      </c>
      <c r="B102" s="335">
        <v>64</v>
      </c>
    </row>
    <row r="103" spans="1:6">
      <c r="A103" s="1212" t="s">
        <v>77</v>
      </c>
      <c r="B103" s="335">
        <v>98</v>
      </c>
    </row>
    <row r="104" spans="1:6">
      <c r="A104" s="1212" t="s">
        <v>78</v>
      </c>
      <c r="B104" s="335">
        <v>1210</v>
      </c>
    </row>
    <row r="105" spans="1:6">
      <c r="A105" s="1208" t="s">
        <v>79</v>
      </c>
      <c r="B105" s="1208">
        <v>2</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9</v>
      </c>
      <c r="C123" s="335">
        <v>9</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96</v>
      </c>
    </row>
    <row r="130" spans="1:6">
      <c r="A130" s="1212" t="s">
        <v>295</v>
      </c>
      <c r="B130" s="335">
        <v>0</v>
      </c>
    </row>
    <row r="131" spans="1:6">
      <c r="A131" s="1212" t="s">
        <v>296</v>
      </c>
      <c r="B131" s="335">
        <v>5</v>
      </c>
    </row>
    <row r="132" spans="1:6">
      <c r="A132" s="1208" t="s">
        <v>297</v>
      </c>
      <c r="B132" s="338">
        <v>5</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95100.74492092547</v>
      </c>
      <c r="C3" s="43" t="s">
        <v>170</v>
      </c>
      <c r="D3" s="43"/>
      <c r="E3" s="156"/>
      <c r="F3" s="43"/>
      <c r="G3" s="43"/>
      <c r="H3" s="43"/>
      <c r="I3" s="43"/>
      <c r="J3" s="43"/>
      <c r="K3" s="96"/>
    </row>
    <row r="4" spans="1:11">
      <c r="A4" s="366" t="s">
        <v>171</v>
      </c>
      <c r="B4" s="49">
        <f>IF(ISERROR('SEAP template'!B69),0,'SEAP template'!B69)</f>
        <v>12399.011583909063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19.249411764705883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0.19238895020705044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27.499159663865548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6955.7142857142853</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3.9534630857888447E-3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1004.783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1004.783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0.19238895020705044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193.30914655589075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16735.988000000001</v>
      </c>
      <c r="C5" s="17">
        <f>IF(ISERROR('Eigen informatie GS &amp; warmtenet'!B57),0,'Eigen informatie GS &amp; warmtenet'!B57)</f>
        <v>0</v>
      </c>
      <c r="D5" s="30">
        <f>(SUM(HH_hh_gas_kWh,HH_rest_gas_kWh)/1000)*0.902</f>
        <v>40883.774184000002</v>
      </c>
      <c r="E5" s="17">
        <f>B46*B57</f>
        <v>5117.5869659449527</v>
      </c>
      <c r="F5" s="17">
        <f>B51*B62</f>
        <v>11594.034164661318</v>
      </c>
      <c r="G5" s="18"/>
      <c r="H5" s="17"/>
      <c r="I5" s="17"/>
      <c r="J5" s="17">
        <f>B50*B61+C50*C61</f>
        <v>589.90458096031648</v>
      </c>
      <c r="K5" s="17"/>
      <c r="L5" s="17"/>
      <c r="M5" s="17"/>
      <c r="N5" s="17">
        <f>B48*B59+C48*C59</f>
        <v>15115.818435704794</v>
      </c>
      <c r="O5" s="17">
        <f>B69*B70*B71</f>
        <v>164.15</v>
      </c>
      <c r="P5" s="17">
        <f>B77*B78*B79/1000-B77*B78*B79/1000/B80</f>
        <v>266.93333333333334</v>
      </c>
    </row>
    <row r="6" spans="1:16">
      <c r="A6" s="16" t="s">
        <v>634</v>
      </c>
      <c r="B6" s="831">
        <f>kWh_PV_kleiner_dan_10kW</f>
        <v>3012.1755175630369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19748.163517563036</v>
      </c>
      <c r="C8" s="21">
        <f>C5</f>
        <v>0</v>
      </c>
      <c r="D8" s="21">
        <f>D5</f>
        <v>40883.774184000002</v>
      </c>
      <c r="E8" s="21">
        <f>E5</f>
        <v>5117.5869659449527</v>
      </c>
      <c r="F8" s="21">
        <f>F5</f>
        <v>11594.034164661318</v>
      </c>
      <c r="G8" s="21"/>
      <c r="H8" s="21"/>
      <c r="I8" s="21"/>
      <c r="J8" s="21">
        <f>J5</f>
        <v>589.90458096031648</v>
      </c>
      <c r="K8" s="21"/>
      <c r="L8" s="21">
        <f>L5</f>
        <v>0</v>
      </c>
      <c r="M8" s="21">
        <f>M5</f>
        <v>0</v>
      </c>
      <c r="N8" s="21">
        <f>N5</f>
        <v>15115.818435704794</v>
      </c>
      <c r="O8" s="21">
        <f>O5</f>
        <v>164.15</v>
      </c>
      <c r="P8" s="21">
        <f>P5</f>
        <v>266.93333333333334</v>
      </c>
    </row>
    <row r="9" spans="1:16">
      <c r="B9" s="19"/>
      <c r="C9" s="19"/>
      <c r="D9" s="261"/>
      <c r="E9" s="19"/>
      <c r="F9" s="19"/>
      <c r="G9" s="19"/>
      <c r="H9" s="19"/>
      <c r="I9" s="19"/>
      <c r="J9" s="19"/>
      <c r="K9" s="19"/>
      <c r="L9" s="19"/>
      <c r="M9" s="19"/>
      <c r="N9" s="19"/>
      <c r="O9" s="19"/>
      <c r="P9" s="19"/>
    </row>
    <row r="10" spans="1:16">
      <c r="A10" s="24" t="s">
        <v>214</v>
      </c>
      <c r="B10" s="25">
        <f ca="1">'EF ele_warmte'!B12</f>
        <v>0.19238895020705044</v>
      </c>
      <c r="C10" s="25">
        <f ca="1">'EF ele_warmte'!B22</f>
        <v>3.9534630857888447E-3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3799.3284476611248</v>
      </c>
      <c r="C12" s="23">
        <f ca="1">C10*C8</f>
        <v>0</v>
      </c>
      <c r="D12" s="23">
        <f>D8*D10</f>
        <v>8258.5223851680003</v>
      </c>
      <c r="E12" s="23">
        <f>E10*E8</f>
        <v>1161.6922412695044</v>
      </c>
      <c r="F12" s="23">
        <f>F10*F8</f>
        <v>3095.6071219645719</v>
      </c>
      <c r="G12" s="23"/>
      <c r="H12" s="23"/>
      <c r="I12" s="23"/>
      <c r="J12" s="23">
        <f>J10*J8</f>
        <v>208.82622165995201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1600</v>
      </c>
      <c r="C18" s="168" t="s">
        <v>111</v>
      </c>
      <c r="D18" s="230"/>
      <c r="E18" s="15"/>
    </row>
    <row r="19" spans="1:7">
      <c r="A19" s="173" t="s">
        <v>72</v>
      </c>
      <c r="B19" s="37">
        <f>aantalw2001_ander</f>
        <v>0</v>
      </c>
      <c r="C19" s="168" t="s">
        <v>111</v>
      </c>
      <c r="D19" s="231"/>
      <c r="E19" s="15"/>
    </row>
    <row r="20" spans="1:7">
      <c r="A20" s="173" t="s">
        <v>73</v>
      </c>
      <c r="B20" s="37">
        <f>aantalw2001_propaan</f>
        <v>132</v>
      </c>
      <c r="C20" s="169">
        <f>IF(ISERROR(B20/SUM($B$20,$B$21,$B$22)*100),0,B20/SUM($B$20,$B$21,$B$22)*100)</f>
        <v>24.220183486238533</v>
      </c>
      <c r="D20" s="231"/>
      <c r="E20" s="15"/>
    </row>
    <row r="21" spans="1:7">
      <c r="A21" s="173" t="s">
        <v>74</v>
      </c>
      <c r="B21" s="37">
        <f>aantalw2001_elektriciteit</f>
        <v>309</v>
      </c>
      <c r="C21" s="169">
        <f>IF(ISERROR(B21/SUM($B$20,$B$21,$B$22)*100),0,B21/SUM($B$20,$B$21,$B$22)*100)</f>
        <v>56.697247706422019</v>
      </c>
      <c r="D21" s="231"/>
      <c r="E21" s="15"/>
    </row>
    <row r="22" spans="1:7">
      <c r="A22" s="173" t="s">
        <v>75</v>
      </c>
      <c r="B22" s="37">
        <f>aantalw2001_hout</f>
        <v>104</v>
      </c>
      <c r="C22" s="169">
        <f>IF(ISERROR(B22/SUM($B$20,$B$21,$B$22)*100),0,B22/SUM($B$20,$B$21,$B$22)*100)</f>
        <v>19.082568807339449</v>
      </c>
      <c r="D22" s="231"/>
      <c r="E22" s="15"/>
    </row>
    <row r="23" spans="1:7">
      <c r="A23" s="173" t="s">
        <v>76</v>
      </c>
      <c r="B23" s="37">
        <f>aantalw2001_niet_gespec</f>
        <v>64</v>
      </c>
      <c r="C23" s="168" t="s">
        <v>111</v>
      </c>
      <c r="D23" s="230"/>
      <c r="E23" s="15"/>
    </row>
    <row r="24" spans="1:7">
      <c r="A24" s="173" t="s">
        <v>77</v>
      </c>
      <c r="B24" s="37">
        <f>aantalw2001_steenkool</f>
        <v>98</v>
      </c>
      <c r="C24" s="168" t="s">
        <v>111</v>
      </c>
      <c r="D24" s="231"/>
      <c r="E24" s="15"/>
    </row>
    <row r="25" spans="1:7">
      <c r="A25" s="173" t="s">
        <v>78</v>
      </c>
      <c r="B25" s="37">
        <f>aantalw2001_stookolie</f>
        <v>1210</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3936</v>
      </c>
      <c r="C28" s="36"/>
      <c r="D28" s="230"/>
    </row>
    <row r="29" spans="1:7" s="15" customFormat="1">
      <c r="A29" s="232" t="s">
        <v>746</v>
      </c>
      <c r="B29" s="37">
        <f>SUM(HH_hh_gas_aantal,HH_rest_gas_aantal)</f>
        <v>2435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2435</v>
      </c>
      <c r="C32" s="169">
        <f>IF(ISERROR(B32/SUM($B$32,$B$34,$B$35,$B$36,$B$38,$B$39)*100),0,B32/SUM($B$32,$B$34,$B$35,$B$36,$B$38,$B$39)*100)</f>
        <v>62.085670576236616</v>
      </c>
      <c r="D32" s="235"/>
      <c r="G32" s="15"/>
    </row>
    <row r="33" spans="1:7">
      <c r="A33" s="173" t="s">
        <v>72</v>
      </c>
      <c r="B33" s="34" t="s">
        <v>111</v>
      </c>
      <c r="C33" s="169"/>
      <c r="D33" s="235"/>
      <c r="G33" s="15"/>
    </row>
    <row r="34" spans="1:7">
      <c r="A34" s="173" t="s">
        <v>73</v>
      </c>
      <c r="B34" s="33">
        <f>IF((($B$28-$B$32-$B$39-$B$77-$B$38)*C20/100)&lt;0,0,($B$28-$B$32-$B$39-$B$77-$B$38)*C20/100)</f>
        <v>245.5926605504587</v>
      </c>
      <c r="C34" s="169">
        <f>IF(ISERROR(B34/SUM($B$32,$B$34,$B$35,$B$36,$B$38,$B$39)*100),0,B34/SUM($B$32,$B$34,$B$35,$B$36,$B$38,$B$39)*100)</f>
        <v>6.2619240323931331</v>
      </c>
      <c r="D34" s="235"/>
      <c r="G34" s="15"/>
    </row>
    <row r="35" spans="1:7">
      <c r="A35" s="173" t="s">
        <v>74</v>
      </c>
      <c r="B35" s="33">
        <f>IF((($B$28-$B$32-$B$39-$B$77-$B$38)*C21/100)&lt;0,0,($B$28-$B$32-$B$39-$B$77-$B$38)*C21/100)</f>
        <v>574.91009174311921</v>
      </c>
      <c r="C35" s="169">
        <f>IF(ISERROR(B35/SUM($B$32,$B$34,$B$35,$B$36,$B$38,$B$39)*100),0,B35/SUM($B$32,$B$34,$B$35,$B$36,$B$38,$B$39)*100)</f>
        <v>14.658594894011198</v>
      </c>
      <c r="D35" s="235"/>
      <c r="G35" s="15"/>
    </row>
    <row r="36" spans="1:7">
      <c r="A36" s="173" t="s">
        <v>75</v>
      </c>
      <c r="B36" s="33">
        <f>IF((($B$28-$B$32-$B$39-$B$77-$B$38)*C22/100)&lt;0,0,($B$28-$B$32-$B$39-$B$77-$B$38)*C22/100)</f>
        <v>193.49724770642203</v>
      </c>
      <c r="C36" s="169">
        <f>IF(ISERROR(B36/SUM($B$32,$B$34,$B$35,$B$36,$B$38,$B$39)*100),0,B36/SUM($B$32,$B$34,$B$35,$B$36,$B$38,$B$39)*100)</f>
        <v>4.9336371164309538</v>
      </c>
      <c r="D36" s="235"/>
      <c r="G36" s="15"/>
    </row>
    <row r="37" spans="1:7">
      <c r="A37" s="173" t="s">
        <v>76</v>
      </c>
      <c r="B37" s="34" t="s">
        <v>111</v>
      </c>
      <c r="C37" s="169"/>
      <c r="D37" s="175"/>
      <c r="G37" s="15"/>
    </row>
    <row r="38" spans="1:7">
      <c r="A38" s="173" t="s">
        <v>77</v>
      </c>
      <c r="B38" s="33">
        <f>IF((B24-(B29-B18)*0.1)&lt;0,0,B24-(B29-B18)*0.1)</f>
        <v>14.5</v>
      </c>
      <c r="C38" s="169">
        <f>IF(ISERROR(B38/SUM($B$32,$B$34,$B$35,$B$36,$B$38,$B$39)*100),0,B38/SUM($B$32,$B$34,$B$35,$B$36,$B$38,$B$39)*100)</f>
        <v>0.36970933197348294</v>
      </c>
      <c r="D38" s="236"/>
      <c r="G38" s="15"/>
    </row>
    <row r="39" spans="1:7">
      <c r="A39" s="173" t="s">
        <v>78</v>
      </c>
      <c r="B39" s="33">
        <f>IF((B25-(B29-B18))&lt;0,0,B25-(B29-B18)*0.9)</f>
        <v>458.5</v>
      </c>
      <c r="C39" s="169">
        <f>IF(ISERROR(B39/SUM($B$32,$B$34,$B$35,$B$36,$B$38,$B$39)*100),0,B39/SUM($B$32,$B$34,$B$35,$B$36,$B$38,$B$39)*100)</f>
        <v>11.690464048954615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2435</v>
      </c>
      <c r="C44" s="34" t="s">
        <v>111</v>
      </c>
      <c r="D44" s="176"/>
    </row>
    <row r="45" spans="1:7">
      <c r="A45" s="173" t="s">
        <v>72</v>
      </c>
      <c r="B45" s="33" t="str">
        <f t="shared" si="0"/>
        <v>-</v>
      </c>
      <c r="C45" s="34" t="s">
        <v>111</v>
      </c>
      <c r="D45" s="176"/>
    </row>
    <row r="46" spans="1:7">
      <c r="A46" s="173" t="s">
        <v>73</v>
      </c>
      <c r="B46" s="33">
        <f t="shared" si="0"/>
        <v>245.5926605504587</v>
      </c>
      <c r="C46" s="34" t="s">
        <v>111</v>
      </c>
      <c r="D46" s="176"/>
    </row>
    <row r="47" spans="1:7">
      <c r="A47" s="173" t="s">
        <v>74</v>
      </c>
      <c r="B47" s="33">
        <f t="shared" si="0"/>
        <v>574.91009174311921</v>
      </c>
      <c r="C47" s="34" t="s">
        <v>111</v>
      </c>
      <c r="D47" s="176"/>
    </row>
    <row r="48" spans="1:7">
      <c r="A48" s="173" t="s">
        <v>75</v>
      </c>
      <c r="B48" s="33">
        <f t="shared" si="0"/>
        <v>193.49724770642203</v>
      </c>
      <c r="C48" s="33">
        <f>B48*10</f>
        <v>1934.9724770642204</v>
      </c>
      <c r="D48" s="236"/>
    </row>
    <row r="49" spans="1:6">
      <c r="A49" s="173" t="s">
        <v>76</v>
      </c>
      <c r="B49" s="33" t="str">
        <f t="shared" si="0"/>
        <v>-</v>
      </c>
      <c r="C49" s="34" t="s">
        <v>111</v>
      </c>
      <c r="D49" s="236"/>
    </row>
    <row r="50" spans="1:6">
      <c r="A50" s="173" t="s">
        <v>77</v>
      </c>
      <c r="B50" s="33">
        <f t="shared" si="0"/>
        <v>14.5</v>
      </c>
      <c r="C50" s="33">
        <f>B50*2</f>
        <v>29</v>
      </c>
      <c r="D50" s="236"/>
    </row>
    <row r="51" spans="1:6">
      <c r="A51" s="173" t="s">
        <v>78</v>
      </c>
      <c r="B51" s="33">
        <f t="shared" si="0"/>
        <v>458.5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13735.101999999999</v>
      </c>
      <c r="C5" s="17">
        <f>IF(ISERROR('Eigen informatie GS &amp; warmtenet'!B58),0,'Eigen informatie GS &amp; warmtenet'!B58)</f>
        <v>0</v>
      </c>
      <c r="D5" s="30">
        <f>SUM(D6:D12)</f>
        <v>15712.566693999999</v>
      </c>
      <c r="E5" s="17">
        <f>SUM(E6:E12)</f>
        <v>126.45300663205903</v>
      </c>
      <c r="F5" s="17">
        <f>SUM(F6:F12)</f>
        <v>2662.4313914120503</v>
      </c>
      <c r="G5" s="18"/>
      <c r="H5" s="17"/>
      <c r="I5" s="17"/>
      <c r="J5" s="17">
        <f>SUM(J6:J12)</f>
        <v>0</v>
      </c>
      <c r="K5" s="17"/>
      <c r="L5" s="17"/>
      <c r="M5" s="17"/>
      <c r="N5" s="17">
        <f>SUM(N6:N12)</f>
        <v>1711.5356833452606</v>
      </c>
      <c r="O5" s="17">
        <f>B38*B39*B40</f>
        <v>0</v>
      </c>
      <c r="P5" s="17">
        <f>B46*B47*B48/1000-B46*B47*B48/1000/B49</f>
        <v>95.333333333333343</v>
      </c>
      <c r="R5" s="32"/>
    </row>
    <row r="6" spans="1:18">
      <c r="A6" s="32" t="s">
        <v>54</v>
      </c>
      <c r="B6" s="37">
        <f>B26</f>
        <v>2736.9209999999998</v>
      </c>
      <c r="C6" s="33"/>
      <c r="D6" s="37">
        <f>IF(ISERROR(TER_kantoor_gas_kWh/1000),0,TER_kantoor_gas_kWh/1000)*0.902</f>
        <v>4124.7467800000004</v>
      </c>
      <c r="E6" s="33">
        <f>$C$26*'E Balans VL '!I12/100/3.6*1000000</f>
        <v>10.633517524936675</v>
      </c>
      <c r="F6" s="33">
        <f>$C$26*('E Balans VL '!L12+'E Balans VL '!N12)/100/3.6*1000000</f>
        <v>416.26078010441876</v>
      </c>
      <c r="G6" s="34"/>
      <c r="H6" s="33"/>
      <c r="I6" s="33"/>
      <c r="J6" s="33">
        <f>$C$26*('E Balans VL '!D12+'E Balans VL '!E12)/100/3.6*1000000</f>
        <v>0</v>
      </c>
      <c r="K6" s="33"/>
      <c r="L6" s="33"/>
      <c r="M6" s="33"/>
      <c r="N6" s="33">
        <f>$C$26*'E Balans VL '!Y12/100/3.6*1000000</f>
        <v>1.5083713460612396</v>
      </c>
      <c r="O6" s="33"/>
      <c r="P6" s="33"/>
      <c r="R6" s="32"/>
    </row>
    <row r="7" spans="1:18">
      <c r="A7" s="32" t="s">
        <v>53</v>
      </c>
      <c r="B7" s="37">
        <f t="shared" ref="B7:B12" si="0">B27</f>
        <v>506.59300000000002</v>
      </c>
      <c r="C7" s="33"/>
      <c r="D7" s="37">
        <f>IF(ISERROR(TER_horeca_gas_kWh/1000),0,TER_horeca_gas_kWh/1000)*0.902</f>
        <v>1228.903742</v>
      </c>
      <c r="E7" s="33">
        <f>$C$27*'E Balans VL '!I9/100/3.6*1000000</f>
        <v>28.536519130528074</v>
      </c>
      <c r="F7" s="33">
        <f>$C$27*('E Balans VL '!L9+'E Balans VL '!N9)/100/3.6*1000000</f>
        <v>146.07109209622826</v>
      </c>
      <c r="G7" s="34"/>
      <c r="H7" s="33"/>
      <c r="I7" s="33"/>
      <c r="J7" s="33">
        <f>$C$27*('E Balans VL '!D9+'E Balans VL '!E9)/100/3.6*1000000</f>
        <v>0</v>
      </c>
      <c r="K7" s="33"/>
      <c r="L7" s="33"/>
      <c r="M7" s="33"/>
      <c r="N7" s="33">
        <f>$C$27*'E Balans VL '!Y9/100/3.6*1000000</f>
        <v>0.13986769479508773</v>
      </c>
      <c r="O7" s="33"/>
      <c r="P7" s="33"/>
      <c r="R7" s="32"/>
    </row>
    <row r="8" spans="1:18">
      <c r="A8" s="6" t="s">
        <v>52</v>
      </c>
      <c r="B8" s="37">
        <f t="shared" si="0"/>
        <v>5068.6369999999997</v>
      </c>
      <c r="C8" s="33"/>
      <c r="D8" s="37">
        <f>IF(ISERROR(TER_handel_gas_kWh/1000),0,TER_handel_gas_kWh/1000)*0.902</f>
        <v>2726.5186960000001</v>
      </c>
      <c r="E8" s="33">
        <f>$C$28*'E Balans VL '!I13/100/3.6*1000000</f>
        <v>73.056255344739881</v>
      </c>
      <c r="F8" s="33">
        <f>$C$28*('E Balans VL '!L13+'E Balans VL '!N13)/100/3.6*1000000</f>
        <v>880.54028749048609</v>
      </c>
      <c r="G8" s="34"/>
      <c r="H8" s="33"/>
      <c r="I8" s="33"/>
      <c r="J8" s="33">
        <f>$C$28*('E Balans VL '!D13+'E Balans VL '!E13)/100/3.6*1000000</f>
        <v>0</v>
      </c>
      <c r="K8" s="33"/>
      <c r="L8" s="33"/>
      <c r="M8" s="33"/>
      <c r="N8" s="33">
        <f>$C$28*'E Balans VL '!Y13/100/3.6*1000000</f>
        <v>15.186200704294519</v>
      </c>
      <c r="O8" s="33"/>
      <c r="P8" s="33"/>
      <c r="R8" s="32"/>
    </row>
    <row r="9" spans="1:18">
      <c r="A9" s="32" t="s">
        <v>51</v>
      </c>
      <c r="B9" s="37">
        <f t="shared" si="0"/>
        <v>2987.9870000000001</v>
      </c>
      <c r="C9" s="33"/>
      <c r="D9" s="37">
        <f>IF(ISERROR(TER_gezond_gas_kWh/1000),0,TER_gezond_gas_kWh/1000)*0.902</f>
        <v>6074.8175620000002</v>
      </c>
      <c r="E9" s="33">
        <f>$C$29*'E Balans VL '!I10/100/3.6*1000000</f>
        <v>3.191944573789339</v>
      </c>
      <c r="F9" s="33">
        <f>$C$29*('E Balans VL '!L10+'E Balans VL '!N10)/100/3.6*1000000</f>
        <v>487.4314880325345</v>
      </c>
      <c r="G9" s="34"/>
      <c r="H9" s="33"/>
      <c r="I9" s="33"/>
      <c r="J9" s="33">
        <f>$C$29*('E Balans VL '!D10+'E Balans VL '!E10)/100/3.6*1000000</f>
        <v>0</v>
      </c>
      <c r="K9" s="33"/>
      <c r="L9" s="33"/>
      <c r="M9" s="33"/>
      <c r="N9" s="33">
        <f>$C$29*'E Balans VL '!Y10/100/3.6*1000000</f>
        <v>30.759621253631312</v>
      </c>
      <c r="O9" s="33"/>
      <c r="P9" s="33"/>
      <c r="R9" s="32"/>
    </row>
    <row r="10" spans="1:18">
      <c r="A10" s="32" t="s">
        <v>50</v>
      </c>
      <c r="B10" s="37">
        <f t="shared" si="0"/>
        <v>2390.4940000000001</v>
      </c>
      <c r="C10" s="33"/>
      <c r="D10" s="37">
        <f>IF(ISERROR(TER_ander_gas_kWh/1000),0,TER_ander_gas_kWh/1000)*0.902</f>
        <v>1105.4442960000001</v>
      </c>
      <c r="E10" s="33">
        <f>$C$30*'E Balans VL '!I14/100/3.6*1000000</f>
        <v>10.993518284869683</v>
      </c>
      <c r="F10" s="33">
        <f>$C$30*('E Balans VL '!L14+'E Balans VL '!N14)/100/3.6*1000000</f>
        <v>716.5064547578495</v>
      </c>
      <c r="G10" s="34"/>
      <c r="H10" s="33"/>
      <c r="I10" s="33"/>
      <c r="J10" s="33">
        <f>$C$30*('E Balans VL '!D14+'E Balans VL '!E14)/100/3.6*1000000</f>
        <v>0</v>
      </c>
      <c r="K10" s="33"/>
      <c r="L10" s="33"/>
      <c r="M10" s="33"/>
      <c r="N10" s="33">
        <f>$C$30*'E Balans VL '!Y14/100/3.6*1000000</f>
        <v>1663.9416223464784</v>
      </c>
      <c r="O10" s="33"/>
      <c r="P10" s="33"/>
      <c r="R10" s="32"/>
    </row>
    <row r="11" spans="1:18">
      <c r="A11" s="32" t="s">
        <v>55</v>
      </c>
      <c r="B11" s="37">
        <f t="shared" si="0"/>
        <v>44.47</v>
      </c>
      <c r="C11" s="33"/>
      <c r="D11" s="37">
        <f>IF(ISERROR(TER_onderwijs_gas_kWh/1000),0,TER_onderwijs_gas_kWh/1000)*0.902</f>
        <v>452.13561800000002</v>
      </c>
      <c r="E11" s="33">
        <f>$C$31*'E Balans VL '!I11/100/3.6*1000000</f>
        <v>4.1251773195367603E-2</v>
      </c>
      <c r="F11" s="33">
        <f>$C$31*('E Balans VL '!L11+'E Balans VL '!N11)/100/3.6*1000000</f>
        <v>15.621288930532923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4869</v>
      </c>
      <c r="C13" s="249">
        <f ca="1">'lokale energieproductie'!O90+'lokale energieproductie'!O59</f>
        <v>6955.7142857142853</v>
      </c>
      <c r="D13" s="312">
        <f ca="1">('lokale energieproductie'!P59+'lokale energieproductie'!P90)*(-1)</f>
        <v>-231.42857142857144</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-13680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18604.101999999999</v>
      </c>
      <c r="C16" s="21">
        <f t="shared" ca="1" si="1"/>
        <v>6955.7142857142853</v>
      </c>
      <c r="D16" s="21">
        <f t="shared" ca="1" si="1"/>
        <v>15481.138122571429</v>
      </c>
      <c r="E16" s="21">
        <f t="shared" si="1"/>
        <v>126.45300663205903</v>
      </c>
      <c r="F16" s="21">
        <f t="shared" ca="1" si="1"/>
        <v>2662.4313914120503</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0.19238895020705044</v>
      </c>
      <c r="C18" s="25">
        <f ca="1">'EF ele_warmte'!B22</f>
        <v>3.9534630857888447E-3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3579.2236533248874</v>
      </c>
      <c r="C20" s="23">
        <f t="shared" ref="C20:P20" ca="1" si="2">C16*C18</f>
        <v>27.499159663865548</v>
      </c>
      <c r="D20" s="23">
        <f t="shared" ca="1" si="2"/>
        <v>3127.1899007594288</v>
      </c>
      <c r="E20" s="23">
        <f t="shared" si="2"/>
        <v>28.704832505477402</v>
      </c>
      <c r="F20" s="23">
        <f t="shared" ca="1" si="2"/>
        <v>710.86918150701752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2736.9209999999998</v>
      </c>
      <c r="C26" s="39">
        <f>IF(ISERROR(B26*3.6/1000000/'E Balans VL '!Z12*100),0,B26*3.6/1000000/'E Balans VL '!Z12*100)</f>
        <v>5.813355773442553E-2</v>
      </c>
      <c r="D26" s="239" t="s">
        <v>692</v>
      </c>
      <c r="F26" s="6"/>
    </row>
    <row r="27" spans="1:18">
      <c r="A27" s="233" t="s">
        <v>53</v>
      </c>
      <c r="B27" s="33">
        <f>IF(ISERROR(TER_horeca_ele_kWh/1000),0,TER_horeca_ele_kWh/1000)</f>
        <v>506.59300000000002</v>
      </c>
      <c r="C27" s="39">
        <f>IF(ISERROR(B27*3.6/1000000/'E Balans VL '!Z9*100),0,B27*3.6/1000000/'E Balans VL '!Z9*100)</f>
        <v>3.9390690941034097E-2</v>
      </c>
      <c r="D27" s="239" t="s">
        <v>692</v>
      </c>
      <c r="F27" s="6"/>
    </row>
    <row r="28" spans="1:18">
      <c r="A28" s="173" t="s">
        <v>52</v>
      </c>
      <c r="B28" s="33">
        <f>IF(ISERROR(TER_handel_ele_kWh/1000),0,TER_handel_ele_kWh/1000)</f>
        <v>5068.6369999999997</v>
      </c>
      <c r="C28" s="39">
        <f>IF(ISERROR(B28*3.6/1000000/'E Balans VL '!Z13*100),0,B28*3.6/1000000/'E Balans VL '!Z13*100)</f>
        <v>0.14501966975902081</v>
      </c>
      <c r="D28" s="239" t="s">
        <v>692</v>
      </c>
      <c r="F28" s="6"/>
    </row>
    <row r="29" spans="1:18">
      <c r="A29" s="233" t="s">
        <v>51</v>
      </c>
      <c r="B29" s="33">
        <f>IF(ISERROR(TER_gezond_ele_kWh/1000),0,TER_gezond_ele_kWh/1000)</f>
        <v>2987.9870000000001</v>
      </c>
      <c r="C29" s="39">
        <f>IF(ISERROR(B29*3.6/1000000/'E Balans VL '!Z10*100),0,B29*3.6/1000000/'E Balans VL '!Z10*100)</f>
        <v>0.32576001549071465</v>
      </c>
      <c r="D29" s="239" t="s">
        <v>692</v>
      </c>
      <c r="F29" s="6"/>
    </row>
    <row r="30" spans="1:18">
      <c r="A30" s="233" t="s">
        <v>50</v>
      </c>
      <c r="B30" s="33">
        <f>IF(ISERROR(TER_ander_ele_kWh/1000),0,TER_ander_ele_kWh/1000)</f>
        <v>2390.4940000000001</v>
      </c>
      <c r="C30" s="39">
        <f>IF(ISERROR(B30*3.6/1000000/'E Balans VL '!Z14*100),0,B30*3.6/1000000/'E Balans VL '!Z14*100)</f>
        <v>0.1749309282129087</v>
      </c>
      <c r="D30" s="239" t="s">
        <v>692</v>
      </c>
      <c r="F30" s="6"/>
    </row>
    <row r="31" spans="1:18">
      <c r="A31" s="233" t="s">
        <v>55</v>
      </c>
      <c r="B31" s="33">
        <f>IF(ISERROR(TER_onderwijs_ele_kWh/1000),0,TER_onderwijs_ele_kWh/1000)</f>
        <v>44.47</v>
      </c>
      <c r="C31" s="39">
        <f>IF(ISERROR(B31*3.6/1000000/'E Balans VL '!Z11*100),0,B31*3.6/1000000/'E Balans VL '!Z11*100)</f>
        <v>8.9318325225114081E-3</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5</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52060.857000000004</v>
      </c>
      <c r="C5" s="17">
        <f>IF(ISERROR('Eigen informatie GS &amp; warmtenet'!B59),0,'Eigen informatie GS &amp; warmtenet'!B59)</f>
        <v>0</v>
      </c>
      <c r="D5" s="30">
        <f>SUM(D6:D15)</f>
        <v>32796.143622000003</v>
      </c>
      <c r="E5" s="17">
        <f>SUM(E6:E15)</f>
        <v>6979.6181869534348</v>
      </c>
      <c r="F5" s="17">
        <f>SUM(F6:F15)</f>
        <v>22182.168959532013</v>
      </c>
      <c r="G5" s="18"/>
      <c r="H5" s="17"/>
      <c r="I5" s="17"/>
      <c r="J5" s="17">
        <f>SUM(J6:J15)</f>
        <v>0.30515910453018441</v>
      </c>
      <c r="K5" s="17"/>
      <c r="L5" s="17"/>
      <c r="M5" s="17"/>
      <c r="N5" s="17">
        <f>SUM(N6:N15)</f>
        <v>20479.875181265401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22858.672999999999</v>
      </c>
      <c r="C8" s="33"/>
      <c r="D8" s="37">
        <f>IF( ISERROR(IND_metaal_Gas_kWH/1000),0,IND_metaal_Gas_kWH/1000)*0.902</f>
        <v>45.967724000000004</v>
      </c>
      <c r="E8" s="33">
        <f>C30*'E Balans VL '!I18/100/3.6*1000000</f>
        <v>656.58688949250734</v>
      </c>
      <c r="F8" s="33">
        <f>C30*'E Balans VL '!L18/100/3.6*1000000+C30*'E Balans VL '!N18/100/3.6*1000000</f>
        <v>5862.8099890376325</v>
      </c>
      <c r="G8" s="34"/>
      <c r="H8" s="33"/>
      <c r="I8" s="33"/>
      <c r="J8" s="40">
        <f>C30*'E Balans VL '!D18/100/3.6*1000000+C30*'E Balans VL '!E18/100/3.6*1000000</f>
        <v>0</v>
      </c>
      <c r="K8" s="33"/>
      <c r="L8" s="33"/>
      <c r="M8" s="33"/>
      <c r="N8" s="33">
        <f>C30*'E Balans VL '!Y18/100/3.6*1000000</f>
        <v>620.65963311244013</v>
      </c>
      <c r="O8" s="33"/>
      <c r="P8" s="33"/>
      <c r="R8" s="32"/>
    </row>
    <row r="9" spans="1:18">
      <c r="A9" s="6" t="s">
        <v>33</v>
      </c>
      <c r="B9" s="37">
        <f t="shared" si="0"/>
        <v>23005.406999999999</v>
      </c>
      <c r="C9" s="33"/>
      <c r="D9" s="37">
        <f>IF( ISERROR(IND_andere_gas_kWh/1000),0,IND_andere_gas_kWh/1000)*0.902</f>
        <v>918.16293800000005</v>
      </c>
      <c r="E9" s="33">
        <f>C31*'E Balans VL '!I19/100/3.6*1000000</f>
        <v>6226.9980400276199</v>
      </c>
      <c r="F9" s="33">
        <f>C31*'E Balans VL '!L19/100/3.6*1000000+C31*'E Balans VL '!N19/100/3.6*1000000</f>
        <v>15324.035542599862</v>
      </c>
      <c r="G9" s="34"/>
      <c r="H9" s="33"/>
      <c r="I9" s="33"/>
      <c r="J9" s="40">
        <f>C31*'E Balans VL '!D19/100/3.6*1000000+C31*'E Balans VL '!E19/100/3.6*1000000</f>
        <v>0</v>
      </c>
      <c r="K9" s="33"/>
      <c r="L9" s="33"/>
      <c r="M9" s="33"/>
      <c r="N9" s="33">
        <f>C31*'E Balans VL '!Y19/100/3.6*1000000</f>
        <v>7510.8832329732695</v>
      </c>
      <c r="O9" s="33"/>
      <c r="P9" s="33"/>
      <c r="R9" s="32"/>
    </row>
    <row r="10" spans="1:18">
      <c r="A10" s="6" t="s">
        <v>41</v>
      </c>
      <c r="B10" s="37">
        <f t="shared" si="0"/>
        <v>362.95499999999998</v>
      </c>
      <c r="C10" s="33"/>
      <c r="D10" s="37">
        <f>IF( ISERROR(IND_voed_gas_kWh/1000),0,IND_voed_gas_kWh/1000)*0.902</f>
        <v>344.112098</v>
      </c>
      <c r="E10" s="33">
        <f>C32*'E Balans VL '!I20/100/3.6*1000000</f>
        <v>29.603443667414137</v>
      </c>
      <c r="F10" s="33">
        <f>C32*'E Balans VL '!L20/100/3.6*1000000+C32*'E Balans VL '!N20/100/3.6*1000000</f>
        <v>541.1988351629833</v>
      </c>
      <c r="G10" s="34"/>
      <c r="H10" s="33"/>
      <c r="I10" s="33"/>
      <c r="J10" s="40">
        <f>C32*'E Balans VL '!D20/100/3.6*1000000+C32*'E Balans VL '!E20/100/3.6*1000000</f>
        <v>4.801454081732502E-3</v>
      </c>
      <c r="K10" s="33"/>
      <c r="L10" s="33"/>
      <c r="M10" s="33"/>
      <c r="N10" s="33">
        <f>C32*'E Balans VL '!Y20/100/3.6*1000000</f>
        <v>106.62337169903384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5716.6350000000002</v>
      </c>
      <c r="C13" s="33"/>
      <c r="D13" s="37">
        <f>IF( ISERROR(IND_papier_gas_kWh/1000),0,IND_papier_gas_kWh/1000)*0.902</f>
        <v>13608.897037999999</v>
      </c>
      <c r="E13" s="33">
        <f>C35*'E Balans VL '!I23/100/3.6*1000000</f>
        <v>59.892166062989354</v>
      </c>
      <c r="F13" s="33">
        <f>C35*'E Balans VL '!L23/100/3.6*1000000+C35*'E Balans VL '!N23/100/3.6*1000000</f>
        <v>426.57631695087593</v>
      </c>
      <c r="G13" s="34"/>
      <c r="H13" s="33"/>
      <c r="I13" s="33"/>
      <c r="J13" s="40">
        <f>C35*'E Balans VL '!D23/100/3.6*1000000+C35*'E Balans VL '!E23/100/3.6*1000000</f>
        <v>0</v>
      </c>
      <c r="K13" s="33"/>
      <c r="L13" s="33"/>
      <c r="M13" s="33"/>
      <c r="N13" s="33">
        <f>C35*'E Balans VL '!Y23/100/3.6*1000000</f>
        <v>12218.710628268325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117.187</v>
      </c>
      <c r="C15" s="33"/>
      <c r="D15" s="37">
        <f>IF( ISERROR(IND_rest_gas_kWh/1000),0,IND_rest_gas_kWh/1000)*0.902</f>
        <v>17879.003823999999</v>
      </c>
      <c r="E15" s="33">
        <f>C37*'E Balans VL '!I15/100/3.6*1000000</f>
        <v>6.5376477029036471</v>
      </c>
      <c r="F15" s="33">
        <f>C37*'E Balans VL '!L15/100/3.6*1000000+C37*'E Balans VL '!N15/100/3.6*1000000</f>
        <v>27.54827578065726</v>
      </c>
      <c r="G15" s="34"/>
      <c r="H15" s="33"/>
      <c r="I15" s="33"/>
      <c r="J15" s="40">
        <f>C37*'E Balans VL '!D15/100/3.6*1000000+C37*'E Balans VL '!E15/100/3.6*1000000</f>
        <v>0.30035765044845192</v>
      </c>
      <c r="K15" s="33"/>
      <c r="L15" s="33"/>
      <c r="M15" s="33"/>
      <c r="N15" s="33">
        <f>C37*'E Balans VL '!Y15/100/3.6*1000000</f>
        <v>22.998315212330446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52060.857000000004</v>
      </c>
      <c r="C18" s="21">
        <f>C5+C16</f>
        <v>0</v>
      </c>
      <c r="D18" s="21">
        <f>MAX((D5+D16),0)</f>
        <v>32796.143622000003</v>
      </c>
      <c r="E18" s="21">
        <f>MAX((E5+E16),0)</f>
        <v>6979.6181869534348</v>
      </c>
      <c r="F18" s="21">
        <f>MAX((F5+F16),0)</f>
        <v>22182.168959532013</v>
      </c>
      <c r="G18" s="21"/>
      <c r="H18" s="21"/>
      <c r="I18" s="21"/>
      <c r="J18" s="21">
        <f>MAX((J5+J16),0)</f>
        <v>0.30515910453018441</v>
      </c>
      <c r="K18" s="21"/>
      <c r="L18" s="21">
        <f>MAX((L5+L16),0)</f>
        <v>0</v>
      </c>
      <c r="M18" s="21"/>
      <c r="N18" s="21">
        <f>MAX((N5+N16),0)</f>
        <v>20479.875181265401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0.19238895020705044</v>
      </c>
      <c r="C20" s="25">
        <f ca="1">'EF ele_warmte'!B22</f>
        <v>3.9534630857888447E-3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10015.933625109374</v>
      </c>
      <c r="C22" s="23">
        <f ca="1">C18*C20</f>
        <v>0</v>
      </c>
      <c r="D22" s="23">
        <f>D18*D20</f>
        <v>6624.8210116440014</v>
      </c>
      <c r="E22" s="23">
        <f>E18*E20</f>
        <v>1584.3733284384298</v>
      </c>
      <c r="F22" s="23">
        <f>F18*F20</f>
        <v>5922.6391121950483</v>
      </c>
      <c r="G22" s="23"/>
      <c r="H22" s="23"/>
      <c r="I22" s="23"/>
      <c r="J22" s="23">
        <f>J18*J20</f>
        <v>0.10802632300368528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22858.672999999999</v>
      </c>
      <c r="C30" s="39">
        <f>IF(ISERROR(B30*3.6/1000000/'E Balans VL '!Z18*100),0,B30*3.6/1000000/'E Balans VL '!Z18*100)</f>
        <v>2.2492350712237785</v>
      </c>
      <c r="D30" s="239" t="s">
        <v>692</v>
      </c>
    </row>
    <row r="31" spans="1:18">
      <c r="A31" s="6" t="s">
        <v>33</v>
      </c>
      <c r="B31" s="37">
        <f>IF( ISERROR(IND_ander_ele_kWh/1000),0,IND_ander_ele_kWh/1000)</f>
        <v>23005.406999999999</v>
      </c>
      <c r="C31" s="39">
        <f>IF(ISERROR(B31*3.6/1000000/'E Balans VL '!Z19*100),0,B31*3.6/1000000/'E Balans VL '!Z19*100)</f>
        <v>1.0018671236176078</v>
      </c>
      <c r="D31" s="239" t="s">
        <v>692</v>
      </c>
    </row>
    <row r="32" spans="1:18">
      <c r="A32" s="173" t="s">
        <v>41</v>
      </c>
      <c r="B32" s="37">
        <f>IF( ISERROR(IND_voed_ele_kWh/1000),0,IND_voed_ele_kWh/1000)</f>
        <v>362.95499999999998</v>
      </c>
      <c r="C32" s="39">
        <f>IF(ISERROR(B32*3.6/1000000/'E Balans VL '!Z20*100),0,B32*3.6/1000000/'E Balans VL '!Z20*100)</f>
        <v>6.8865476869467437E-2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5716.6350000000002</v>
      </c>
      <c r="C35" s="39">
        <f>IF(ISERROR(B35*3.6/1000000/'E Balans VL '!Z22*100),0,B35*3.6/1000000/'E Balans VL '!Z22*100)</f>
        <v>0.80381628565938801</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117.187</v>
      </c>
      <c r="C37" s="39">
        <f>IF(ISERROR(B37*3.6/1000000/'E Balans VL '!Z15*100),0,B37*3.6/1000000/'E Balans VL '!Z15*100)</f>
        <v>9.0306977030517527E-4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3679.828</v>
      </c>
      <c r="C5" s="17">
        <f>'Eigen informatie GS &amp; warmtenet'!B60</f>
        <v>0</v>
      </c>
      <c r="D5" s="30">
        <f>IF(ISERROR(SUM(LB_lb_gas_kWh,LB_rest_gas_kWh,onbekend_gas_kWh)/1000),0,SUM(LB_lb_gas_kWh,LB_rest_gas_kWh,onbekend_gas_kWh)/1000)*0.902</f>
        <v>4354.5240640000002</v>
      </c>
      <c r="E5" s="17">
        <f>B17*'E Balans VL '!I25/3.6*1000000/100</f>
        <v>46.370573382321929</v>
      </c>
      <c r="F5" s="17">
        <f>B17*('E Balans VL '!L25/3.6*1000000+'E Balans VL '!N25/3.6*1000000)/100</f>
        <v>12696.328451996917</v>
      </c>
      <c r="G5" s="18"/>
      <c r="H5" s="17"/>
      <c r="I5" s="17"/>
      <c r="J5" s="17">
        <f>('E Balans VL '!D25+'E Balans VL '!E25)/3.6*1000000*landbouw!B17/100</f>
        <v>553.40430039164266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3679.828</v>
      </c>
      <c r="C8" s="21">
        <f>C5+C6</f>
        <v>0</v>
      </c>
      <c r="D8" s="21">
        <f>MAX((D5+D6),0)</f>
        <v>4354.5240640000002</v>
      </c>
      <c r="E8" s="21">
        <f>MAX((E5+E6),0)</f>
        <v>46.370573382321929</v>
      </c>
      <c r="F8" s="21">
        <f>MAX((F5+F6),0)</f>
        <v>12696.328451996917</v>
      </c>
      <c r="G8" s="21"/>
      <c r="H8" s="21"/>
      <c r="I8" s="21"/>
      <c r="J8" s="21">
        <f>MAX((J5+J6),0)</f>
        <v>553.40430039164266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0.19238895020705044</v>
      </c>
      <c r="C10" s="31">
        <f ca="1">'EF ele_warmte'!B22</f>
        <v>3.9534630857888447E-3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707.95824586251001</v>
      </c>
      <c r="C12" s="23">
        <f ca="1">C8*C10</f>
        <v>0</v>
      </c>
      <c r="D12" s="23">
        <f>D8*D10</f>
        <v>879.61386092800012</v>
      </c>
      <c r="E12" s="23">
        <f>E8*E10</f>
        <v>10.526120157787078</v>
      </c>
      <c r="F12" s="23">
        <f>F8*F10</f>
        <v>3389.9196966831769</v>
      </c>
      <c r="G12" s="23"/>
      <c r="H12" s="23"/>
      <c r="I12" s="23"/>
      <c r="J12" s="23">
        <f>J8*J10</f>
        <v>195.90512233864149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0.51322002455373383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397.92844601511138</v>
      </c>
      <c r="C26" s="249">
        <f>B26*'GWP N2O_CH4'!B5</f>
        <v>8356.4973663173387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461.9142214068811</v>
      </c>
      <c r="C27" s="249">
        <f>B27*'GWP N2O_CH4'!B5</f>
        <v>9700.1986495445035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6.4950593229111497</v>
      </c>
      <c r="C28" s="249">
        <f>B28*'GWP N2O_CH4'!B4</f>
        <v>2013.4683901024564</v>
      </c>
      <c r="D28" s="50"/>
    </row>
    <row r="29" spans="1:4">
      <c r="A29" s="41" t="s">
        <v>277</v>
      </c>
      <c r="B29" s="249">
        <f>B34*'ha_N2O bodem landbouw'!B4</f>
        <v>15.749314267613924</v>
      </c>
      <c r="C29" s="249">
        <f>B29*'GWP N2O_CH4'!B4</f>
        <v>4882.2874229603167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3.9324464010827617E-3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1.0841052104775269E-5</v>
      </c>
      <c r="C5" s="448" t="s">
        <v>211</v>
      </c>
      <c r="D5" s="433">
        <f>SUM(D6:D11)</f>
        <v>1.8698371368908759E-5</v>
      </c>
      <c r="E5" s="433">
        <f>SUM(E6:E11)</f>
        <v>5.6835009041188047E-4</v>
      </c>
      <c r="F5" s="446" t="s">
        <v>211</v>
      </c>
      <c r="G5" s="433">
        <f>SUM(G6:G11)</f>
        <v>0.16977685545893101</v>
      </c>
      <c r="H5" s="433">
        <f>SUM(H6:H11)</f>
        <v>2.7979577223819579E-2</v>
      </c>
      <c r="I5" s="448" t="s">
        <v>211</v>
      </c>
      <c r="J5" s="448" t="s">
        <v>211</v>
      </c>
      <c r="K5" s="448" t="s">
        <v>211</v>
      </c>
      <c r="L5" s="448" t="s">
        <v>211</v>
      </c>
      <c r="M5" s="433">
        <f>SUM(M6:M11)</f>
        <v>8.8566848645621581E-3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7.8184836769261834E-6</v>
      </c>
      <c r="C6" s="949"/>
      <c r="D6" s="949">
        <f>vkm_2011_GW_PW*SUMIFS(TableVerdeelsleutelVkm[CNG],TableVerdeelsleutelVkm[Voertuigtype],"Lichte voertuigen")*SUMIFS(TableECFTransport[EnergieConsumptieFactor (PJ per km)],TableECFTransport[Index],CONCATENATE($A6,"_CNG_CNG"))</f>
        <v>1.1072502030369045E-5</v>
      </c>
      <c r="E6" s="949">
        <f>vkm_2011_GW_PW*SUMIFS(TableVerdeelsleutelVkm[LPG],TableVerdeelsleutelVkm[Voertuigtype],"Lichte voertuigen")*SUMIFS(TableECFTransport[EnergieConsumptieFactor (PJ per km)],TableECFTransport[Index],CONCATENATE($A6,"_LPG_LPG"))</f>
        <v>3.4775083713487701E-4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6.2500347560204256E-2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1.6794411984838924E-2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3.5384835915810179E-3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4.7253992242691757E-2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1.6835910503282806E-5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2.1323760644118509E-3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3.0225684278490857E-6</v>
      </c>
      <c r="C8" s="949"/>
      <c r="D8" s="436">
        <f>vkm_2011_NGW_PW*SUMIFS(TableVerdeelsleutelVkm[CNG],TableVerdeelsleutelVkm[Voertuigtype],"Lichte voertuigen")*SUMIFS(TableECFTransport[EnergieConsumptieFactor (PJ per km)],TableECFTransport[Index],CONCATENATE($A8,"_CNG_CNG"))</f>
        <v>7.6258693385397146E-6</v>
      </c>
      <c r="E8" s="436">
        <f>vkm_2011_NGW_PW*SUMIFS(TableVerdeelsleutelVkm[LPG],TableVerdeelsleutelVkm[Voertuigtype],"Lichte voertuigen")*SUMIFS(TableECFTransport[EnergieConsumptieFactor (PJ per km)],TableECFTransport[Index],CONCATENATE($A8,"_LPG_LPG"))</f>
        <v>2.2059925327700346E-4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3.739371258066039E-2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1.1160700033836105E-2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2.1647000152334385E-3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2.262880307537464E-2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7.6292946412665108E-6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1.0211251933358503E-3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3.0114033624375751</v>
      </c>
      <c r="C14" s="21"/>
      <c r="D14" s="21">
        <f t="shared" ref="D14:M14" si="0">((D5)*10^9/3600)+D12</f>
        <v>5.1939920469191003</v>
      </c>
      <c r="E14" s="21">
        <f t="shared" si="0"/>
        <v>157.87502511441124</v>
      </c>
      <c r="F14" s="21"/>
      <c r="G14" s="21">
        <f t="shared" si="0"/>
        <v>47160.237627480834</v>
      </c>
      <c r="H14" s="21">
        <f t="shared" si="0"/>
        <v>7772.1047843943279</v>
      </c>
      <c r="I14" s="21"/>
      <c r="J14" s="21"/>
      <c r="K14" s="21"/>
      <c r="L14" s="21"/>
      <c r="M14" s="21">
        <f t="shared" si="0"/>
        <v>2460.1902401561547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0.19238895020705044</v>
      </c>
      <c r="C16" s="56">
        <f ca="1">'EF ele_warmte'!B22</f>
        <v>3.9534630857888447E-3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0.57936073154934686</v>
      </c>
      <c r="C18" s="23"/>
      <c r="D18" s="23">
        <f t="shared" ref="D18:M18" si="1">D14*D16</f>
        <v>1.0491863934776584</v>
      </c>
      <c r="E18" s="23">
        <f t="shared" si="1"/>
        <v>35.837630700971353</v>
      </c>
      <c r="F18" s="23"/>
      <c r="G18" s="23">
        <f t="shared" si="1"/>
        <v>12591.783446537383</v>
      </c>
      <c r="H18" s="23">
        <f t="shared" si="1"/>
        <v>1935.2540913141877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1.8898836395376422E-3</v>
      </c>
      <c r="H50" s="323">
        <f t="shared" si="2"/>
        <v>0</v>
      </c>
      <c r="I50" s="323">
        <f t="shared" si="2"/>
        <v>0</v>
      </c>
      <c r="J50" s="323">
        <f t="shared" si="2"/>
        <v>0</v>
      </c>
      <c r="K50" s="323">
        <f t="shared" si="2"/>
        <v>0</v>
      </c>
      <c r="L50" s="323">
        <f t="shared" si="2"/>
        <v>0</v>
      </c>
      <c r="M50" s="323">
        <f t="shared" si="2"/>
        <v>8.4047747947586126E-5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1.8898836395376422E-3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8.4047747947586126E-5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524.96767764934509</v>
      </c>
      <c r="H54" s="21">
        <f t="shared" si="3"/>
        <v>0</v>
      </c>
      <c r="I54" s="21">
        <f t="shared" si="3"/>
        <v>0</v>
      </c>
      <c r="J54" s="21">
        <f t="shared" si="3"/>
        <v>0</v>
      </c>
      <c r="K54" s="21">
        <f t="shared" si="3"/>
        <v>0</v>
      </c>
      <c r="L54" s="21">
        <f t="shared" si="3"/>
        <v>0</v>
      </c>
      <c r="M54" s="21">
        <f t="shared" si="3"/>
        <v>23.346596652107259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0.19238895020705044</v>
      </c>
      <c r="C56" s="56">
        <f ca="1">'EF ele_warmte'!B22</f>
        <v>3.9534630857888447E-3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140.16636993237515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7530.0115839090631</v>
      </c>
      <c r="C6" s="1142"/>
      <c r="D6" s="1145"/>
      <c r="E6" s="1145"/>
      <c r="F6" s="1148"/>
      <c r="G6" s="1151"/>
      <c r="H6" s="1139"/>
      <c r="I6" s="1145"/>
      <c r="J6" s="1145"/>
      <c r="K6" s="1145"/>
      <c r="L6" s="1175"/>
      <c r="M6" s="561"/>
      <c r="N6" s="1187"/>
      <c r="O6" s="1188"/>
      <c r="Q6" s="559"/>
      <c r="R6" s="1172"/>
      <c r="S6" s="1172"/>
    </row>
    <row r="7" spans="1:19" s="549" customFormat="1">
      <c r="A7" s="562" t="s">
        <v>252</v>
      </c>
      <c r="B7" s="563">
        <f>N57</f>
        <v>4869</v>
      </c>
      <c r="C7" s="564">
        <f>B100</f>
        <v>95.294117647058826</v>
      </c>
      <c r="D7" s="565"/>
      <c r="E7" s="565">
        <f>E100</f>
        <v>0</v>
      </c>
      <c r="F7" s="566"/>
      <c r="G7" s="567"/>
      <c r="H7" s="565">
        <f>I100</f>
        <v>0</v>
      </c>
      <c r="I7" s="565">
        <f>G100+F100</f>
        <v>0</v>
      </c>
      <c r="J7" s="565">
        <f>H100+D100+C100</f>
        <v>5632.9411764705883</v>
      </c>
      <c r="K7" s="565"/>
      <c r="L7" s="568"/>
      <c r="M7" s="569">
        <f>C7*$C$11+D7*$D$11+E7*$E$11+F7*$F$11+G7*$G$11+H7*$H$11+I7*$I$11+J7*$J$11</f>
        <v>19.249411764705883</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12399.011583909063</v>
      </c>
      <c r="C9" s="580">
        <f t="shared" ref="C9:L9" si="0">SUM(C7:C8)</f>
        <v>95.294117647058826</v>
      </c>
      <c r="D9" s="580">
        <f t="shared" si="0"/>
        <v>0</v>
      </c>
      <c r="E9" s="580">
        <f t="shared" si="0"/>
        <v>0</v>
      </c>
      <c r="F9" s="580">
        <f t="shared" si="0"/>
        <v>0</v>
      </c>
      <c r="G9" s="580">
        <f t="shared" si="0"/>
        <v>0</v>
      </c>
      <c r="H9" s="580">
        <f t="shared" si="0"/>
        <v>0</v>
      </c>
      <c r="I9" s="580">
        <f t="shared" si="0"/>
        <v>0</v>
      </c>
      <c r="J9" s="580">
        <f t="shared" si="0"/>
        <v>5632.9411764705883</v>
      </c>
      <c r="K9" s="580">
        <f t="shared" si="0"/>
        <v>0</v>
      </c>
      <c r="L9" s="580">
        <f t="shared" si="0"/>
        <v>0</v>
      </c>
      <c r="M9" s="581">
        <f>SUM(M4:M8)</f>
        <v>19.249411764705883</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6955.7142857142853</v>
      </c>
      <c r="C16" s="596">
        <f>B101</f>
        <v>136.1344537815126</v>
      </c>
      <c r="D16" s="597"/>
      <c r="E16" s="597">
        <f>E101</f>
        <v>0</v>
      </c>
      <c r="F16" s="598"/>
      <c r="G16" s="599"/>
      <c r="H16" s="596">
        <f>I101</f>
        <v>0</v>
      </c>
      <c r="I16" s="597">
        <f>G101+F101</f>
        <v>0</v>
      </c>
      <c r="J16" s="597">
        <f>H101+D101+C101</f>
        <v>8047.0588235294108</v>
      </c>
      <c r="K16" s="597"/>
      <c r="L16" s="600"/>
      <c r="M16" s="601">
        <f>C16*$C$21+E16*$E$21+H16*$H$21+I16*$I$21+J16*$J$21+D16*$D$21+F16*$F$21+G16*$G$21+K16*$K$21+L16*$L$21</f>
        <v>27.499159663865548</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6955.7142857142853</v>
      </c>
      <c r="C19" s="579">
        <f>SUM(C16:C18)</f>
        <v>136.1344537815126</v>
      </c>
      <c r="D19" s="579">
        <f t="shared" ref="D19:M19" si="1">SUM(D16:D18)</f>
        <v>0</v>
      </c>
      <c r="E19" s="579">
        <f t="shared" si="1"/>
        <v>0</v>
      </c>
      <c r="F19" s="579">
        <f t="shared" si="1"/>
        <v>0</v>
      </c>
      <c r="G19" s="579">
        <f t="shared" si="1"/>
        <v>0</v>
      </c>
      <c r="H19" s="579">
        <f t="shared" si="1"/>
        <v>0</v>
      </c>
      <c r="I19" s="579">
        <f t="shared" si="1"/>
        <v>0</v>
      </c>
      <c r="J19" s="579">
        <f t="shared" si="1"/>
        <v>8047.0588235294108</v>
      </c>
      <c r="K19" s="579">
        <f t="shared" si="1"/>
        <v>0</v>
      </c>
      <c r="L19" s="579">
        <f t="shared" si="1"/>
        <v>0</v>
      </c>
      <c r="M19" s="606">
        <f t="shared" si="1"/>
        <v>27.499159663865548</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36006</v>
      </c>
      <c r="C27" s="839">
        <v>8830</v>
      </c>
      <c r="D27" s="658" t="s">
        <v>840</v>
      </c>
      <c r="E27" s="657" t="s">
        <v>841</v>
      </c>
      <c r="F27" s="657" t="s">
        <v>842</v>
      </c>
      <c r="G27" s="657" t="s">
        <v>843</v>
      </c>
      <c r="H27" s="657" t="s">
        <v>844</v>
      </c>
      <c r="I27" s="657" t="s">
        <v>841</v>
      </c>
      <c r="J27" s="838">
        <v>40673</v>
      </c>
      <c r="K27" s="838">
        <v>40725</v>
      </c>
      <c r="L27" s="657" t="s">
        <v>845</v>
      </c>
      <c r="M27" s="657">
        <v>18</v>
      </c>
      <c r="N27" s="657">
        <v>81</v>
      </c>
      <c r="O27" s="657">
        <v>115.71428571428572</v>
      </c>
      <c r="P27" s="657">
        <v>231.42857142857144</v>
      </c>
      <c r="Q27" s="657">
        <v>0</v>
      </c>
      <c r="R27" s="657">
        <v>0</v>
      </c>
      <c r="S27" s="657">
        <v>0</v>
      </c>
      <c r="T27" s="657">
        <v>0</v>
      </c>
      <c r="U27" s="657">
        <v>0</v>
      </c>
      <c r="V27" s="657">
        <v>0</v>
      </c>
      <c r="W27" s="657">
        <v>0</v>
      </c>
      <c r="X27" s="657">
        <v>1600</v>
      </c>
      <c r="Y27" s="657" t="s">
        <v>50</v>
      </c>
      <c r="Z27" s="659" t="s">
        <v>156</v>
      </c>
    </row>
    <row r="28" spans="1:26" s="611" customFormat="1" ht="63.75">
      <c r="A28" s="610"/>
      <c r="B28" s="839">
        <v>36006</v>
      </c>
      <c r="C28" s="839">
        <v>8830</v>
      </c>
      <c r="D28" s="658" t="s">
        <v>846</v>
      </c>
      <c r="E28" s="657" t="s">
        <v>847</v>
      </c>
      <c r="F28" s="657" t="s">
        <v>848</v>
      </c>
      <c r="G28" s="657" t="s">
        <v>843</v>
      </c>
      <c r="H28" s="657" t="s">
        <v>844</v>
      </c>
      <c r="I28" s="657" t="s">
        <v>847</v>
      </c>
      <c r="J28" s="838">
        <v>40711</v>
      </c>
      <c r="K28" s="838">
        <v>39083</v>
      </c>
      <c r="L28" s="657" t="s">
        <v>845</v>
      </c>
      <c r="M28" s="657">
        <v>1064</v>
      </c>
      <c r="N28" s="657">
        <v>4788</v>
      </c>
      <c r="O28" s="657">
        <v>6840</v>
      </c>
      <c r="P28" s="657">
        <v>0</v>
      </c>
      <c r="Q28" s="657">
        <v>13680</v>
      </c>
      <c r="R28" s="657">
        <v>0</v>
      </c>
      <c r="S28" s="657">
        <v>0</v>
      </c>
      <c r="T28" s="657">
        <v>0</v>
      </c>
      <c r="U28" s="657">
        <v>0</v>
      </c>
      <c r="V28" s="657">
        <v>0</v>
      </c>
      <c r="W28" s="657">
        <v>0</v>
      </c>
      <c r="X28" s="657">
        <v>1600</v>
      </c>
      <c r="Y28" s="657" t="s">
        <v>50</v>
      </c>
      <c r="Z28" s="659" t="s">
        <v>156</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1082</v>
      </c>
      <c r="N57" s="615">
        <f>SUM(N27:N56)</f>
        <v>4869</v>
      </c>
      <c r="O57" s="615">
        <f t="shared" ref="O57:W57" si="2">SUM(O27:O56)</f>
        <v>6955.7142857142853</v>
      </c>
      <c r="P57" s="615">
        <f t="shared" si="2"/>
        <v>231.42857142857144</v>
      </c>
      <c r="Q57" s="615">
        <f t="shared" si="2"/>
        <v>13680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1082</v>
      </c>
      <c r="N59" s="615">
        <f ca="1">SUMIF($Z$27:AB56,"tertiair",N27:N56)</f>
        <v>4869</v>
      </c>
      <c r="O59" s="615">
        <f ca="1">SUMIF($Z$27:AC56,"tertiair",O27:O56)</f>
        <v>6955.7142857142853</v>
      </c>
      <c r="P59" s="615">
        <f ca="1">SUMIF($Z$27:AD56,"tertiair",P27:P56)</f>
        <v>231.42857142857144</v>
      </c>
      <c r="Q59" s="615">
        <f ca="1">SUMIF($Z$27:AE56,"tertiair",Q27:Q56)</f>
        <v>13680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0.58823529411764697</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95.294117647058826</v>
      </c>
      <c r="C100" s="649">
        <f t="shared" si="9"/>
        <v>5632.9411764705883</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136.1344537815126</v>
      </c>
      <c r="C101" s="652">
        <f t="shared" ref="C101:H101" si="10">$B$97*Q57</f>
        <v>8047.0588235294108</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2018-06-27T09:31:14Z</dcterms:modified>
</cp:coreProperties>
</file>