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<sst xmlns="http://schemas.openxmlformats.org/spreadsheetml/2006/main" count="1961" uniqueCount="840">
  <si>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</si>
  <si>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</si>
  <si>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</si>
  <si>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</si>
  <si>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</si>
  <si>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</si>
  <si>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</si>
  <si>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</si>
  <si>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</si>
  <si>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</si>
  <si>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</si>
  <si>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</si>
  <si>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</si>
  <si>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</si>
  <si>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</si>
  <si>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</si>
  <si>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</si>
  <si>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</si>
  <si>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</si>
  <si>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</si>
  <si>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</si>
  <si>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</si>
  <si>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</si>
  <si>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</si>
  <si>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</si>
  <si>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</si>
  <si>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</si>
  <si>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</si>
  <si>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</si>
  <si>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</si>
  <si>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</si>
  <si>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</si>
  <si>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</si>
  <si>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</si>
  <si>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</si>
  <si>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</si>
  <si>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</si>
  <si>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</si>
  <si>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</si>
  <si>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</si>
  <si>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</si>
  <si>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</si>
  <si>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</si>
  <si>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</si>
  <si>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</si>
  <si>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</si>
  <si>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</si>
  <si>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</si>
  <si>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</si>
  <si>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</si>
  <si>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</si>
  <si>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</si>
  <si>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</si>
  <si>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</si>
  <si>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</si>
  <si>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</si>
  <si>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</si>
  <si>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</si>
  <si>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</si>
  <si>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</si>
  <si>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</si>
  <si>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</si>
  <si>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</si>
  <si>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</si>
  <si>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</si>
  <si>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</si>
  <si>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</si>
  <si>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</si>
  <si>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</si>
  <si>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</si>
  <si>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</si>
  <si>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</si>
  <si>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</si>
  <si>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</si>
  <si>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</si>
  <si>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</si>
  <si>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</si>
  <si>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</si>
  <si>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</si>
  <si>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</si>
  <si>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</si>
  <si>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</si>
  <si>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</si>
  <si>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</si>
  <si>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</si>
  <si>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</si>
  <si>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</si>
  <si>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</si>
  <si>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</si>
  <si>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</si>
  <si>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</si>
  <si>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</si>
  <si>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</si>
  <si>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</si>
  <si>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</si>
  <si>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</si>
  <si>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</si>
  <si>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</si>
  <si>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</si>
  <si>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</si>
  <si>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</si>
  <si>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</si>
  <si>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</si>
  <si>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</si>
  <si>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</si>
  <si>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</si>
  <si>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</si>
  <si>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</si>
  <si>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</si>
  <si>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</si>
  <si>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</si>
  <si>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</si>
  <si>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</si>
  <si>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</si>
  <si>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</si>
  <si>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</si>
  <si>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</si>
  <si>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</si>
  <si>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</si>
  <si>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</si>
  <si>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</si>
  <si>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</si>
  <si>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</si>
  <si>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</si>
  <si>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</si>
  <si>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</si>
  <si>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</si>
  <si>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</si>
  <si>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</si>
  <si>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</si>
  <si>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</si>
  <si>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</si>
  <si>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</si>
  <si>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</si>
  <si>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</si>
  <si>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</si>
  <si>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</si>
  <si>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</si>
  <si>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</si>
  <si>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</si>
  <si>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</si>
  <si>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</si>
  <si>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</si>
  <si>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</si>
  <si>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</si>
  <si>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</si>
  <si>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</si>
  <si>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</si>
  <si>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</si>
  <si>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</si>
  <si>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</si>
  <si>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</si>
  <si>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</si>
  <si>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</si>
  <si>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</si>
  <si>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</si>
  <si>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</si>
  <si>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</si>
  <si>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</si>
  <si>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</si>
  <si>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</si>
  <si>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</si>
  <si>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</si>
  <si>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</si>
  <si>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</si>
  <si>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</si>
  <si>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</si>
  <si>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</si>
  <si>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</si>
  <si>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</si>
  <si>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</si>
  <si>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</si>
  <si>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</si>
  <si>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</si>
  <si>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</si>
  <si>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</si>
  <si>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</si>
  <si>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</si>
  <si>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</si>
  <si>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</si>
  <si>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</si>
  <si>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</si>
  <si>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</si>
  <si>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</si>
  <si>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</si>
  <si>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</si>
  <si>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</si>
  <si>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</si>
  <si>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</si>
  <si>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</si>
  <si>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</si>
  <si>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</si>
  <si>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</si>
  <si>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</si>
  <si>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</si>
  <si>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</si>
  <si>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</si>
  <si>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</si>
  <si>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</si>
  <si>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</si>
  <si>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</si>
  <si>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</si>
  <si>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</si>
  <si>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</si>
  <si>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</si>
  <si>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</si>
  <si>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</si>
  <si>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</si>
  <si>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</si>
  <si>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</si>
  <si>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</si>
  <si>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</si>
  <si>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</si>
  <si>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</si>
  <si>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</si>
  <si>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</si>
  <si>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</si>
  <si>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</si>
  <si>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</si>
  <si>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</si>
  <si>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</si>
  <si>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</si>
  <si>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</si>
  <si>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</si>
  <si>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</si>
  <si>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</si>
  <si>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</si>
  <si>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</si>
  <si>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</si>
  <si>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</si>
  <si>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</si>
  <si>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</si>
  <si>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</si>
  <si>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</si>
  <si>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</si>
  <si>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</si>
  <si>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</si>
  <si>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</si>
  <si>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</si>
  <si>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</si>
  <si>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</si>
  <si>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</si>
  <si>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</si>
  <si>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</si>
  <si>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</si>
  <si>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</si>
  <si>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</si>
  <si>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</si>
  <si>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</si>
  <si>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</si>
  <si>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</si>
  <si>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</si>
  <si>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</si>
  <si>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</si>
  <si>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</si>
  <si>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</si>
  <si>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</si>
  <si>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</si>
  <si>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</si>
  <si>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</si>
  <si>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</si>
  <si>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</si>
  <si>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</si>
  <si>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</si>
  <si>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</si>
  <si>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</si>
  <si>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</si>
  <si>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</si>
  <si>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</si>
  <si>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</si>
  <si>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</si>
  <si>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</si>
  <si>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</si>
  <si>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</si>
  <si>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</si>
  <si>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</si>
  <si>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</si>
  <si>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</si>
  <si>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</si>
  <si>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</si>
  <si>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</si>
  <si>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</si>
  <si>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</si>
  <si>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</si>
  <si>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</si>
  <si>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</si>
  <si>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</si>
  <si>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</si>
  <si>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</si>
  <si>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</si>
  <si>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</si>
  <si>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</si>
  <si>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</si>
  <si>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</si>
  <si>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</si>
  <si>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</si>
  <si>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</si>
  <si>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</si>
  <si>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</si>
  <si>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</si>
  <si>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</si>
  <si>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</si>
  <si>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</si>
  <si>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</si>
  <si>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</si>
  <si>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</si>
  <si>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</si>
  <si>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</si>
  <si>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</si>
  <si>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</si>
  <si>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</si>
  <si>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</si>
  <si>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</si>
  <si>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</si>
  <si>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</si>
  <si>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</si>
  <si>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</si>
  <si>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</si>
  <si>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</si>
  <si>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</si>
  <si>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</si>
  <si>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</si>
  <si>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</si>
  <si>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</si>
  <si>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</si>
  <si>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</si>
  <si>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</si>
  <si>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</si>
  <si>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</si>
  <si>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</si>
  <si>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</si>
  <si>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</si>
  <si>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</si>
  <si>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</si>
  <si>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</si>
  <si>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</si>
  <si>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</si>
  <si>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</si>
  <si>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</si>
  <si>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</si>
  <si>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</si>
  <si>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</si>
  <si>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</si>
  <si>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</si>
  <si>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</si>
  <si>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</si>
  <si>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</si>
  <si>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</si>
  <si>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</si>
  <si>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</si>
  <si>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</si>
  <si>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</si>
  <si>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</si>
  <si>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</si>
  <si>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</si>
  <si>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</si>
  <si>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</si>
  <si>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</si>
  <si>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</si>
  <si>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</si>
  <si>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</si>
  <si>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</si>
  <si>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</si>
  <si>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</si>
  <si>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</si>
  <si>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</si>
  <si>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</si>
  <si>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</si>
  <si>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</si>
  <si>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</si>
  <si>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</si>
  <si>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</si>
  <si>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</si>
  <si>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</si>
  <si>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</si>
  <si>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</si>
  <si>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</si>
  <si>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</si>
  <si>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</si>
  <si>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</si>
  <si>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</si>
  <si>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</si>
  <si>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</si>
  <si>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</si>
  <si>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</si>
  <si>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</si>
  <si>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</si>
  <si>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</si>
  <si>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</si>
  <si>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</si>
  <si>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</si>
  <si>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</si>
  <si>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</si>
  <si>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</si>
  <si>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</si>
  <si>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</si>
  <si>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</si>
  <si>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</si>
  <si>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</si>
  <si>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</si>
  <si>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</si>
  <si>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</si>
  <si>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</si>
  <si>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</si>
  <si>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</si>
  <si>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</si>
  <si>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</si>
  <si>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</si>
  <si>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</si>
  <si>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</si>
  <si>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</si>
  <si>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</si>
  <si>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</si>
  <si>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</si>
  <si>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</si>
  <si>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</si>
  <si>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</si>
  <si>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</si>
  <si>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</si>
  <si>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</si>
  <si>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</si>
  <si>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</si>
  <si>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</si>
  <si>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</si>
  <si>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</si>
  <si>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</si>
  <si>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</si>
  <si>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</si>
  <si>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</si>
  <si>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</si>
  <si>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</si>
  <si>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</si>
  <si>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</si>
  <si>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</si>
  <si>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</si>
  <si>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</si>
  <si>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</si>
  <si>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</si>
  <si>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</si>
  <si>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</si>
  <si>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</si>
  <si>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</si>
  <si>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</si>
  <si>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</si>
  <si>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</si>
  <si>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</si>
  <si>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</si>
  <si>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</si>
  <si>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</si>
  <si>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</si>
  <si>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</si>
  <si>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</si>
  <si>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</si>
  <si>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</si>
  <si>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</si>
  <si>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</si>
  <si>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</si>
  <si>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</si>
  <si>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</si>
  <si>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</si>
  <si>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</si>
  <si>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</si>
  <si>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</si>
  <si>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</si>
  <si>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</si>
  <si>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</si>
  <si>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</si>
  <si>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</si>
  <si>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</si>
  <si>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</si>
  <si>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</si>
  <si>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</si>
  <si>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</si>
  <si>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</si>
  <si>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</si>
  <si>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</si>
  <si>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</si>
  <si>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</si>
  <si>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</si>
  <si>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</si>
  <si>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</si>
  <si>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</si>
  <si>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</si>
  <si>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</si>
  <si>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</si>
  <si>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</si>
  <si>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</si>
  <si>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</si>
  <si>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</si>
  <si>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</si>
  <si>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</si>
  <si>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</si>
  <si>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</si>
  <si>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</si>
  <si>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</si>
  <si>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</si>
  <si>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</si>
  <si>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</si>
  <si>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</si>
  <si>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</si>
  <si>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</si>
  <si>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</si>
  <si>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</si>
  <si>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</si>
  <si>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</si>
  <si>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</si>
  <si>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</si>
  <si>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</si>
  <si>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</si>
  <si>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</si>
  <si>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</si>
  <si>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</si>
  <si>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</si>
  <si>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</si>
  <si>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</si>
  <si>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</si>
  <si>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</si>
  <si>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</si>
  <si>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</si>
  <si>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</si>
  <si>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</si>
  <si>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</si>
  <si>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</si>
  <si>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</si>
  <si>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</si>
  <si>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</si>
  <si>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</si>
  <si>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</si>
  <si>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</si>
  <si>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</si>
  <si>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</si>
  <si>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</si>
  <si>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</si>
  <si>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</si>
  <si>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</si>
  <si>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</si>
  <si>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</si>
  <si>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</si>
  <si>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</si>
  <si>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</si>
  <si>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</si>
  <si>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</si>
  <si>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</si>
  <si>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</si>
  <si>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</si>
  <si>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</si>
  <si>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</si>
  <si>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</si>
  <si>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</si>
  <si>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</si>
  <si>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</si>
  <si>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</si>
  <si>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</si>
  <si>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</si>
  <si>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</si>
  <si>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</si>
  <si>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</si>
  <si>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</si>
  <si>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</si>
  <si>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</si>
  <si>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</si>
  <si>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</si>
  <si>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</si>
  <si>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</si>
  <si>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</si>
  <si>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</si>
  <si>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</si>
  <si>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</si>
  <si>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</si>
  <si>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</si>
  <si>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</si>
  <si>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</si>
  <si>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</si>
  <si>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</si>
  <si>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</si>
  <si>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</si>
  <si>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</si>
  <si>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</si>
  <si>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</si>
  <si>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</si>
  <si>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</si>
  <si>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</si>
  <si>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</si>
  <si>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</si>
  <si>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</si>
  <si>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</si>
  <si>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</si>
  <si>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</si>
  <si>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</si>
  <si>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</si>
  <si>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</si>
  <si>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</si>
  <si>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</si>
  <si>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</si>
  <si>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</si>
  <si>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</si>
  <si>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</si>
  <si>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</si>
  <si>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</si>
  <si>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</si>
  <si>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</si>
  <si>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</si>
  <si>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</si>
  <si>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</si>
  <si>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</si>
  <si>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</si>
  <si>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</si>
  <si>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</si>
  <si>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</si>
  <si>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</si>
  <si>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</si>
  <si>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</si>
  <si>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</si>
  <si>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</si>
  <si>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</si>
  <si>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</si>
  <si>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</si>
  <si>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</si>
  <si>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</si>
  <si>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</si>
  <si>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</si>
  <si>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</si>
  <si>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</si>
  <si>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</si>
  <si>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</si>
  <si>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</si>
  <si>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</si>
  <si>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</si>
  <si>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</si>
  <si>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</si>
  <si>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</si>
  <si>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</si>
  <si>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</si>
  <si>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</si>
  <si>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</si>
  <si>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</si>
  <si>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</si>
  <si>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</si>
  <si>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</si>
  <si>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</si>
  <si>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</si>
  <si>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</si>
  <si>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</si>
  <si>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</si>
  <si>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</si>
  <si>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</si>
  <si>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</si>
  <si>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</si>
  <si>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</si>
  <si>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</si>
  <si>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</si>
  <si>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</si>
  <si>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</si>
  <si>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</si>
  <si>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</si>
  <si>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</si>
  <si>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</si>
  <si>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</si>
  <si>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</si>
  <si>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</si>
  <si>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</si>
  <si>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</si>
  <si>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</si>
  <si>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</si>
  <si>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</si>
  <si>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</si>
  <si>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</si>
  <si>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</si>
  <si>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</si>
  <si>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</si>
  <si>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</si>
  <si>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</si>
  <si>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</si>
  <si>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</si>
  <si>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</si>
  <si>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</si>
  <si>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</si>
  <si>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</si>
  <si>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</si>
  <si>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</si>
  <si>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</si>
  <si>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</si>
  <si>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</si>
  <si>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</si>
  <si>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</si>
  <si>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</si>
  <si>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</si>
  <si>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</si>
  <si>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</si>
  <si>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</si>
  <si>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</si>
  <si>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</si>
  <si>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</si>
  <si>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</si>
  <si>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</si>
  <si>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</si>
  <si>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</si>
  <si>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</si>
  <si>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</si>
  <si>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</si>
  <si>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</si>
  <si>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</si>
  <si>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</si>
  <si>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</si>
  <si>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</si>
  <si>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</si>
  <si>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</si>
  <si>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</si>
  <si>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</si>
  <si>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</si>
  <si>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</si>
  <si>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</si>
  <si>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</si>
  <si>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</si>
  <si>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</si>
  <si>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</si>
  <si>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</si>
  <si>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</si>
  <si>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</si>
  <si>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</si>
  <si>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</si>
  <si>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</si>
  <si>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</si>
  <si>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</si>
  <si>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</si>
  <si>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</si>
  <si>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</si>
  <si>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</si>
  <si>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</si>
  <si>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</si>
  <si>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</si>
  <si>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</si>
  <si>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</si>
  <si>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</si>
  <si>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</si>
  <si>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</si>
  <si>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</si>
  <si>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</si>
  <si>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</si>
  <si>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</si>
  <si>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</si>
  <si>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</si>
  <si>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</si>
  <si>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</si>
  <si>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</si>
  <si>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</si>
  <si>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</si>
  <si>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</si>
  <si>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</si>
  <si>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</si>
  <si>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</si>
  <si>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</si>
  <si>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</si>
  <si>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</si>
  <si>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</si>
  <si>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</si>
  <si>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</si>
  <si>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</si>
  <si>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</si>
  <si>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</si>
  <si>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</si>
  <si>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</si>
  <si>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</si>
  <si>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</si>
  <si>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</si>
  <si>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</si>
  <si>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</si>
  <si>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</si>
  <si>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</si>
  <si>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</si>
  <si>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</si>
  <si>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</si>
  <si>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</si>
  <si>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</si>
  <si>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</si>
  <si>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</si>
  <si>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</si>
  <si>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</si>
  <si>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</si>
  <si>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</si>
  <si>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</si>
  <si>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</si>
  <si>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</si>
  <si>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</si>
  <si>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</si>
  <si>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</si>
  <si>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</si>
  <si>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</si>
  <si>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</si>
  <si>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</si>
  <si>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</si>
  <si>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</si>
  <si>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</si>
  <si>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</si>
  <si>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</si>
  <si>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</si>
  <si>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</si>
  <si>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</si>
  <si>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</si>
  <si>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</si>
  <si>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</si>
  <si>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</si>
  <si>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</si>
  <si>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</si>
  <si>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</si>
  <si>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</si>
  <si>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</si>
  <si>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</si>
  <si>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</si>
  <si>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</si>
  <si>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</si>
  <si>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</si>
  <si>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</si>
  <si>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</si>
  <si>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</si>
  <si>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</si>
  <si>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</si>
  <si>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</si>
  <si>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</si>
  <si>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</si>
  <si>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</si>
  <si>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</si>
  <si>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</si>
  <si>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</si>
  <si>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</si>
  <si>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</si>
  <si>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</si>
  <si>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</si>
  <si>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</si>
  <si>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</si>
  <si>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</si>
  <si>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</si>
  <si>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</si>
  <si>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35029</t>
  </si>
  <si>
    <t>DE HAAN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</si>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</sst>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114504.07586195203</c:v>
                </c:pt>
                <c:pt idx="1">
                  <c:v>95844.600570697119</c:v>
                </c:pt>
                <c:pt idx="2">
                  <c:v>1753.681</c:v>
                </c:pt>
                <c:pt idx="3">
                  <c:v>13473.158629390327</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114504.07586195203</c:v>
                </c:pt>
                <c:pt idx="1">
                  <c:v>95844.600570697119</c:v>
                </c:pt>
                <c:pt idx="2">
                  <c:v>1753.681</c:v>
                </c:pt>
                <c:pt idx="3">
                  <c:v>13473.158629390327</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23497.307895064081</c:v>
                </c:pt>
                <c:pt idx="1">
                  <c:v>19916.185186821793</c:v>
                </c:pt>
                <c:pt idx="2">
                  <c:v>377.04325932892857</c:v>
                </c:pt>
                <c:pt idx="3">
                  <c:v>3031.5117042059132</c:v>
                </c:pt>
                <c:pt idx="4">
                  <c:v>2218.3797927281171</c:v>
                </c:pt>
                <c:pt idx="5">
                  <c:v>18500.003179436462</c:v>
                </c:pt>
                <c:pt idx="6">
                  <c:v>354.60842633831004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23497.307895064081</c:v>
                </c:pt>
                <c:pt idx="1">
                  <c:v>19916.185186821793</c:v>
                </c:pt>
                <c:pt idx="2">
                  <c:v>377.04325932892857</c:v>
                </c:pt>
                <c:pt idx="3">
                  <c:v>3031.5117042059132</c:v>
                </c:pt>
                <c:pt idx="4">
                  <c:v>2218.3797927281171</c:v>
                </c:pt>
                <c:pt idx="5">
                  <c:v>18500.003179436462</c:v>
                </c:pt>
                <c:pt idx="6">
                  <c:v>354.60842633831004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35029</v>
      </c>
      <c r="B6" s="398"/>
      <c r="C6" s="399"/>
    </row>
    <row r="7" spans="1:7" s="396" customFormat="1" ht="15.75" customHeight="1">
      <c r="A7" s="400" t="str">
        <f>txtMunicipality</f>
        <v>DE HAAN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35029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6118</v>
      </c>
      <c r="C9" s="338">
        <v>6588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2658</v>
      </c>
    </row>
    <row r="15" spans="1:6">
      <c r="A15" s="1212" t="s">
        <v>184</v>
      </c>
      <c r="B15" s="335">
        <v>471</v>
      </c>
    </row>
    <row r="16" spans="1:6">
      <c r="A16" s="1212" t="s">
        <v>6</v>
      </c>
      <c r="B16" s="335">
        <v>756</v>
      </c>
    </row>
    <row r="17" spans="1:6">
      <c r="A17" s="1212" t="s">
        <v>7</v>
      </c>
      <c r="B17" s="335">
        <v>409</v>
      </c>
    </row>
    <row r="18" spans="1:6">
      <c r="A18" s="1212" t="s">
        <v>8</v>
      </c>
      <c r="B18" s="335">
        <v>810</v>
      </c>
    </row>
    <row r="19" spans="1:6">
      <c r="A19" s="1212" t="s">
        <v>9</v>
      </c>
      <c r="B19" s="335">
        <v>717</v>
      </c>
    </row>
    <row r="20" spans="1:6">
      <c r="A20" s="1212" t="s">
        <v>10</v>
      </c>
      <c r="B20" s="335">
        <v>555</v>
      </c>
    </row>
    <row r="21" spans="1:6">
      <c r="A21" s="1212" t="s">
        <v>11</v>
      </c>
      <c r="B21" s="335">
        <v>2456</v>
      </c>
    </row>
    <row r="22" spans="1:6">
      <c r="A22" s="1212" t="s">
        <v>12</v>
      </c>
      <c r="B22" s="335">
        <v>4570</v>
      </c>
    </row>
    <row r="23" spans="1:6">
      <c r="A23" s="1212" t="s">
        <v>13</v>
      </c>
      <c r="B23" s="335">
        <v>116</v>
      </c>
    </row>
    <row r="24" spans="1:6">
      <c r="A24" s="1212" t="s">
        <v>14</v>
      </c>
      <c r="B24" s="335">
        <v>7</v>
      </c>
    </row>
    <row r="25" spans="1:6">
      <c r="A25" s="1212" t="s">
        <v>15</v>
      </c>
      <c r="B25" s="335">
        <v>562</v>
      </c>
    </row>
    <row r="26" spans="1:6">
      <c r="A26" s="1212" t="s">
        <v>16</v>
      </c>
      <c r="B26" s="335">
        <v>715</v>
      </c>
    </row>
    <row r="27" spans="1:6">
      <c r="A27" s="1212" t="s">
        <v>17</v>
      </c>
      <c r="B27" s="335">
        <v>353</v>
      </c>
    </row>
    <row r="28" spans="1:6" s="341" customFormat="1">
      <c r="A28" s="1213" t="s">
        <v>18</v>
      </c>
      <c r="B28" s="1213">
        <v>18003</v>
      </c>
    </row>
    <row r="29" spans="1:6">
      <c r="A29" s="1213" t="s">
        <v>836</v>
      </c>
      <c r="B29" s="1213">
        <v>182</v>
      </c>
      <c r="C29" s="341"/>
      <c r="D29" s="341"/>
      <c r="E29" s="341"/>
      <c r="F29" s="341"/>
    </row>
    <row r="30" spans="1:6">
      <c r="A30" s="1208" t="s">
        <v>837</v>
      </c>
      <c r="B30" s="1208">
        <v>36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5</v>
      </c>
      <c r="F38" s="335">
        <v>27324.1563148766</v>
      </c>
    </row>
    <row r="39" spans="1:6">
      <c r="A39" s="1212" t="s">
        <v>30</v>
      </c>
      <c r="B39" s="1212" t="s">
        <v>31</v>
      </c>
      <c r="C39" s="335">
        <v>6092</v>
      </c>
      <c r="D39" s="335">
        <v>87357879.700139403</v>
      </c>
      <c r="E39" s="335">
        <v>10946</v>
      </c>
      <c r="F39" s="335">
        <v>33541569.389433</v>
      </c>
    </row>
    <row r="40" spans="1:6">
      <c r="A40" s="1212" t="s">
        <v>30</v>
      </c>
      <c r="B40" s="1212" t="s">
        <v>29</v>
      </c>
      <c r="C40" s="335">
        <v>0</v>
      </c>
      <c r="D40" s="335">
        <v>0</v>
      </c>
      <c r="E40" s="335">
        <v>1</v>
      </c>
      <c r="F40" s="335">
        <v>5700</v>
      </c>
    </row>
    <row r="41" spans="1:6">
      <c r="A41" s="1212" t="s">
        <v>32</v>
      </c>
      <c r="B41" s="1212" t="s">
        <v>33</v>
      </c>
      <c r="C41" s="335">
        <v>53</v>
      </c>
      <c r="D41" s="335">
        <v>1055323.36743805</v>
      </c>
      <c r="E41" s="335">
        <v>139</v>
      </c>
      <c r="F41" s="335">
        <v>2851977.7777203899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6</v>
      </c>
      <c r="D47" s="335">
        <v>67242.067706310496</v>
      </c>
      <c r="E47" s="335">
        <v>8</v>
      </c>
      <c r="F47" s="335">
        <v>27969.252445247999</v>
      </c>
    </row>
    <row r="48" spans="1:6">
      <c r="A48" s="1212" t="s">
        <v>32</v>
      </c>
      <c r="B48" s="1212" t="s">
        <v>29</v>
      </c>
      <c r="C48" s="335">
        <v>23</v>
      </c>
      <c r="D48" s="335">
        <v>1303644.13047735</v>
      </c>
      <c r="E48" s="335">
        <v>37</v>
      </c>
      <c r="F48" s="335">
        <v>295691.42248161498</v>
      </c>
    </row>
    <row r="49" spans="1:6">
      <c r="A49" s="1212" t="s">
        <v>32</v>
      </c>
      <c r="B49" s="1212" t="s">
        <v>40</v>
      </c>
      <c r="C49" s="335">
        <v>0</v>
      </c>
      <c r="D49" s="335">
        <v>0</v>
      </c>
      <c r="E49" s="335">
        <v>0</v>
      </c>
      <c r="F49" s="335">
        <v>0</v>
      </c>
    </row>
    <row r="50" spans="1:6">
      <c r="A50" s="1212" t="s">
        <v>32</v>
      </c>
      <c r="B50" s="1212" t="s">
        <v>41</v>
      </c>
      <c r="C50" s="335">
        <v>8</v>
      </c>
      <c r="D50" s="335">
        <v>632109.24388089101</v>
      </c>
      <c r="E50" s="335">
        <v>17</v>
      </c>
      <c r="F50" s="335">
        <v>431764.15750878397</v>
      </c>
    </row>
    <row r="51" spans="1:6">
      <c r="A51" s="1212" t="s">
        <v>42</v>
      </c>
      <c r="B51" s="1212" t="s">
        <v>43</v>
      </c>
      <c r="C51" s="335">
        <v>3</v>
      </c>
      <c r="D51" s="335">
        <v>15623.8880562548</v>
      </c>
      <c r="E51" s="335">
        <v>46</v>
      </c>
      <c r="F51" s="335">
        <v>898172.81313826796</v>
      </c>
    </row>
    <row r="52" spans="1:6">
      <c r="A52" s="1212" t="s">
        <v>42</v>
      </c>
      <c r="B52" s="1212" t="s">
        <v>29</v>
      </c>
      <c r="C52" s="335">
        <v>3</v>
      </c>
      <c r="D52" s="335">
        <v>36017.928833751001</v>
      </c>
      <c r="E52" s="335">
        <v>11</v>
      </c>
      <c r="F52" s="335">
        <v>291859.24040325498</v>
      </c>
    </row>
    <row r="53" spans="1:6">
      <c r="A53" s="1212" t="s">
        <v>44</v>
      </c>
      <c r="B53" s="1212" t="s">
        <v>45</v>
      </c>
      <c r="C53" s="335">
        <v>454</v>
      </c>
      <c r="D53" s="335">
        <v>8798973.0836580805</v>
      </c>
      <c r="E53" s="335">
        <v>1070</v>
      </c>
      <c r="F53" s="335">
        <v>3996121.82444344</v>
      </c>
    </row>
    <row r="54" spans="1:6">
      <c r="A54" s="1212" t="s">
        <v>46</v>
      </c>
      <c r="B54" s="1212" t="s">
        <v>47</v>
      </c>
      <c r="C54" s="335">
        <v>0</v>
      </c>
      <c r="D54" s="335">
        <v>0</v>
      </c>
      <c r="E54" s="335">
        <v>1</v>
      </c>
      <c r="F54" s="335">
        <v>1753681</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63</v>
      </c>
      <c r="D57" s="335">
        <v>2458719.6314729801</v>
      </c>
      <c r="E57" s="335">
        <v>125</v>
      </c>
      <c r="F57" s="335">
        <v>1847605.6003564501</v>
      </c>
    </row>
    <row r="58" spans="1:6">
      <c r="A58" s="1212" t="s">
        <v>49</v>
      </c>
      <c r="B58" s="1212" t="s">
        <v>51</v>
      </c>
      <c r="C58" s="335">
        <v>69</v>
      </c>
      <c r="D58" s="335">
        <v>11344066.966009799</v>
      </c>
      <c r="E58" s="335">
        <v>88</v>
      </c>
      <c r="F58" s="335">
        <v>1515657.2834236301</v>
      </c>
    </row>
    <row r="59" spans="1:6">
      <c r="A59" s="1212" t="s">
        <v>49</v>
      </c>
      <c r="B59" s="1212" t="s">
        <v>52</v>
      </c>
      <c r="C59" s="335">
        <v>73</v>
      </c>
      <c r="D59" s="335">
        <v>1249229.6215300499</v>
      </c>
      <c r="E59" s="335">
        <v>189</v>
      </c>
      <c r="F59" s="335">
        <v>3254256.2719712602</v>
      </c>
    </row>
    <row r="60" spans="1:6">
      <c r="A60" s="1212" t="s">
        <v>49</v>
      </c>
      <c r="B60" s="1212" t="s">
        <v>53</v>
      </c>
      <c r="C60" s="335">
        <v>159</v>
      </c>
      <c r="D60" s="335">
        <v>27851912.460767802</v>
      </c>
      <c r="E60" s="335">
        <v>303</v>
      </c>
      <c r="F60" s="335">
        <v>14243943.7276133</v>
      </c>
    </row>
    <row r="61" spans="1:6">
      <c r="A61" s="1212" t="s">
        <v>49</v>
      </c>
      <c r="B61" s="1212" t="s">
        <v>54</v>
      </c>
      <c r="C61" s="335">
        <v>283</v>
      </c>
      <c r="D61" s="335">
        <v>15075272.578906</v>
      </c>
      <c r="E61" s="335">
        <v>983</v>
      </c>
      <c r="F61" s="335">
        <v>6467911.1595647</v>
      </c>
    </row>
    <row r="62" spans="1:6">
      <c r="A62" s="1212" t="s">
        <v>49</v>
      </c>
      <c r="B62" s="1212" t="s">
        <v>55</v>
      </c>
      <c r="C62" s="335">
        <v>3</v>
      </c>
      <c r="D62" s="335">
        <v>324781.70868780703</v>
      </c>
      <c r="E62" s="335">
        <v>5</v>
      </c>
      <c r="F62" s="335">
        <v>291598.14494055201</v>
      </c>
    </row>
    <row r="63" spans="1:6">
      <c r="A63" s="1212" t="s">
        <v>49</v>
      </c>
      <c r="B63" s="1212" t="s">
        <v>29</v>
      </c>
      <c r="C63" s="335">
        <v>125</v>
      </c>
      <c r="D63" s="335">
        <v>3752631.0726641002</v>
      </c>
      <c r="E63" s="335">
        <v>136</v>
      </c>
      <c r="F63" s="335">
        <v>2655022.8594579599</v>
      </c>
    </row>
    <row r="64" spans="1:6">
      <c r="A64" s="1212" t="s">
        <v>56</v>
      </c>
      <c r="B64" s="1212" t="s">
        <v>57</v>
      </c>
      <c r="C64" s="335">
        <v>0</v>
      </c>
      <c r="D64" s="335">
        <v>0</v>
      </c>
      <c r="E64" s="335">
        <v>0</v>
      </c>
      <c r="F64" s="335">
        <v>0</v>
      </c>
    </row>
    <row r="65" spans="1:6">
      <c r="A65" s="1212" t="s">
        <v>56</v>
      </c>
      <c r="B65" s="1212" t="s">
        <v>29</v>
      </c>
      <c r="C65" s="335">
        <v>4</v>
      </c>
      <c r="D65" s="335">
        <v>113177.594417776</v>
      </c>
      <c r="E65" s="335">
        <v>5</v>
      </c>
      <c r="F65" s="335">
        <v>24387.1406463559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13429.2078591022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69217798</v>
      </c>
      <c r="E73" s="335">
        <v>65375260.158856399</v>
      </c>
    </row>
    <row r="74" spans="1:6">
      <c r="A74" s="1212" t="s">
        <v>64</v>
      </c>
      <c r="B74" s="1212" t="s">
        <v>727</v>
      </c>
      <c r="C74" s="1212" t="s">
        <v>728</v>
      </c>
      <c r="D74" s="335">
        <v>7199402.3404027214</v>
      </c>
      <c r="E74" s="335">
        <v>6925481.5746733025</v>
      </c>
    </row>
    <row r="75" spans="1:6">
      <c r="A75" s="1212" t="s">
        <v>65</v>
      </c>
      <c r="B75" s="1212" t="s">
        <v>725</v>
      </c>
      <c r="C75" s="1212" t="s">
        <v>729</v>
      </c>
      <c r="D75" s="335">
        <v>9840414</v>
      </c>
      <c r="E75" s="335">
        <v>10063587.912303498</v>
      </c>
    </row>
    <row r="76" spans="1:6">
      <c r="A76" s="1212" t="s">
        <v>65</v>
      </c>
      <c r="B76" s="1212" t="s">
        <v>727</v>
      </c>
      <c r="C76" s="1212" t="s">
        <v>730</v>
      </c>
      <c r="D76" s="335">
        <v>1176550.3404027214</v>
      </c>
      <c r="E76" s="335">
        <v>1248762.4273867668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82565.319194557334</v>
      </c>
      <c r="C83" s="335">
        <v>83057.905014897449</v>
      </c>
    </row>
    <row r="84" spans="1:6">
      <c r="A84" s="1208" t="s">
        <v>337</v>
      </c>
      <c r="B84" s="338">
        <v>362481.83730723331</v>
      </c>
      <c r="C84" s="338">
        <v>372533.86676901963</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1688.8467538367192</v>
      </c>
    </row>
    <row r="92" spans="1:6">
      <c r="A92" s="1208" t="s">
        <v>69</v>
      </c>
      <c r="B92" s="338">
        <v>302.07911408128211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2725</v>
      </c>
    </row>
    <row r="98" spans="1:6">
      <c r="A98" s="1212" t="s">
        <v>72</v>
      </c>
      <c r="B98" s="335">
        <v>0</v>
      </c>
    </row>
    <row r="99" spans="1:6">
      <c r="A99" s="1212" t="s">
        <v>73</v>
      </c>
      <c r="B99" s="335">
        <v>104</v>
      </c>
    </row>
    <row r="100" spans="1:6">
      <c r="A100" s="1212" t="s">
        <v>74</v>
      </c>
      <c r="B100" s="335">
        <v>935</v>
      </c>
    </row>
    <row r="101" spans="1:6">
      <c r="A101" s="1212" t="s">
        <v>75</v>
      </c>
      <c r="B101" s="335">
        <v>42</v>
      </c>
    </row>
    <row r="102" spans="1:6">
      <c r="A102" s="1212" t="s">
        <v>76</v>
      </c>
      <c r="B102" s="335">
        <v>139</v>
      </c>
    </row>
    <row r="103" spans="1:6">
      <c r="A103" s="1212" t="s">
        <v>77</v>
      </c>
      <c r="B103" s="335">
        <v>66</v>
      </c>
    </row>
    <row r="104" spans="1:6">
      <c r="A104" s="1212" t="s">
        <v>78</v>
      </c>
      <c r="B104" s="335">
        <v>967</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64</v>
      </c>
    </row>
    <row r="130" spans="1:6">
      <c r="A130" s="1212" t="s">
        <v>295</v>
      </c>
      <c r="B130" s="335">
        <v>3</v>
      </c>
    </row>
    <row r="131" spans="1:6">
      <c r="A131" s="1212" t="s">
        <v>296</v>
      </c>
      <c r="B131" s="335">
        <v>3</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73345.292221141513</v>
      </c>
      <c r="C3" s="43" t="s">
        <v>170</v>
      </c>
      <c r="D3" s="43"/>
      <c r="E3" s="156"/>
      <c r="F3" s="43"/>
      <c r="G3" s="43"/>
      <c r="H3" s="43"/>
      <c r="I3" s="43"/>
      <c r="J3" s="43"/>
      <c r="K3" s="96"/>
    </row>
    <row r="4" spans="1:11">
      <c r="A4" s="366" t="s">
        <v>171</v>
      </c>
      <c r="B4" s="49">
        <f>IF(ISERROR('SEAP template'!B69),0,'SEAP template'!B69)</f>
        <v>1990.9258679180014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0.2150010516900899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1753.681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1753.681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0.2150010516900899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377.04325932892857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33547.269389433</v>
      </c>
      <c r="C5" s="17">
        <f>IF(ISERROR('Eigen informatie GS &amp; warmtenet'!B57),0,'Eigen informatie GS &amp; warmtenet'!B57)</f>
        <v>0</v>
      </c>
      <c r="D5" s="30">
        <f>(SUM(HH_hh_gas_kWh,HH_rest_gas_kWh)/1000)*0.902</f>
        <v>78796.807489525745</v>
      </c>
      <c r="E5" s="17">
        <f>B46*B57</f>
        <v>20.047374020860417</v>
      </c>
      <c r="F5" s="17">
        <f>B51*B62</f>
        <v>0</v>
      </c>
      <c r="G5" s="18"/>
      <c r="H5" s="17"/>
      <c r="I5" s="17"/>
      <c r="J5" s="17">
        <f>B50*B61+C50*C61</f>
        <v>0</v>
      </c>
      <c r="K5" s="17"/>
      <c r="L5" s="17"/>
      <c r="M5" s="17"/>
      <c r="N5" s="17">
        <f>B48*B59+C48*C59</f>
        <v>30.351521802401994</v>
      </c>
      <c r="O5" s="17">
        <f>B69*B70*B71</f>
        <v>115.68666666666667</v>
      </c>
      <c r="P5" s="17">
        <f>B77*B78*B79/1000-B77*B78*B79/1000/B80</f>
        <v>305.06666666666666</v>
      </c>
    </row>
    <row r="6" spans="1:16">
      <c r="A6" s="16" t="s">
        <v>634</v>
      </c>
      <c r="B6" s="831">
        <f>kWh_PV_kleiner_dan_10kW</f>
        <v>1688.8467538367192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35236.116143269719</v>
      </c>
      <c r="C8" s="21">
        <f>C5</f>
        <v>0</v>
      </c>
      <c r="D8" s="21">
        <f>D5</f>
        <v>78796.807489525745</v>
      </c>
      <c r="E8" s="21">
        <f>E5</f>
        <v>20.047374020860417</v>
      </c>
      <c r="F8" s="21">
        <f>F5</f>
        <v>0</v>
      </c>
      <c r="G8" s="21"/>
      <c r="H8" s="21"/>
      <c r="I8" s="21"/>
      <c r="J8" s="21">
        <f>J5</f>
        <v>0</v>
      </c>
      <c r="K8" s="21"/>
      <c r="L8" s="21">
        <f>L5</f>
        <v>0</v>
      </c>
      <c r="M8" s="21">
        <f>M5</f>
        <v>0</v>
      </c>
      <c r="N8" s="21">
        <f>N5</f>
        <v>30.351521802401994</v>
      </c>
      <c r="O8" s="21">
        <f>O5</f>
        <v>115.68666666666667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0.2150010516900899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7575.802028277144</v>
      </c>
      <c r="C12" s="23">
        <f ca="1">C10*C8</f>
        <v>0</v>
      </c>
      <c r="D12" s="23">
        <f>D8*D10</f>
        <v>15916.955112884201</v>
      </c>
      <c r="E12" s="23">
        <f>E10*E8</f>
        <v>4.5507539027353152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2725</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9.6207215541165585</v>
      </c>
      <c r="D20" s="231"/>
      <c r="E20" s="15"/>
    </row>
    <row r="21" spans="1:7">
      <c r="A21" s="173" t="s">
        <v>74</v>
      </c>
      <c r="B21" s="37">
        <f>aantalw2001_elektriciteit</f>
        <v>935</v>
      </c>
      <c r="C21" s="169">
        <f>IF(ISERROR(B21/SUM($B$20,$B$21,$B$22)*100),0,B21/SUM($B$20,$B$21,$B$22)*100)</f>
        <v>86.493987049028675</v>
      </c>
      <c r="D21" s="231"/>
      <c r="E21" s="15"/>
    </row>
    <row r="22" spans="1:7">
      <c r="A22" s="173" t="s">
        <v>75</v>
      </c>
      <c r="B22" s="37">
        <f>aantalw2001_hout</f>
        <v>42</v>
      </c>
      <c r="C22" s="169">
        <f>IF(ISERROR(B22/SUM($B$20,$B$21,$B$22)*100),0,B22/SUM($B$20,$B$21,$B$22)*100)</f>
        <v>3.8852913968547642</v>
      </c>
      <c r="D22" s="231"/>
      <c r="E22" s="15"/>
    </row>
    <row r="23" spans="1:7">
      <c r="A23" s="173" t="s">
        <v>76</v>
      </c>
      <c r="B23" s="37">
        <f>aantalw2001_niet_gespec</f>
        <v>139</v>
      </c>
      <c r="C23" s="168" t="s">
        <v>111</v>
      </c>
      <c r="D23" s="230"/>
      <c r="E23" s="15"/>
    </row>
    <row r="24" spans="1:7">
      <c r="A24" s="173" t="s">
        <v>77</v>
      </c>
      <c r="B24" s="37">
        <f>aantalw2001_steenkool</f>
        <v>66</v>
      </c>
      <c r="C24" s="168" t="s">
        <v>111</v>
      </c>
      <c r="D24" s="231"/>
      <c r="E24" s="15"/>
    </row>
    <row r="25" spans="1:7">
      <c r="A25" s="173" t="s">
        <v>78</v>
      </c>
      <c r="B25" s="37">
        <f>aantalw2001_stookolie</f>
        <v>967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6118</v>
      </c>
      <c r="C28" s="36"/>
      <c r="D28" s="230"/>
    </row>
    <row r="29" spans="1:7" s="15" customFormat="1">
      <c r="A29" s="232" t="s">
        <v>746</v>
      </c>
      <c r="B29" s="37">
        <f>SUM(HH_hh_gas_aantal,HH_rest_gas_aantal)</f>
        <v>6092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6092</v>
      </c>
      <c r="C32" s="169">
        <f>IF(ISERROR(B32/SUM($B$32,$B$34,$B$35,$B$36,$B$38,$B$39)*100),0,B32/SUM($B$32,$B$34,$B$35,$B$36,$B$38,$B$39)*100)</f>
        <v>99.836119305145857</v>
      </c>
      <c r="D32" s="235"/>
      <c r="G32" s="15"/>
    </row>
    <row r="33" spans="1:7">
      <c r="A33" s="173" t="s">
        <v>72</v>
      </c>
      <c r="B33" s="34" t="s">
        <v>111</v>
      </c>
      <c r="C33" s="169"/>
      <c r="D33" s="235"/>
      <c r="G33" s="15"/>
    </row>
    <row r="34" spans="1:7">
      <c r="A34" s="173" t="s">
        <v>73</v>
      </c>
      <c r="B34" s="33">
        <f>IF((($B$28-$B$32-$B$39-$B$77-$B$38)*C20/100)&lt;0,0,($B$28-$B$32-$B$39-$B$77-$B$38)*C20/100)</f>
        <v>0.9620721554116558</v>
      </c>
      <c r="C34" s="169">
        <f>IF(ISERROR(B34/SUM($B$32,$B$34,$B$35,$B$36,$B$38,$B$39)*100),0,B34/SUM($B$32,$B$34,$B$35,$B$36,$B$38,$B$39)*100)</f>
        <v>1.5766505332868826E-2</v>
      </c>
      <c r="D34" s="235"/>
      <c r="G34" s="15"/>
    </row>
    <row r="35" spans="1:7">
      <c r="A35" s="173" t="s">
        <v>74</v>
      </c>
      <c r="B35" s="33">
        <f>IF((($B$28-$B$32-$B$39-$B$77-$B$38)*C21/100)&lt;0,0,($B$28-$B$32-$B$39-$B$77-$B$38)*C21/100)</f>
        <v>8.6493987049028664</v>
      </c>
      <c r="C35" s="169">
        <f>IF(ISERROR(B35/SUM($B$32,$B$34,$B$35,$B$36,$B$38,$B$39)*100),0,B35/SUM($B$32,$B$34,$B$35,$B$36,$B$38,$B$39)*100)</f>
        <v>0.14174694698300339</v>
      </c>
      <c r="D35" s="235"/>
      <c r="G35" s="15"/>
    </row>
    <row r="36" spans="1:7">
      <c r="A36" s="173" t="s">
        <v>75</v>
      </c>
      <c r="B36" s="33">
        <f>IF((($B$28-$B$32-$B$39-$B$77-$B$38)*C22/100)&lt;0,0,($B$28-$B$32-$B$39-$B$77-$B$38)*C22/100)</f>
        <v>0.38852913968547642</v>
      </c>
      <c r="C36" s="169">
        <f>IF(ISERROR(B36/SUM($B$32,$B$34,$B$35,$B$36,$B$38,$B$39)*100),0,B36/SUM($B$32,$B$34,$B$35,$B$36,$B$38,$B$39)*100)</f>
        <v>6.3672425382739501E-3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6092</v>
      </c>
      <c r="C44" s="34" t="s">
        <v>111</v>
      </c>
      <c r="D44" s="176"/>
    </row>
    <row r="45" spans="1:7">
      <c r="A45" s="173" t="s">
        <v>72</v>
      </c>
      <c r="B45" s="33" t="str">
        <f t="shared" si="0"/>
        <v>-</v>
      </c>
      <c r="C45" s="34" t="s">
        <v>111</v>
      </c>
      <c r="D45" s="176"/>
    </row>
    <row r="46" spans="1:7">
      <c r="A46" s="173" t="s">
        <v>73</v>
      </c>
      <c r="B46" s="33">
        <f t="shared" si="0"/>
        <v>0.9620721554116558</v>
      </c>
      <c r="C46" s="34" t="s">
        <v>111</v>
      </c>
      <c r="D46" s="176"/>
    </row>
    <row r="47" spans="1:7">
      <c r="A47" s="173" t="s">
        <v>74</v>
      </c>
      <c r="B47" s="33">
        <f t="shared" si="0"/>
        <v>8.6493987049028664</v>
      </c>
      <c r="C47" s="34" t="s">
        <v>111</v>
      </c>
      <c r="D47" s="176"/>
    </row>
    <row r="48" spans="1:7">
      <c r="A48" s="173" t="s">
        <v>75</v>
      </c>
      <c r="B48" s="33">
        <f t="shared" si="0"/>
        <v>0.38852913968547642</v>
      </c>
      <c r="C48" s="33">
        <f>B48*10</f>
        <v>3.8852913968547642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30275.995047327851</v>
      </c>
      <c r="C5" s="17">
        <f>IF(ISERROR('Eigen informatie GS &amp; warmtenet'!B58),0,'Eigen informatie GS &amp; warmtenet'!B58)</f>
        <v>0</v>
      </c>
      <c r="D5" s="30">
        <f>SUM(D6:D12)</f>
        <v>55975.065864114753</v>
      </c>
      <c r="E5" s="17">
        <f>SUM(E6:E12)</f>
        <v>916.98981095744159</v>
      </c>
      <c r="F5" s="17">
        <f>SUM(F6:F12)</f>
        <v>7084.9978241342033</v>
      </c>
      <c r="G5" s="18"/>
      <c r="H5" s="17"/>
      <c r="I5" s="17"/>
      <c r="J5" s="17">
        <f>SUM(J6:J12)</f>
        <v>0</v>
      </c>
      <c r="K5" s="17"/>
      <c r="L5" s="17"/>
      <c r="M5" s="17"/>
      <c r="N5" s="17">
        <f>SUM(N6:N12)</f>
        <v>1529.662024162868</v>
      </c>
      <c r="O5" s="17">
        <f>B38*B39*B40</f>
        <v>4.6900000000000004</v>
      </c>
      <c r="P5" s="17">
        <f>B46*B47*B48/1000-B46*B47*B48/1000/B49</f>
        <v>57.2</v>
      </c>
      <c r="R5" s="32"/>
    </row>
    <row r="6" spans="1:18">
      <c r="A6" s="32" t="s">
        <v>54</v>
      </c>
      <c r="B6" s="37">
        <f>B26</f>
        <v>6467.9111595647</v>
      </c>
      <c r="C6" s="33"/>
      <c r="D6" s="37">
        <f>IF(ISERROR(TER_kantoor_gas_kWh/1000),0,TER_kantoor_gas_kWh/1000)*0.902</f>
        <v>13597.895866173212</v>
      </c>
      <c r="E6" s="33">
        <f>$C$26*'E Balans VL '!I12/100/3.6*1000000</f>
        <v>25.129204191485513</v>
      </c>
      <c r="F6" s="33">
        <f>$C$26*('E Balans VL '!L12+'E Balans VL '!N12)/100/3.6*1000000</f>
        <v>983.71043407043089</v>
      </c>
      <c r="G6" s="34"/>
      <c r="H6" s="33"/>
      <c r="I6" s="33"/>
      <c r="J6" s="33">
        <f>$C$26*('E Balans VL '!D12+'E Balans VL '!E12)/100/3.6*1000000</f>
        <v>0</v>
      </c>
      <c r="K6" s="33"/>
      <c r="L6" s="33"/>
      <c r="M6" s="33"/>
      <c r="N6" s="33">
        <f>$C$26*'E Balans VL '!Y12/100/3.6*1000000</f>
        <v>3.5645938855952064</v>
      </c>
      <c r="O6" s="33"/>
      <c r="P6" s="33"/>
      <c r="R6" s="32"/>
    </row>
    <row r="7" spans="1:18">
      <c r="A7" s="32" t="s">
        <v>53</v>
      </c>
      <c r="B7" s="37">
        <f t="shared" ref="B7:B12" si="0">B27</f>
        <v>14243.943727613299</v>
      </c>
      <c r="C7" s="33"/>
      <c r="D7" s="37">
        <f>IF(ISERROR(TER_horeca_gas_kWh/1000),0,TER_horeca_gas_kWh/1000)*0.902</f>
        <v>25122.425039612557</v>
      </c>
      <c r="E7" s="33">
        <f>$C$27*'E Balans VL '!I9/100/3.6*1000000</f>
        <v>802.36515837605816</v>
      </c>
      <c r="F7" s="33">
        <f>$C$27*('E Balans VL '!L9+'E Balans VL '!N9)/100/3.6*1000000</f>
        <v>4107.1006035410974</v>
      </c>
      <c r="G7" s="34"/>
      <c r="H7" s="33"/>
      <c r="I7" s="33"/>
      <c r="J7" s="33">
        <f>$C$27*('E Balans VL '!D9+'E Balans VL '!E9)/100/3.6*1000000</f>
        <v>0</v>
      </c>
      <c r="K7" s="33"/>
      <c r="L7" s="33"/>
      <c r="M7" s="33"/>
      <c r="N7" s="33">
        <f>$C$27*'E Balans VL '!Y9/100/3.6*1000000</f>
        <v>3.932678844698251</v>
      </c>
      <c r="O7" s="33"/>
      <c r="P7" s="33"/>
      <c r="R7" s="32"/>
    </row>
    <row r="8" spans="1:18">
      <c r="A8" s="6" t="s">
        <v>52</v>
      </c>
      <c r="B8" s="37">
        <f t="shared" si="0"/>
        <v>3254.25627197126</v>
      </c>
      <c r="C8" s="33"/>
      <c r="D8" s="37">
        <f>IF(ISERROR(TER_handel_gas_kWh/1000),0,TER_handel_gas_kWh/1000)*0.902</f>
        <v>1126.8051186201051</v>
      </c>
      <c r="E8" s="33">
        <f>$C$28*'E Balans VL '!I13/100/3.6*1000000</f>
        <v>46.904873472366184</v>
      </c>
      <c r="F8" s="33">
        <f>$C$28*('E Balans VL '!L13+'E Balans VL '!N13)/100/3.6*1000000</f>
        <v>565.34010095599524</v>
      </c>
      <c r="G8" s="34"/>
      <c r="H8" s="33"/>
      <c r="I8" s="33"/>
      <c r="J8" s="33">
        <f>$C$28*('E Balans VL '!D13+'E Balans VL '!E13)/100/3.6*1000000</f>
        <v>0</v>
      </c>
      <c r="K8" s="33"/>
      <c r="L8" s="33"/>
      <c r="M8" s="33"/>
      <c r="N8" s="33">
        <f>$C$28*'E Balans VL '!Y13/100/3.6*1000000</f>
        <v>9.7501140620969355</v>
      </c>
      <c r="O8" s="33"/>
      <c r="P8" s="33"/>
      <c r="R8" s="32"/>
    </row>
    <row r="9" spans="1:18">
      <c r="A9" s="32" t="s">
        <v>51</v>
      </c>
      <c r="B9" s="37">
        <f t="shared" si="0"/>
        <v>1515.6572834236301</v>
      </c>
      <c r="C9" s="33"/>
      <c r="D9" s="37">
        <f>IF(ISERROR(TER_gezond_gas_kWh/1000),0,TER_gezond_gas_kWh/1000)*0.902</f>
        <v>10232.348403340839</v>
      </c>
      <c r="E9" s="33">
        <f>$C$29*'E Balans VL '!I10/100/3.6*1000000</f>
        <v>1.6191148226375638</v>
      </c>
      <c r="F9" s="33">
        <f>$C$29*('E Balans VL '!L10+'E Balans VL '!N10)/100/3.6*1000000</f>
        <v>247.24976547974566</v>
      </c>
      <c r="G9" s="34"/>
      <c r="H9" s="33"/>
      <c r="I9" s="33"/>
      <c r="J9" s="33">
        <f>$C$29*('E Balans VL '!D10+'E Balans VL '!E10)/100/3.6*1000000</f>
        <v>0</v>
      </c>
      <c r="K9" s="33"/>
      <c r="L9" s="33"/>
      <c r="M9" s="33"/>
      <c r="N9" s="33">
        <f>$C$29*'E Balans VL '!Y10/100/3.6*1000000</f>
        <v>15.602826916053711</v>
      </c>
      <c r="O9" s="33"/>
      <c r="P9" s="33"/>
      <c r="R9" s="32"/>
    </row>
    <row r="10" spans="1:18">
      <c r="A10" s="32" t="s">
        <v>50</v>
      </c>
      <c r="B10" s="37">
        <f t="shared" si="0"/>
        <v>1847.6056003564502</v>
      </c>
      <c r="C10" s="33"/>
      <c r="D10" s="37">
        <f>IF(ISERROR(TER_ander_gas_kWh/1000),0,TER_ander_gas_kWh/1000)*0.902</f>
        <v>2217.7651075886279</v>
      </c>
      <c r="E10" s="33">
        <f>$C$30*'E Balans VL '!I14/100/3.6*1000000</f>
        <v>8.4968571143647562</v>
      </c>
      <c r="F10" s="33">
        <f>$C$30*('E Balans VL '!L14+'E Balans VL '!N14)/100/3.6*1000000</f>
        <v>553.78567714545534</v>
      </c>
      <c r="G10" s="34"/>
      <c r="H10" s="33"/>
      <c r="I10" s="33"/>
      <c r="J10" s="33">
        <f>$C$30*('E Balans VL '!D14+'E Balans VL '!E14)/100/3.6*1000000</f>
        <v>0</v>
      </c>
      <c r="K10" s="33"/>
      <c r="L10" s="33"/>
      <c r="M10" s="33"/>
      <c r="N10" s="33">
        <f>$C$30*'E Balans VL '!Y14/100/3.6*1000000</f>
        <v>1286.0554597139967</v>
      </c>
      <c r="O10" s="33"/>
      <c r="P10" s="33"/>
      <c r="R10" s="32"/>
    </row>
    <row r="11" spans="1:18">
      <c r="A11" s="32" t="s">
        <v>55</v>
      </c>
      <c r="B11" s="37">
        <f t="shared" si="0"/>
        <v>291.598144940552</v>
      </c>
      <c r="C11" s="33"/>
      <c r="D11" s="37">
        <f>IF(ISERROR(TER_onderwijs_gas_kWh/1000),0,TER_onderwijs_gas_kWh/1000)*0.902</f>
        <v>292.95310123640195</v>
      </c>
      <c r="E11" s="33">
        <f>$C$31*'E Balans VL '!I11/100/3.6*1000000</f>
        <v>0.27049562714813535</v>
      </c>
      <c r="F11" s="33">
        <f>$C$31*('E Balans VL '!L11+'E Balans VL '!N11)/100/3.6*1000000</f>
        <v>102.43172641609578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2655.0228594579598</v>
      </c>
      <c r="C12" s="33"/>
      <c r="D12" s="37">
        <f>IF(ISERROR(TER_rest_gas_kWh/1000),0,TER_rest_gas_kWh/1000)*0.902</f>
        <v>3384.8732275430189</v>
      </c>
      <c r="E12" s="33">
        <f>$C$32*'E Balans VL '!I8/100/3.6*1000000</f>
        <v>32.204107353381396</v>
      </c>
      <c r="F12" s="33">
        <f>$C$32*('E Balans VL '!L8+'E Balans VL '!N8)/100/3.6*1000000</f>
        <v>525.37951652538277</v>
      </c>
      <c r="G12" s="34"/>
      <c r="H12" s="33"/>
      <c r="I12" s="33"/>
      <c r="J12" s="33">
        <f>$C$32*('E Balans VL '!D8+'E Balans VL '!E8)/100/3.6*1000000</f>
        <v>0</v>
      </c>
      <c r="K12" s="33"/>
      <c r="L12" s="33"/>
      <c r="M12" s="33"/>
      <c r="N12" s="33">
        <f>$C$32*'E Balans VL '!Y8/100/3.6*1000000</f>
        <v>210.75635074042737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30275.995047327851</v>
      </c>
      <c r="C16" s="21">
        <f t="shared" ca="1" si="1"/>
        <v>0</v>
      </c>
      <c r="D16" s="21">
        <f t="shared" ca="1" si="1"/>
        <v>55975.065864114753</v>
      </c>
      <c r="E16" s="21">
        <f t="shared" si="1"/>
        <v>916.98981095744159</v>
      </c>
      <c r="F16" s="21">
        <f t="shared" ca="1" si="1"/>
        <v>7084.9978241342033</v>
      </c>
      <c r="G16" s="21">
        <f t="shared" si="1"/>
        <v>0</v>
      </c>
      <c r="H16" s="21">
        <f t="shared" si="1"/>
        <v>0</v>
      </c>
      <c r="I16" s="21">
        <f t="shared" si="1"/>
        <v>0</v>
      </c>
      <c r="J16" s="21">
        <f t="shared" si="1"/>
        <v>0</v>
      </c>
      <c r="K16" s="21">
        <f t="shared" si="1"/>
        <v>0</v>
      </c>
      <c r="L16" s="21">
        <f t="shared" ca="1" si="1"/>
        <v>0</v>
      </c>
      <c r="M16" s="21">
        <f t="shared" si="1"/>
        <v>0</v>
      </c>
      <c r="N16" s="21">
        <f t="shared" ca="1" si="1"/>
        <v>1529.662024162868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0.2150010516900899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6509.3707761394407</v>
      </c>
      <c r="C20" s="23">
        <f t="shared" ref="C20:P20" ca="1" si="2">C16*C18</f>
        <v>0</v>
      </c>
      <c r="D20" s="23">
        <f t="shared" ca="1" si="2"/>
        <v>11306.96330455118</v>
      </c>
      <c r="E20" s="23">
        <f t="shared" si="2"/>
        <v>208.15668708733924</v>
      </c>
      <c r="F20" s="23">
        <f t="shared" ca="1" si="2"/>
        <v>1891.6944190438323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6467.9111595647</v>
      </c>
      <c r="C26" s="39">
        <f>IF(ISERROR(B26*3.6/1000000/'E Balans VL '!Z12*100),0,B26*3.6/1000000/'E Balans VL '!Z12*100)</f>
        <v>0.13738163681585608</v>
      </c>
      <c r="D26" s="239" t="s">
        <v>692</v>
      </c>
      <c r="F26" s="6"/>
    </row>
    <row r="27" spans="1:18">
      <c r="A27" s="233" t="s">
        <v>53</v>
      </c>
      <c r="B27" s="33">
        <f>IF(ISERROR(TER_horeca_ele_kWh/1000),0,TER_horeca_ele_kWh/1000)</f>
        <v>14243.943727613299</v>
      </c>
      <c r="C27" s="39">
        <f>IF(ISERROR(B27*3.6/1000000/'E Balans VL '!Z9*100),0,B27*3.6/1000000/'E Balans VL '!Z9*100)</f>
        <v>1.1075533715544761</v>
      </c>
      <c r="D27" s="239" t="s">
        <v>692</v>
      </c>
      <c r="F27" s="6"/>
    </row>
    <row r="28" spans="1:18">
      <c r="A28" s="173" t="s">
        <v>52</v>
      </c>
      <c r="B28" s="33">
        <f>IF(ISERROR(TER_handel_ele_kWh/1000),0,TER_handel_ele_kWh/1000)</f>
        <v>3254.25627197126</v>
      </c>
      <c r="C28" s="39">
        <f>IF(ISERROR(B28*3.6/1000000/'E Balans VL '!Z13*100),0,B28*3.6/1000000/'E Balans VL '!Z13*100)</f>
        <v>9.3108101817607869E-2</v>
      </c>
      <c r="D28" s="239" t="s">
        <v>692</v>
      </c>
      <c r="F28" s="6"/>
    </row>
    <row r="29" spans="1:18">
      <c r="A29" s="233" t="s">
        <v>51</v>
      </c>
      <c r="B29" s="33">
        <f>IF(ISERROR(TER_gezond_ele_kWh/1000),0,TER_gezond_ele_kWh/1000)</f>
        <v>1515.6572834236301</v>
      </c>
      <c r="C29" s="39">
        <f>IF(ISERROR(B29*3.6/1000000/'E Balans VL '!Z10*100),0,B29*3.6/1000000/'E Balans VL '!Z10*100)</f>
        <v>0.16524186354448536</v>
      </c>
      <c r="D29" s="239" t="s">
        <v>692</v>
      </c>
      <c r="F29" s="6"/>
    </row>
    <row r="30" spans="1:18">
      <c r="A30" s="233" t="s">
        <v>50</v>
      </c>
      <c r="B30" s="33">
        <f>IF(ISERROR(TER_ander_ele_kWh/1000),0,TER_ander_ele_kWh/1000)</f>
        <v>1847.6056003564502</v>
      </c>
      <c r="C30" s="39">
        <f>IF(ISERROR(B30*3.6/1000000/'E Balans VL '!Z14*100),0,B30*3.6/1000000/'E Balans VL '!Z14*100)</f>
        <v>0.13520358664013474</v>
      </c>
      <c r="D30" s="239" t="s">
        <v>692</v>
      </c>
      <c r="F30" s="6"/>
    </row>
    <row r="31" spans="1:18">
      <c r="A31" s="233" t="s">
        <v>55</v>
      </c>
      <c r="B31" s="33">
        <f>IF(ISERROR(TER_onderwijs_ele_kWh/1000),0,TER_onderwijs_ele_kWh/1000)</f>
        <v>291.598144940552</v>
      </c>
      <c r="C31" s="39">
        <f>IF(ISERROR(B31*3.6/1000000/'E Balans VL '!Z11*100),0,B31*3.6/1000000/'E Balans VL '!Z11*100)</f>
        <v>5.8567703946121374E-2</v>
      </c>
      <c r="D31" s="239" t="s">
        <v>692</v>
      </c>
    </row>
    <row r="32" spans="1:18">
      <c r="A32" s="233" t="s">
        <v>260</v>
      </c>
      <c r="B32" s="33">
        <f>IF(ISERROR(TER_rest_ele_kWh/1000),0,TER_rest_ele_kWh/1000)</f>
        <v>2655.0228594579598</v>
      </c>
      <c r="C32" s="39">
        <f>IF(ISERROR(B32*3.6/1000000/'E Balans VL '!Z8*100),0,B32*3.6/1000000/'E Balans VL '!Z8*100)</f>
        <v>2.1636825053075358E-2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3607.4026101560371</v>
      </c>
      <c r="C5" s="17">
        <f>IF(ISERROR('Eigen informatie GS &amp; warmtenet'!B59),0,'Eigen informatie GS &amp; warmtenet'!B59)</f>
        <v>0</v>
      </c>
      <c r="D5" s="30">
        <f>SUM(D6:D15)</f>
        <v>2758.6035661713468</v>
      </c>
      <c r="E5" s="17">
        <f>SUM(E6:E15)</f>
        <v>823.96505014218576</v>
      </c>
      <c r="F5" s="17">
        <f>SUM(F6:F15)</f>
        <v>2615.1166328731906</v>
      </c>
      <c r="G5" s="18"/>
      <c r="H5" s="17"/>
      <c r="I5" s="17"/>
      <c r="J5" s="17">
        <f>SUM(J6:J15)</f>
        <v>0.76358742645118161</v>
      </c>
      <c r="K5" s="17"/>
      <c r="L5" s="17"/>
      <c r="M5" s="17"/>
      <c r="N5" s="17">
        <f>SUM(N6:N15)</f>
        <v>1175.7721672765458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2851.9777777203899</v>
      </c>
      <c r="C9" s="33"/>
      <c r="D9" s="37">
        <f>IF( ISERROR(IND_andere_gas_kWh/1000),0,IND_andere_gas_kWh/1000)*0.902</f>
        <v>951.90167742912104</v>
      </c>
      <c r="E9" s="33">
        <f>C31*'E Balans VL '!I19/100/3.6*1000000</f>
        <v>771.96026273593839</v>
      </c>
      <c r="F9" s="33">
        <f>C31*'E Balans VL '!L19/100/3.6*1000000+C31*'E Balans VL '!N19/100/3.6*1000000</f>
        <v>1899.719002254219</v>
      </c>
      <c r="G9" s="34"/>
      <c r="H9" s="33"/>
      <c r="I9" s="33"/>
      <c r="J9" s="40">
        <f>C31*'E Balans VL '!D19/100/3.6*1000000+C31*'E Balans VL '!E19/100/3.6*1000000</f>
        <v>0</v>
      </c>
      <c r="K9" s="33"/>
      <c r="L9" s="33"/>
      <c r="M9" s="33"/>
      <c r="N9" s="33">
        <f>C31*'E Balans VL '!Y19/100/3.6*1000000</f>
        <v>931.12336901896322</v>
      </c>
      <c r="O9" s="33"/>
      <c r="P9" s="33"/>
      <c r="R9" s="32"/>
    </row>
    <row r="10" spans="1:18">
      <c r="A10" s="6" t="s">
        <v>41</v>
      </c>
      <c r="B10" s="37">
        <f t="shared" si="0"/>
        <v>431.76415750878397</v>
      </c>
      <c r="C10" s="33"/>
      <c r="D10" s="37">
        <f>IF( ISERROR(IND_voed_gas_kWh/1000),0,IND_voed_gas_kWh/1000)*0.902</f>
        <v>570.16253798056368</v>
      </c>
      <c r="E10" s="33">
        <f>C32*'E Balans VL '!I20/100/3.6*1000000</f>
        <v>35.215676638756349</v>
      </c>
      <c r="F10" s="33">
        <f>C32*'E Balans VL '!L20/100/3.6*1000000+C32*'E Balans VL '!N20/100/3.6*1000000</f>
        <v>643.79953192236178</v>
      </c>
      <c r="G10" s="34"/>
      <c r="H10" s="33"/>
      <c r="I10" s="33"/>
      <c r="J10" s="40">
        <f>C32*'E Balans VL '!D20/100/3.6*1000000+C32*'E Balans VL '!E20/100/3.6*1000000</f>
        <v>5.7117157124611751E-3</v>
      </c>
      <c r="K10" s="33"/>
      <c r="L10" s="33"/>
      <c r="M10" s="33"/>
      <c r="N10" s="33">
        <f>C32*'E Balans VL '!Y20/100/3.6*1000000</f>
        <v>126.83707416175359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27.969252445247999</v>
      </c>
      <c r="C13" s="33"/>
      <c r="D13" s="37">
        <f>IF( ISERROR(IND_papier_gas_kWh/1000),0,IND_papier_gas_kWh/1000)*0.902</f>
        <v>60.652345071092064</v>
      </c>
      <c r="E13" s="33">
        <f>C35*'E Balans VL '!I23/100/3.6*1000000</f>
        <v>0.29302887312351827</v>
      </c>
      <c r="F13" s="33">
        <f>C35*'E Balans VL '!L23/100/3.6*1000000+C35*'E Balans VL '!N23/100/3.6*1000000</f>
        <v>2.0870705749034482</v>
      </c>
      <c r="G13" s="34"/>
      <c r="H13" s="33"/>
      <c r="I13" s="33"/>
      <c r="J13" s="40">
        <f>C35*'E Balans VL '!D23/100/3.6*1000000+C35*'E Balans VL '!E23/100/3.6*1000000</f>
        <v>0</v>
      </c>
      <c r="K13" s="33"/>
      <c r="L13" s="33"/>
      <c r="M13" s="33"/>
      <c r="N13" s="33">
        <f>C35*'E Balans VL '!Y23/100/3.6*1000000</f>
        <v>59.781357759848518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295.69142248161501</v>
      </c>
      <c r="C15" s="33"/>
      <c r="D15" s="37">
        <f>IF( ISERROR(IND_rest_gas_kWh/1000),0,IND_rest_gas_kWh/1000)*0.902</f>
        <v>1175.8870056905698</v>
      </c>
      <c r="E15" s="33">
        <f>C37*'E Balans VL '!I15/100/3.6*1000000</f>
        <v>16.496081894367485</v>
      </c>
      <c r="F15" s="33">
        <f>C37*'E Balans VL '!L15/100/3.6*1000000+C37*'E Balans VL '!N15/100/3.6*1000000</f>
        <v>69.511028121706062</v>
      </c>
      <c r="G15" s="34"/>
      <c r="H15" s="33"/>
      <c r="I15" s="33"/>
      <c r="J15" s="40">
        <f>C37*'E Balans VL '!D15/100/3.6*1000000+C37*'E Balans VL '!E15/100/3.6*1000000</f>
        <v>0.7578757107387204</v>
      </c>
      <c r="K15" s="33"/>
      <c r="L15" s="33"/>
      <c r="M15" s="33"/>
      <c r="N15" s="33">
        <f>C37*'E Balans VL '!Y15/100/3.6*1000000</f>
        <v>58.030366335980574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3607.4026101560371</v>
      </c>
      <c r="C18" s="21">
        <f>C5+C16</f>
        <v>0</v>
      </c>
      <c r="D18" s="21">
        <f>MAX((D5+D16),0)</f>
        <v>2758.6035661713468</v>
      </c>
      <c r="E18" s="21">
        <f>MAX((E5+E16),0)</f>
        <v>823.96505014218576</v>
      </c>
      <c r="F18" s="21">
        <f>MAX((F5+F16),0)</f>
        <v>2615.1166328731906</v>
      </c>
      <c r="G18" s="21"/>
      <c r="H18" s="21"/>
      <c r="I18" s="21"/>
      <c r="J18" s="21">
        <f>MAX((J5+J16),0)</f>
        <v>0.76358742645118161</v>
      </c>
      <c r="K18" s="21"/>
      <c r="L18" s="21">
        <f>MAX((L5+L16),0)</f>
        <v>0</v>
      </c>
      <c r="M18" s="21"/>
      <c r="N18" s="21">
        <f>MAX((N5+N16),0)</f>
        <v>1175.7721672765458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0.2150010516900899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775.5953550531234</v>
      </c>
      <c r="C22" s="23">
        <f ca="1">C18*C20</f>
        <v>0</v>
      </c>
      <c r="D22" s="23">
        <f>D18*D20</f>
        <v>557.23792036661212</v>
      </c>
      <c r="E22" s="23">
        <f>E18*E20</f>
        <v>187.04006638227617</v>
      </c>
      <c r="F22" s="23">
        <f>F18*F20</f>
        <v>698.23614097714199</v>
      </c>
      <c r="G22" s="23"/>
      <c r="H22" s="23"/>
      <c r="I22" s="23"/>
      <c r="J22" s="23">
        <f>J18*J20</f>
        <v>0.27030994896371829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2851.9777777203899</v>
      </c>
      <c r="C31" s="39">
        <f>IF(ISERROR(B31*3.6/1000000/'E Balans VL '!Z19*100),0,B31*3.6/1000000/'E Balans VL '!Z19*100)</f>
        <v>0.12420135721945993</v>
      </c>
      <c r="D31" s="239" t="s">
        <v>692</v>
      </c>
    </row>
    <row r="32" spans="1:18">
      <c r="A32" s="173" t="s">
        <v>41</v>
      </c>
      <c r="B32" s="37">
        <f>IF( ISERROR(IND_voed_ele_kWh/1000),0,IND_voed_ele_kWh/1000)</f>
        <v>431.76415750878397</v>
      </c>
      <c r="C32" s="39">
        <f>IF(ISERROR(B32*3.6/1000000/'E Balans VL '!Z20*100),0,B32*3.6/1000000/'E Balans VL '!Z20*100)</f>
        <v>8.192102217075467E-2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27.969252445247999</v>
      </c>
      <c r="C35" s="39">
        <f>IF(ISERROR(B35*3.6/1000000/'E Balans VL '!Z22*100),0,B35*3.6/1000000/'E Balans VL '!Z22*100)</f>
        <v>3.9327577522806686E-3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295.69142248161501</v>
      </c>
      <c r="C37" s="39">
        <f>IF(ISERROR(B37*3.6/1000000/'E Balans VL '!Z15*100),0,B37*3.6/1000000/'E Balans VL '!Z15*100)</f>
        <v>2.2786655941502264E-3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1190.0320535415228</v>
      </c>
      <c r="C5" s="17">
        <f>'Eigen informatie GS &amp; warmtenet'!B60</f>
        <v>0</v>
      </c>
      <c r="D5" s="30">
        <f>IF(ISERROR(SUM(LB_lb_gas_kWh,LB_rest_gas_kWh,onbekend_gas_kWh)/1000),0,SUM(LB_lb_gas_kWh,LB_rest_gas_kWh,onbekend_gas_kWh)/1000)*0.902</f>
        <v>7983.2546402943735</v>
      </c>
      <c r="E5" s="17">
        <f>B17*'E Balans VL '!I25/3.6*1000000/100</f>
        <v>14.995936947613433</v>
      </c>
      <c r="F5" s="17">
        <f>B17*('E Balans VL '!L25/3.6*1000000+'E Balans VL '!N25/3.6*1000000)/100</f>
        <v>4105.9087055611171</v>
      </c>
      <c r="G5" s="18"/>
      <c r="H5" s="17"/>
      <c r="I5" s="17"/>
      <c r="J5" s="17">
        <f>('E Balans VL '!D25+'E Balans VL '!E25)/3.6*1000000*landbouw!B17/100</f>
        <v>178.96729304570115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1190.0320535415228</v>
      </c>
      <c r="C8" s="21">
        <f>C5+C6</f>
        <v>0</v>
      </c>
      <c r="D8" s="21">
        <f>MAX((D5+D6),0)</f>
        <v>7983.2546402943735</v>
      </c>
      <c r="E8" s="21">
        <f>MAX((E5+E6),0)</f>
        <v>14.995936947613433</v>
      </c>
      <c r="F8" s="21">
        <f>MAX((F5+F6),0)</f>
        <v>4105.9087055611171</v>
      </c>
      <c r="G8" s="21"/>
      <c r="H8" s="21"/>
      <c r="I8" s="21"/>
      <c r="J8" s="21">
        <f>MAX((J5+J6),0)</f>
        <v>178.96729304570115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0.2150010516900899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255.85814305634477</v>
      </c>
      <c r="C12" s="23">
        <f ca="1">C8*C10</f>
        <v>0</v>
      </c>
      <c r="D12" s="23">
        <f>D8*D10</f>
        <v>1612.6174373394635</v>
      </c>
      <c r="E12" s="23">
        <f>E8*E10</f>
        <v>3.4040776871082494</v>
      </c>
      <c r="F12" s="23">
        <f>F8*F10</f>
        <v>1096.2776243848184</v>
      </c>
      <c r="G12" s="23"/>
      <c r="H12" s="23"/>
      <c r="I12" s="23"/>
      <c r="J12" s="23">
        <f>J8*J10</f>
        <v>63.354421738178203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0.16597196383589416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257.40237681852051</v>
      </c>
      <c r="C26" s="249">
        <f>B26*'GWP N2O_CH4'!B5</f>
        <v>5405.4499131889306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75.318305908807957</v>
      </c>
      <c r="C27" s="249">
        <f>B27*'GWP N2O_CH4'!B5</f>
        <v>1581.6844240849671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3.7370878619616197</v>
      </c>
      <c r="C28" s="249">
        <f>B28*'GWP N2O_CH4'!B4</f>
        <v>1158.4972372081022</v>
      </c>
      <c r="D28" s="50"/>
    </row>
    <row r="29" spans="1:4">
      <c r="A29" s="41" t="s">
        <v>277</v>
      </c>
      <c r="B29" s="249">
        <f>B34*'ha_N2O bodem landbouw'!B4</f>
        <v>15.832707005793422</v>
      </c>
      <c r="C29" s="249">
        <f>B29*'GWP N2O_CH4'!B4</f>
        <v>4908.1391717959605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3.9532687345226851E-3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1.5540805218226227E-5</v>
      </c>
      <c r="C5" s="448" t="s">
        <v>211</v>
      </c>
      <c r="D5" s="433">
        <f>SUM(D6:D11)</f>
        <v>2.4149745352212908E-5</v>
      </c>
      <c r="E5" s="433">
        <f>SUM(E6:E11)</f>
        <v>7.4636576372118517E-4</v>
      </c>
      <c r="F5" s="446" t="s">
        <v>211</v>
      </c>
      <c r="G5" s="433">
        <f>SUM(G6:G11)</f>
        <v>0.21482802792814706</v>
      </c>
      <c r="H5" s="433">
        <f>SUM(H6:H11)</f>
        <v>3.6398728605478353E-2</v>
      </c>
      <c r="I5" s="448" t="s">
        <v>211</v>
      </c>
      <c r="J5" s="448" t="s">
        <v>211</v>
      </c>
      <c r="K5" s="448" t="s">
        <v>211</v>
      </c>
      <c r="L5" s="448" t="s">
        <v>211</v>
      </c>
      <c r="M5" s="433">
        <f>SUM(M6:M11)</f>
        <v>1.1249437380662917E-2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1.3606433653628911E-5</v>
      </c>
      <c r="C6" s="949"/>
      <c r="D6" s="949">
        <f>vkm_2011_GW_PW*SUMIFS(TableVerdeelsleutelVkm[CNG],TableVerdeelsleutelVkm[Voertuigtype],"Lichte voertuigen")*SUMIFS(TableECFTransport[EnergieConsumptieFactor (PJ per km)],TableECFTransport[Index],CONCATENATE($A6,"_CNG_CNG"))</f>
        <v>1.9269371208192932E-5</v>
      </c>
      <c r="E6" s="949">
        <f>vkm_2011_GW_PW*SUMIFS(TableVerdeelsleutelVkm[LPG],TableVerdeelsleutelVkm[Voertuigtype],"Lichte voertuigen")*SUMIFS(TableECFTransport[EnergieConsumptieFactor (PJ per km)],TableECFTransport[Index],CONCATENATE($A6,"_LPG_LPG"))</f>
        <v>6.0518751320458742E-4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0.10876876739109621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2.9227157319238653E-2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6.1579897346834642E-3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6.796054648328137E-2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2.4213354767367264E-5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3.0667767053631522E-3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1.9343715645973177E-6</v>
      </c>
      <c r="C8" s="949"/>
      <c r="D8" s="436">
        <f>vkm_2011_NGW_PW*SUMIFS(TableVerdeelsleutelVkm[CNG],TableVerdeelsleutelVkm[Voertuigtype],"Lichte voertuigen")*SUMIFS(TableECFTransport[EnergieConsumptieFactor (PJ per km)],TableECFTransport[Index],CONCATENATE($A8,"_CNG_CNG"))</f>
        <v>4.8803741440199749E-6</v>
      </c>
      <c r="E8" s="436">
        <f>vkm_2011_NGW_PW*SUMIFS(TableVerdeelsleutelVkm[LPG],TableVerdeelsleutelVkm[Voertuigtype],"Lichte voertuigen")*SUMIFS(TableECFTransport[EnergieConsumptieFactor (PJ per km)],TableECFTransport[Index],CONCATENATE($A8,"_LPG_LPG"))</f>
        <v>1.4117825051659772E-4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2.3931082467578125E-2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7.1425813184371684E-3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1.3853562806949342E-3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1.4167631586191365E-2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4.7766130351628608E-6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6.3931465992136851E-4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4.3168903383961741</v>
      </c>
      <c r="C14" s="21"/>
      <c r="D14" s="21">
        <f t="shared" ref="D14:M14" si="0">((D5)*10^9/3600)+D12</f>
        <v>6.708262597836919</v>
      </c>
      <c r="E14" s="21">
        <f t="shared" si="0"/>
        <v>207.32382325588478</v>
      </c>
      <c r="F14" s="21"/>
      <c r="G14" s="21">
        <f t="shared" si="0"/>
        <v>59674.452202263077</v>
      </c>
      <c r="H14" s="21">
        <f t="shared" si="0"/>
        <v>10110.75794596621</v>
      </c>
      <c r="I14" s="21"/>
      <c r="J14" s="21"/>
      <c r="K14" s="21"/>
      <c r="L14" s="21"/>
      <c r="M14" s="21">
        <f t="shared" si="0"/>
        <v>3124.8437168508099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0.2150010516900899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0.92813596278596555</v>
      </c>
      <c r="C18" s="23"/>
      <c r="D18" s="23">
        <f t="shared" ref="D18:M18" si="1">D14*D16</f>
        <v>1.3550690447630578</v>
      </c>
      <c r="E18" s="23">
        <f t="shared" si="1"/>
        <v>47.062507879085842</v>
      </c>
      <c r="F18" s="23"/>
      <c r="G18" s="23">
        <f t="shared" si="1"/>
        <v>15933.078738004242</v>
      </c>
      <c r="H18" s="23">
        <f t="shared" si="1"/>
        <v>2517.5787285455863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4.599894515428791E-3</v>
      </c>
      <c r="C50" s="323">
        <f t="shared" ref="C50:P50" si="2">SUM(C51:C52)</f>
        <v>0</v>
      </c>
      <c r="D50" s="323">
        <f t="shared" si="2"/>
        <v>0</v>
      </c>
      <c r="E50" s="323">
        <f t="shared" si="2"/>
        <v>0</v>
      </c>
      <c r="F50" s="323">
        <f t="shared" si="2"/>
        <v>0</v>
      </c>
      <c r="G50" s="323">
        <f t="shared" si="2"/>
        <v>1.0771841810383882E-3</v>
      </c>
      <c r="H50" s="323">
        <f t="shared" si="2"/>
        <v>0</v>
      </c>
      <c r="I50" s="323">
        <f t="shared" si="2"/>
        <v>0</v>
      </c>
      <c r="J50" s="323">
        <f t="shared" si="2"/>
        <v>0</v>
      </c>
      <c r="K50" s="323">
        <f t="shared" si="2"/>
        <v>0</v>
      </c>
      <c r="L50" s="323">
        <f t="shared" si="2"/>
        <v>0</v>
      </c>
      <c r="M50" s="323">
        <f t="shared" si="2"/>
        <v>4.7905015233208063E-5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1.0771841810383882E-3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4.7905015233208063E-5</v>
      </c>
      <c r="N51" s="325"/>
      <c r="O51" s="325"/>
      <c r="P51" s="328"/>
    </row>
    <row r="52" spans="1:18">
      <c r="A52" s="4" t="s">
        <v>330</v>
      </c>
      <c r="B52" s="329">
        <f>vkm_2011_tram*SUMIFS(TableECFTransport[EnergieConsumptieFactor (PJ per km)],TableECFTransport[Index],"Tram_gemiddeld_Electric_Electric")</f>
        <v>4.599894515428791E-3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1277.7484765079973</v>
      </c>
      <c r="C54" s="21">
        <f t="shared" ref="C54:P54" si="3">(C50)*10^9/3600</f>
        <v>0</v>
      </c>
      <c r="D54" s="21">
        <f t="shared" si="3"/>
        <v>0</v>
      </c>
      <c r="E54" s="21">
        <f t="shared" si="3"/>
        <v>0</v>
      </c>
      <c r="F54" s="21">
        <f t="shared" si="3"/>
        <v>0</v>
      </c>
      <c r="G54" s="21">
        <f t="shared" si="3"/>
        <v>299.21782806621894</v>
      </c>
      <c r="H54" s="21">
        <f t="shared" si="3"/>
        <v>0</v>
      </c>
      <c r="I54" s="21">
        <f t="shared" si="3"/>
        <v>0</v>
      </c>
      <c r="J54" s="21">
        <f t="shared" si="3"/>
        <v>0</v>
      </c>
      <c r="K54" s="21">
        <f t="shared" si="3"/>
        <v>0</v>
      </c>
      <c r="L54" s="21">
        <f t="shared" si="3"/>
        <v>0</v>
      </c>
      <c r="M54" s="21">
        <f t="shared" si="3"/>
        <v>13.306948675891128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0.2150010516900899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274.71726624462957</v>
      </c>
      <c r="C58" s="23">
        <f t="shared" ref="C58:P58" ca="1" si="4">C54*C56</f>
        <v>0</v>
      </c>
      <c r="D58" s="23">
        <f t="shared" si="4"/>
        <v>0</v>
      </c>
      <c r="E58" s="23">
        <f t="shared" si="4"/>
        <v>0</v>
      </c>
      <c r="F58" s="23">
        <f t="shared" si="4"/>
        <v>0</v>
      </c>
      <c r="G58" s="23">
        <f t="shared" si="4"/>
        <v>79.891160093680469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1990.9258679180014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1990.9258679180014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32029.676047327852</v>
      </c>
      <c r="D10" s="704">
        <f ca="1">tertiair!C16</f>
        <v>0</v>
      </c>
      <c r="E10" s="704">
        <f ca="1">tertiair!D16</f>
        <v>55975.065864114753</v>
      </c>
      <c r="F10" s="704">
        <f>tertiair!E16</f>
        <v>916.98981095744159</v>
      </c>
      <c r="G10" s="704">
        <f ca="1">tertiair!F16</f>
        <v>7084.9978241342033</v>
      </c>
      <c r="H10" s="704">
        <f>tertiair!G16</f>
        <v>0</v>
      </c>
      <c r="I10" s="704">
        <f>tertiair!H16</f>
        <v>0</v>
      </c>
      <c r="J10" s="704">
        <f>tertiair!I16</f>
        <v>0</v>
      </c>
      <c r="K10" s="704">
        <f>tertiair!J16</f>
        <v>0</v>
      </c>
      <c r="L10" s="704">
        <f>tertiair!K16</f>
        <v>0</v>
      </c>
      <c r="M10" s="704">
        <f ca="1">tertiair!L16</f>
        <v>0</v>
      </c>
      <c r="N10" s="704">
        <f>tertiair!M16</f>
        <v>0</v>
      </c>
      <c r="O10" s="704">
        <f ca="1">tertiair!N16</f>
        <v>1529.662024162868</v>
      </c>
      <c r="P10" s="704">
        <f>tertiair!O16</f>
        <v>4.6900000000000004</v>
      </c>
      <c r="Q10" s="705">
        <f>tertiair!P16</f>
        <v>57.2</v>
      </c>
      <c r="R10" s="707">
        <f ca="1">SUM(C10:Q10)</f>
        <v>97598.281570697116</v>
      </c>
      <c r="S10" s="67"/>
    </row>
    <row r="11" spans="1:19" s="459" customFormat="1">
      <c r="A11" s="858" t="s">
        <v>225</v>
      </c>
      <c r="B11" s="863"/>
      <c r="C11" s="704">
        <f>huishoudens!B8</f>
        <v>35236.116143269719</v>
      </c>
      <c r="D11" s="704">
        <f>huishoudens!C8</f>
        <v>0</v>
      </c>
      <c r="E11" s="704">
        <f>huishoudens!D8</f>
        <v>78796.807489525745</v>
      </c>
      <c r="F11" s="704">
        <f>huishoudens!E8</f>
        <v>20.047374020860417</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30.351521802401994</v>
      </c>
      <c r="P11" s="704">
        <f>huishoudens!O8</f>
        <v>115.68666666666667</v>
      </c>
      <c r="Q11" s="705">
        <f>huishoudens!P8</f>
        <v>305.06666666666666</v>
      </c>
      <c r="R11" s="707">
        <f>SUM(C11:Q11)</f>
        <v>114504.07586195203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3607.4026101560371</v>
      </c>
      <c r="D13" s="704">
        <f>industrie!C18</f>
        <v>0</v>
      </c>
      <c r="E13" s="704">
        <f>industrie!D18</f>
        <v>2758.6035661713468</v>
      </c>
      <c r="F13" s="704">
        <f>industrie!E18</f>
        <v>823.96505014218576</v>
      </c>
      <c r="G13" s="704">
        <f>industrie!F18</f>
        <v>2615.1166328731906</v>
      </c>
      <c r="H13" s="704">
        <f>industrie!G18</f>
        <v>0</v>
      </c>
      <c r="I13" s="704">
        <f>industrie!H18</f>
        <v>0</v>
      </c>
      <c r="J13" s="704">
        <f>industrie!I18</f>
        <v>0</v>
      </c>
      <c r="K13" s="704">
        <f>industrie!J18</f>
        <v>0.76358742645118161</v>
      </c>
      <c r="L13" s="704">
        <f>industrie!K18</f>
        <v>0</v>
      </c>
      <c r="M13" s="704">
        <f>industrie!L18</f>
        <v>0</v>
      </c>
      <c r="N13" s="704">
        <f>industrie!M18</f>
        <v>0</v>
      </c>
      <c r="O13" s="704">
        <f>industrie!N18</f>
        <v>1175.7721672765458</v>
      </c>
      <c r="P13" s="704">
        <f>industrie!O18</f>
        <v>0</v>
      </c>
      <c r="Q13" s="705">
        <f>industrie!P18</f>
        <v>0</v>
      </c>
      <c r="R13" s="707">
        <f>SUM(C13:Q13)</f>
        <v>10981.623614045757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70873.194800753598</v>
      </c>
      <c r="D15" s="709">
        <f t="shared" ref="D15:Q15" ca="1" si="0">SUM(D9:D14)</f>
        <v>0</v>
      </c>
      <c r="E15" s="709">
        <f t="shared" ca="1" si="0"/>
        <v>137530.47691981183</v>
      </c>
      <c r="F15" s="709">
        <f t="shared" si="0"/>
        <v>1761.0022351204877</v>
      </c>
      <c r="G15" s="709">
        <f t="shared" ca="1" si="0"/>
        <v>9700.1144570073939</v>
      </c>
      <c r="H15" s="709">
        <f t="shared" si="0"/>
        <v>0</v>
      </c>
      <c r="I15" s="709">
        <f t="shared" si="0"/>
        <v>0</v>
      </c>
      <c r="J15" s="709">
        <f t="shared" si="0"/>
        <v>0</v>
      </c>
      <c r="K15" s="709">
        <f t="shared" si="0"/>
        <v>0.76358742645118161</v>
      </c>
      <c r="L15" s="709">
        <f t="shared" si="0"/>
        <v>0</v>
      </c>
      <c r="M15" s="709">
        <f t="shared" ca="1" si="0"/>
        <v>0</v>
      </c>
      <c r="N15" s="709">
        <f t="shared" si="0"/>
        <v>0</v>
      </c>
      <c r="O15" s="709">
        <f t="shared" ca="1" si="0"/>
        <v>2735.7857132418158</v>
      </c>
      <c r="P15" s="709">
        <f t="shared" si="0"/>
        <v>120.37666666666667</v>
      </c>
      <c r="Q15" s="710">
        <f t="shared" si="0"/>
        <v>362.26666666666665</v>
      </c>
      <c r="R15" s="711">
        <f ca="1">SUM(R9:R14)</f>
        <v>223083.98104669491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1277.7484765079973</v>
      </c>
      <c r="D18" s="704">
        <f>transport!C54</f>
        <v>0</v>
      </c>
      <c r="E18" s="704">
        <f>transport!D54</f>
        <v>0</v>
      </c>
      <c r="F18" s="704">
        <f>transport!E54</f>
        <v>0</v>
      </c>
      <c r="G18" s="704">
        <f>transport!F54</f>
        <v>0</v>
      </c>
      <c r="H18" s="704">
        <f>transport!G54</f>
        <v>299.21782806621894</v>
      </c>
      <c r="I18" s="704">
        <f>transport!H54</f>
        <v>0</v>
      </c>
      <c r="J18" s="704">
        <f>transport!I54</f>
        <v>0</v>
      </c>
      <c r="K18" s="704">
        <f>transport!J54</f>
        <v>0</v>
      </c>
      <c r="L18" s="704">
        <f>transport!K54</f>
        <v>0</v>
      </c>
      <c r="M18" s="704">
        <f>transport!L54</f>
        <v>0</v>
      </c>
      <c r="N18" s="704">
        <f>transport!M54</f>
        <v>13.306948675891128</v>
      </c>
      <c r="O18" s="704">
        <f>transport!N54</f>
        <v>0</v>
      </c>
      <c r="P18" s="704">
        <f>transport!O54</f>
        <v>0</v>
      </c>
      <c r="Q18" s="705">
        <f>transport!P54</f>
        <v>0</v>
      </c>
      <c r="R18" s="707">
        <f>SUM(C18:Q18)</f>
        <v>1590.2732532501075</v>
      </c>
      <c r="S18" s="67"/>
    </row>
    <row r="19" spans="1:19" s="459" customFormat="1" ht="15" thickBot="1">
      <c r="A19" s="858" t="s">
        <v>307</v>
      </c>
      <c r="B19" s="863"/>
      <c r="C19" s="713">
        <f>transport!B14</f>
        <v>4.3168903383961741</v>
      </c>
      <c r="D19" s="713">
        <f>transport!C14</f>
        <v>0</v>
      </c>
      <c r="E19" s="713">
        <f>transport!D14</f>
        <v>6.708262597836919</v>
      </c>
      <c r="F19" s="713">
        <f>transport!E14</f>
        <v>207.32382325588478</v>
      </c>
      <c r="G19" s="713">
        <f>transport!F14</f>
        <v>0</v>
      </c>
      <c r="H19" s="713">
        <f>transport!G14</f>
        <v>59674.452202263077</v>
      </c>
      <c r="I19" s="713">
        <f>transport!H14</f>
        <v>10110.75794596621</v>
      </c>
      <c r="J19" s="713">
        <f>transport!I14</f>
        <v>0</v>
      </c>
      <c r="K19" s="713">
        <f>transport!J14</f>
        <v>0</v>
      </c>
      <c r="L19" s="713">
        <f>transport!K14</f>
        <v>0</v>
      </c>
      <c r="M19" s="713">
        <f>transport!L14</f>
        <v>0</v>
      </c>
      <c r="N19" s="713">
        <f>transport!M14</f>
        <v>3124.8437168508099</v>
      </c>
      <c r="O19" s="713">
        <f>transport!N14</f>
        <v>0</v>
      </c>
      <c r="P19" s="713">
        <f>transport!O14</f>
        <v>0</v>
      </c>
      <c r="Q19" s="714">
        <f>transport!P14</f>
        <v>0</v>
      </c>
      <c r="R19" s="715">
        <f>SUM(C19:Q19)</f>
        <v>73128.402841272211</v>
      </c>
      <c r="S19" s="67"/>
    </row>
    <row r="20" spans="1:19" s="459" customFormat="1" ht="15.75" thickBot="1">
      <c r="A20" s="716" t="s">
        <v>230</v>
      </c>
      <c r="B20" s="866"/>
      <c r="C20" s="861">
        <f>SUM(C17:C19)</f>
        <v>1282.0653668463935</v>
      </c>
      <c r="D20" s="717">
        <f t="shared" ref="D20:R20" si="1">SUM(D17:D19)</f>
        <v>0</v>
      </c>
      <c r="E20" s="717">
        <f t="shared" si="1"/>
        <v>6.708262597836919</v>
      </c>
      <c r="F20" s="717">
        <f t="shared" si="1"/>
        <v>207.32382325588478</v>
      </c>
      <c r="G20" s="717">
        <f t="shared" si="1"/>
        <v>0</v>
      </c>
      <c r="H20" s="717">
        <f t="shared" si="1"/>
        <v>59973.670030329296</v>
      </c>
      <c r="I20" s="717">
        <f t="shared" si="1"/>
        <v>10110.75794596621</v>
      </c>
      <c r="J20" s="717">
        <f t="shared" si="1"/>
        <v>0</v>
      </c>
      <c r="K20" s="717">
        <f t="shared" si="1"/>
        <v>0</v>
      </c>
      <c r="L20" s="717">
        <f t="shared" si="1"/>
        <v>0</v>
      </c>
      <c r="M20" s="717">
        <f t="shared" si="1"/>
        <v>0</v>
      </c>
      <c r="N20" s="717">
        <f t="shared" si="1"/>
        <v>3138.1506655267008</v>
      </c>
      <c r="O20" s="717">
        <f t="shared" si="1"/>
        <v>0</v>
      </c>
      <c r="P20" s="717">
        <f t="shared" si="1"/>
        <v>0</v>
      </c>
      <c r="Q20" s="718">
        <f t="shared" si="1"/>
        <v>0</v>
      </c>
      <c r="R20" s="719">
        <f t="shared" si="1"/>
        <v>74718.676094522321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1190.0320535415228</v>
      </c>
      <c r="D22" s="713">
        <f>+landbouw!C8</f>
        <v>0</v>
      </c>
      <c r="E22" s="713">
        <f>+landbouw!D8</f>
        <v>7983.2546402943735</v>
      </c>
      <c r="F22" s="713">
        <f>+landbouw!E8</f>
        <v>14.995936947613433</v>
      </c>
      <c r="G22" s="713">
        <f>+landbouw!F8</f>
        <v>4105.9087055611171</v>
      </c>
      <c r="H22" s="713">
        <f>+landbouw!G8</f>
        <v>0</v>
      </c>
      <c r="I22" s="713">
        <f>+landbouw!H8</f>
        <v>0</v>
      </c>
      <c r="J22" s="713">
        <f>+landbouw!I8</f>
        <v>0</v>
      </c>
      <c r="K22" s="713">
        <f>+landbouw!J8</f>
        <v>178.96729304570115</v>
      </c>
      <c r="L22" s="713">
        <f>+landbouw!K8</f>
        <v>0</v>
      </c>
      <c r="M22" s="713">
        <f>+landbouw!L8</f>
        <v>0</v>
      </c>
      <c r="N22" s="713">
        <f>+landbouw!M8</f>
        <v>0</v>
      </c>
      <c r="O22" s="713">
        <f>+landbouw!N8</f>
        <v>0</v>
      </c>
      <c r="P22" s="713">
        <f>+landbouw!O8</f>
        <v>0</v>
      </c>
      <c r="Q22" s="714">
        <f>+landbouw!P8</f>
        <v>0</v>
      </c>
      <c r="R22" s="715">
        <f>SUM(C22:Q22)</f>
        <v>13473.158629390327</v>
      </c>
      <c r="S22" s="67"/>
    </row>
    <row r="23" spans="1:19" s="459" customFormat="1" ht="17.25" thickTop="1" thickBot="1">
      <c r="A23" s="720" t="s">
        <v>116</v>
      </c>
      <c r="B23" s="852"/>
      <c r="C23" s="721">
        <f ca="1">C20+C15+C22</f>
        <v>73345.292221141513</v>
      </c>
      <c r="D23" s="721">
        <f t="shared" ref="D23:Q23" ca="1" si="2">D20+D15+D22</f>
        <v>0</v>
      </c>
      <c r="E23" s="721">
        <f t="shared" ca="1" si="2"/>
        <v>145520.43982270407</v>
      </c>
      <c r="F23" s="721">
        <f t="shared" si="2"/>
        <v>1983.3219953239859</v>
      </c>
      <c r="G23" s="721">
        <f t="shared" ca="1" si="2"/>
        <v>13806.023162568512</v>
      </c>
      <c r="H23" s="721">
        <f t="shared" si="2"/>
        <v>59973.670030329296</v>
      </c>
      <c r="I23" s="721">
        <f t="shared" si="2"/>
        <v>10110.75794596621</v>
      </c>
      <c r="J23" s="721">
        <f t="shared" si="2"/>
        <v>0</v>
      </c>
      <c r="K23" s="721">
        <f t="shared" si="2"/>
        <v>179.73088047215234</v>
      </c>
      <c r="L23" s="721">
        <f t="shared" si="2"/>
        <v>0</v>
      </c>
      <c r="M23" s="721">
        <f t="shared" ca="1" si="2"/>
        <v>0</v>
      </c>
      <c r="N23" s="721">
        <f t="shared" si="2"/>
        <v>3138.1506655267008</v>
      </c>
      <c r="O23" s="721">
        <f t="shared" ca="1" si="2"/>
        <v>2735.7857132418158</v>
      </c>
      <c r="P23" s="721">
        <f t="shared" si="2"/>
        <v>120.37666666666667</v>
      </c>
      <c r="Q23" s="722">
        <f t="shared" si="2"/>
        <v>362.26666666666665</v>
      </c>
      <c r="R23" s="723">
        <f ca="1">R20+R15+R22</f>
        <v>311275.81577060762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6886.4140354683695</v>
      </c>
      <c r="D36" s="704">
        <f ca="1">tertiair!C20</f>
        <v>0</v>
      </c>
      <c r="E36" s="704">
        <f ca="1">tertiair!D20</f>
        <v>11306.96330455118</v>
      </c>
      <c r="F36" s="704">
        <f>tertiair!E20</f>
        <v>208.15668708733924</v>
      </c>
      <c r="G36" s="704">
        <f ca="1">tertiair!F20</f>
        <v>1891.6944190438323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20293.228446150722</v>
      </c>
    </row>
    <row r="37" spans="1:18">
      <c r="A37" s="873" t="s">
        <v>225</v>
      </c>
      <c r="B37" s="880"/>
      <c r="C37" s="704">
        <f ca="1">huishoudens!B12</f>
        <v>7575.802028277144</v>
      </c>
      <c r="D37" s="704">
        <f ca="1">huishoudens!C12</f>
        <v>0</v>
      </c>
      <c r="E37" s="704">
        <f>huishoudens!D12</f>
        <v>15916.955112884201</v>
      </c>
      <c r="F37" s="704">
        <f>huishoudens!E12</f>
        <v>4.5507539027353152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23497.307895064081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775.5953550531234</v>
      </c>
      <c r="D39" s="704">
        <f ca="1">industrie!C22</f>
        <v>0</v>
      </c>
      <c r="E39" s="704">
        <f>industrie!D22</f>
        <v>557.23792036661212</v>
      </c>
      <c r="F39" s="704">
        <f>industrie!E22</f>
        <v>187.04006638227617</v>
      </c>
      <c r="G39" s="704">
        <f>industrie!F22</f>
        <v>698.23614097714199</v>
      </c>
      <c r="H39" s="704">
        <f>industrie!G22</f>
        <v>0</v>
      </c>
      <c r="I39" s="704">
        <f>industrie!H22</f>
        <v>0</v>
      </c>
      <c r="J39" s="704">
        <f>industrie!I22</f>
        <v>0</v>
      </c>
      <c r="K39" s="704">
        <f>industrie!J22</f>
        <v>0.27030994896371829</v>
      </c>
      <c r="L39" s="704">
        <f>industrie!K22</f>
        <v>0</v>
      </c>
      <c r="M39" s="704">
        <f>industrie!L22</f>
        <v>0</v>
      </c>
      <c r="N39" s="704">
        <f>industrie!M22</f>
        <v>0</v>
      </c>
      <c r="O39" s="704">
        <f>industrie!N22</f>
        <v>0</v>
      </c>
      <c r="P39" s="704">
        <f>industrie!O22</f>
        <v>0</v>
      </c>
      <c r="Q39" s="814">
        <f>industrie!P22</f>
        <v>0</v>
      </c>
      <c r="R39" s="906">
        <f ca="1">SUM(C39:Q39)</f>
        <v>2218.3797927281171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15237.811418798636</v>
      </c>
      <c r="D41" s="749">
        <f t="shared" ref="D41:R41" ca="1" si="4">SUM(D35:D40)</f>
        <v>0</v>
      </c>
      <c r="E41" s="749">
        <f t="shared" ca="1" si="4"/>
        <v>27781.156337801993</v>
      </c>
      <c r="F41" s="749">
        <f t="shared" si="4"/>
        <v>399.7475073723507</v>
      </c>
      <c r="G41" s="749">
        <f t="shared" ca="1" si="4"/>
        <v>2589.9305600209746</v>
      </c>
      <c r="H41" s="749">
        <f t="shared" si="4"/>
        <v>0</v>
      </c>
      <c r="I41" s="749">
        <f t="shared" si="4"/>
        <v>0</v>
      </c>
      <c r="J41" s="749">
        <f t="shared" si="4"/>
        <v>0</v>
      </c>
      <c r="K41" s="749">
        <f t="shared" si="4"/>
        <v>0.27030994896371829</v>
      </c>
      <c r="L41" s="749">
        <f t="shared" si="4"/>
        <v>0</v>
      </c>
      <c r="M41" s="749">
        <f t="shared" ca="1" si="4"/>
        <v>0</v>
      </c>
      <c r="N41" s="749">
        <f t="shared" si="4"/>
        <v>0</v>
      </c>
      <c r="O41" s="749">
        <f t="shared" ca="1" si="4"/>
        <v>0</v>
      </c>
      <c r="P41" s="749">
        <f t="shared" si="4"/>
        <v>0</v>
      </c>
      <c r="Q41" s="750">
        <f t="shared" si="4"/>
        <v>0</v>
      </c>
      <c r="R41" s="751">
        <f t="shared" ca="1" si="4"/>
        <v>46008.916133942919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274.71726624462957</v>
      </c>
      <c r="D44" s="704">
        <f ca="1">transport!C58</f>
        <v>0</v>
      </c>
      <c r="E44" s="704">
        <f>transport!D58</f>
        <v>0</v>
      </c>
      <c r="F44" s="704">
        <f>transport!E58</f>
        <v>0</v>
      </c>
      <c r="G44" s="704">
        <f>transport!F58</f>
        <v>0</v>
      </c>
      <c r="H44" s="704">
        <f>transport!G58</f>
        <v>79.891160093680469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354.60842633831004</v>
      </c>
    </row>
    <row r="45" spans="1:18" ht="15" thickBot="1">
      <c r="A45" s="876" t="s">
        <v>307</v>
      </c>
      <c r="B45" s="886"/>
      <c r="C45" s="713">
        <f ca="1">transport!B18</f>
        <v>0.92813596278596555</v>
      </c>
      <c r="D45" s="713">
        <f>transport!C18</f>
        <v>0</v>
      </c>
      <c r="E45" s="713">
        <f>transport!D18</f>
        <v>1.3550690447630578</v>
      </c>
      <c r="F45" s="713">
        <f>transport!E18</f>
        <v>47.062507879085842</v>
      </c>
      <c r="G45" s="713">
        <f>transport!F18</f>
        <v>0</v>
      </c>
      <c r="H45" s="713">
        <f>transport!G18</f>
        <v>15933.078738004242</v>
      </c>
      <c r="I45" s="713">
        <f>transport!H18</f>
        <v>2517.5787285455863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18500.003179436462</v>
      </c>
    </row>
    <row r="46" spans="1:18" ht="15.75" thickBot="1">
      <c r="A46" s="874" t="s">
        <v>230</v>
      </c>
      <c r="B46" s="887"/>
      <c r="C46" s="749">
        <f t="shared" ref="C46:R46" ca="1" si="5">SUM(C43:C45)</f>
        <v>275.64540220741554</v>
      </c>
      <c r="D46" s="749">
        <f t="shared" ca="1" si="5"/>
        <v>0</v>
      </c>
      <c r="E46" s="749">
        <f t="shared" si="5"/>
        <v>1.3550690447630578</v>
      </c>
      <c r="F46" s="749">
        <f t="shared" si="5"/>
        <v>47.062507879085842</v>
      </c>
      <c r="G46" s="749">
        <f t="shared" si="5"/>
        <v>0</v>
      </c>
      <c r="H46" s="749">
        <f t="shared" si="5"/>
        <v>16012.969898097923</v>
      </c>
      <c r="I46" s="749">
        <f t="shared" si="5"/>
        <v>2517.5787285455863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18854.611605774771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255.85814305634477</v>
      </c>
      <c r="D48" s="704">
        <f ca="1">+landbouw!C12</f>
        <v>0</v>
      </c>
      <c r="E48" s="704">
        <f>+landbouw!D12</f>
        <v>1612.6174373394635</v>
      </c>
      <c r="F48" s="704">
        <f>+landbouw!E12</f>
        <v>3.4040776871082494</v>
      </c>
      <c r="G48" s="704">
        <f>+landbouw!F12</f>
        <v>1096.2776243848184</v>
      </c>
      <c r="H48" s="704">
        <f>+landbouw!G12</f>
        <v>0</v>
      </c>
      <c r="I48" s="704">
        <f>+landbouw!H12</f>
        <v>0</v>
      </c>
      <c r="J48" s="704">
        <f>+landbouw!I12</f>
        <v>0</v>
      </c>
      <c r="K48" s="704">
        <f>+landbouw!J12</f>
        <v>63.354421738178203</v>
      </c>
      <c r="L48" s="704">
        <f>+landbouw!K12</f>
        <v>0</v>
      </c>
      <c r="M48" s="704">
        <f>+landbouw!L12</f>
        <v>0</v>
      </c>
      <c r="N48" s="704">
        <f>+landbouw!M12</f>
        <v>0</v>
      </c>
      <c r="O48" s="704">
        <f>+landbouw!N12</f>
        <v>0</v>
      </c>
      <c r="P48" s="704">
        <f>+landbouw!O12</f>
        <v>0</v>
      </c>
      <c r="Q48" s="705">
        <f>+landbouw!P12</f>
        <v>0</v>
      </c>
      <c r="R48" s="747">
        <f ca="1">SUM(C48:Q48)</f>
        <v>3031.5117042059132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15769.314964062396</v>
      </c>
      <c r="D53" s="759">
        <f t="shared" ref="D53:Q53" ca="1" si="6">D41+D46+D48</f>
        <v>0</v>
      </c>
      <c r="E53" s="759">
        <f t="shared" ca="1" si="6"/>
        <v>29395.12884418622</v>
      </c>
      <c r="F53" s="759">
        <f t="shared" si="6"/>
        <v>450.21409293854481</v>
      </c>
      <c r="G53" s="759">
        <f t="shared" ca="1" si="6"/>
        <v>3686.208184405793</v>
      </c>
      <c r="H53" s="759">
        <f t="shared" si="6"/>
        <v>16012.969898097923</v>
      </c>
      <c r="I53" s="759">
        <f t="shared" si="6"/>
        <v>2517.5787285455863</v>
      </c>
      <c r="J53" s="759">
        <f t="shared" si="6"/>
        <v>0</v>
      </c>
      <c r="K53" s="759">
        <f t="shared" si="6"/>
        <v>63.624731687141924</v>
      </c>
      <c r="L53" s="759">
        <f t="shared" si="6"/>
        <v>0</v>
      </c>
      <c r="M53" s="759">
        <f t="shared" ca="1" si="6"/>
        <v>0</v>
      </c>
      <c r="N53" s="759">
        <f t="shared" si="6"/>
        <v>0</v>
      </c>
      <c r="O53" s="759">
        <f t="shared" ca="1" si="6"/>
        <v>0</v>
      </c>
      <c r="P53" s="759">
        <f>P41+P46+P48</f>
        <v>0</v>
      </c>
      <c r="Q53" s="760">
        <f t="shared" si="6"/>
        <v>0</v>
      </c>
      <c r="R53" s="761">
        <f ca="1">R41+R46+R48</f>
        <v>67895.039443923597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0.2150010516900899</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1990.9258679180014</v>
      </c>
      <c r="C66" s="781">
        <f>'lokale energieproductie'!B6</f>
        <v>1990.9258679180014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1990.9258679180014</v>
      </c>
      <c r="C69" s="789">
        <f>SUM(C64:C68)</f>
        <v>1990.9258679180014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35236.116143269719</v>
      </c>
      <c r="C4" s="463">
        <f>huishoudens!C8</f>
        <v>0</v>
      </c>
      <c r="D4" s="463">
        <f>huishoudens!D8</f>
        <v>78796.807489525745</v>
      </c>
      <c r="E4" s="463">
        <f>huishoudens!E8</f>
        <v>20.047374020860417</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30.351521802401994</v>
      </c>
      <c r="O4" s="463">
        <f>huishoudens!O8</f>
        <v>115.68666666666667</v>
      </c>
      <c r="P4" s="464">
        <f>huishoudens!P8</f>
        <v>305.06666666666666</v>
      </c>
      <c r="Q4" s="465">
        <f>SUM(B4:P4)</f>
        <v>114504.07586195203</v>
      </c>
    </row>
    <row r="5" spans="1:17">
      <c r="A5" s="462" t="s">
        <v>156</v>
      </c>
      <c r="B5" s="463">
        <f ca="1">tertiair!B16</f>
        <v>30275.995047327851</v>
      </c>
      <c r="C5" s="463">
        <f ca="1">tertiair!C16</f>
        <v>0</v>
      </c>
      <c r="D5" s="463">
        <f ca="1">tertiair!D16</f>
        <v>55975.065864114753</v>
      </c>
      <c r="E5" s="463">
        <f>tertiair!E16</f>
        <v>916.98981095744159</v>
      </c>
      <c r="F5" s="463">
        <f ca="1">tertiair!F16</f>
        <v>7084.9978241342033</v>
      </c>
      <c r="G5" s="463">
        <f>tertiair!G16</f>
        <v>0</v>
      </c>
      <c r="H5" s="463">
        <f>tertiair!H16</f>
        <v>0</v>
      </c>
      <c r="I5" s="463">
        <f>tertiair!I16</f>
        <v>0</v>
      </c>
      <c r="J5" s="463">
        <f>tertiair!J16</f>
        <v>0</v>
      </c>
      <c r="K5" s="463">
        <f>tertiair!K16</f>
        <v>0</v>
      </c>
      <c r="L5" s="463">
        <f ca="1">tertiair!L16</f>
        <v>0</v>
      </c>
      <c r="M5" s="463">
        <f>tertiair!M16</f>
        <v>0</v>
      </c>
      <c r="N5" s="463">
        <f ca="1">tertiair!N16</f>
        <v>1529.662024162868</v>
      </c>
      <c r="O5" s="463">
        <f>tertiair!O16</f>
        <v>4.6900000000000004</v>
      </c>
      <c r="P5" s="464">
        <f>tertiair!P16</f>
        <v>57.2</v>
      </c>
      <c r="Q5" s="462">
        <f t="shared" ref="Q5:Q13" ca="1" si="0">SUM(B5:P5)</f>
        <v>95844.600570697119</v>
      </c>
    </row>
    <row r="6" spans="1:17">
      <c r="A6" s="462" t="s">
        <v>194</v>
      </c>
      <c r="B6" s="463">
        <f>'openbare verlichting'!B8</f>
        <v>1753.681</v>
      </c>
      <c r="C6" s="463"/>
      <c r="D6" s="463"/>
      <c r="E6" s="463"/>
      <c r="F6" s="463"/>
      <c r="G6" s="463"/>
      <c r="H6" s="463"/>
      <c r="I6" s="463"/>
      <c r="J6" s="463"/>
      <c r="K6" s="463"/>
      <c r="L6" s="463"/>
      <c r="M6" s="463"/>
      <c r="N6" s="463"/>
      <c r="O6" s="463"/>
      <c r="P6" s="464"/>
      <c r="Q6" s="462">
        <f t="shared" si="0"/>
        <v>1753.681</v>
      </c>
    </row>
    <row r="7" spans="1:17">
      <c r="A7" s="462" t="s">
        <v>112</v>
      </c>
      <c r="B7" s="463">
        <f>landbouw!B8</f>
        <v>1190.0320535415228</v>
      </c>
      <c r="C7" s="463">
        <f>landbouw!C8</f>
        <v>0</v>
      </c>
      <c r="D7" s="463">
        <f>landbouw!D8</f>
        <v>7983.2546402943735</v>
      </c>
      <c r="E7" s="463">
        <f>landbouw!E8</f>
        <v>14.995936947613433</v>
      </c>
      <c r="F7" s="463">
        <f>landbouw!F8</f>
        <v>4105.9087055611171</v>
      </c>
      <c r="G7" s="463">
        <f>landbouw!G8</f>
        <v>0</v>
      </c>
      <c r="H7" s="463">
        <f>landbouw!H8</f>
        <v>0</v>
      </c>
      <c r="I7" s="463">
        <f>landbouw!I8</f>
        <v>0</v>
      </c>
      <c r="J7" s="463">
        <f>landbouw!J8</f>
        <v>178.96729304570115</v>
      </c>
      <c r="K7" s="463">
        <f>landbouw!K8</f>
        <v>0</v>
      </c>
      <c r="L7" s="463">
        <f>landbouw!L8</f>
        <v>0</v>
      </c>
      <c r="M7" s="463">
        <f>landbouw!M8</f>
        <v>0</v>
      </c>
      <c r="N7" s="463">
        <f>landbouw!N8</f>
        <v>0</v>
      </c>
      <c r="O7" s="463">
        <f>landbouw!O8</f>
        <v>0</v>
      </c>
      <c r="P7" s="464">
        <f>landbouw!P8</f>
        <v>0</v>
      </c>
      <c r="Q7" s="462">
        <f t="shared" si="0"/>
        <v>13473.158629390327</v>
      </c>
    </row>
    <row r="8" spans="1:17">
      <c r="A8" s="462" t="s">
        <v>657</v>
      </c>
      <c r="B8" s="463">
        <f>industrie!B18</f>
        <v>3607.4026101560371</v>
      </c>
      <c r="C8" s="463">
        <f>industrie!C18</f>
        <v>0</v>
      </c>
      <c r="D8" s="463">
        <f>industrie!D18</f>
        <v>2758.6035661713468</v>
      </c>
      <c r="E8" s="463">
        <f>industrie!E18</f>
        <v>823.96505014218576</v>
      </c>
      <c r="F8" s="463">
        <f>industrie!F18</f>
        <v>2615.1166328731906</v>
      </c>
      <c r="G8" s="463">
        <f>industrie!G18</f>
        <v>0</v>
      </c>
      <c r="H8" s="463">
        <f>industrie!H18</f>
        <v>0</v>
      </c>
      <c r="I8" s="463">
        <f>industrie!I18</f>
        <v>0</v>
      </c>
      <c r="J8" s="463">
        <f>industrie!J18</f>
        <v>0.76358742645118161</v>
      </c>
      <c r="K8" s="463">
        <f>industrie!K18</f>
        <v>0</v>
      </c>
      <c r="L8" s="463">
        <f>industrie!L18</f>
        <v>0</v>
      </c>
      <c r="M8" s="463">
        <f>industrie!M18</f>
        <v>0</v>
      </c>
      <c r="N8" s="463">
        <f>industrie!N18</f>
        <v>1175.7721672765458</v>
      </c>
      <c r="O8" s="463">
        <f>industrie!O18</f>
        <v>0</v>
      </c>
      <c r="P8" s="464">
        <f>industrie!P18</f>
        <v>0</v>
      </c>
      <c r="Q8" s="462">
        <f t="shared" si="0"/>
        <v>10981.623614045757</v>
      </c>
    </row>
    <row r="9" spans="1:17" s="468" customFormat="1">
      <c r="A9" s="466" t="s">
        <v>574</v>
      </c>
      <c r="B9" s="467">
        <f>transport!B14</f>
        <v>4.3168903383961741</v>
      </c>
      <c r="C9" s="467">
        <f>transport!C14</f>
        <v>0</v>
      </c>
      <c r="D9" s="467">
        <f>transport!D14</f>
        <v>6.708262597836919</v>
      </c>
      <c r="E9" s="467">
        <f>transport!E14</f>
        <v>207.32382325588478</v>
      </c>
      <c r="F9" s="467">
        <f>transport!F14</f>
        <v>0</v>
      </c>
      <c r="G9" s="467">
        <f>transport!G14</f>
        <v>59674.452202263077</v>
      </c>
      <c r="H9" s="467">
        <f>transport!H14</f>
        <v>10110.75794596621</v>
      </c>
      <c r="I9" s="467">
        <f>transport!I14</f>
        <v>0</v>
      </c>
      <c r="J9" s="467">
        <f>transport!J14</f>
        <v>0</v>
      </c>
      <c r="K9" s="467">
        <f>transport!K14</f>
        <v>0</v>
      </c>
      <c r="L9" s="467">
        <f>transport!L14</f>
        <v>0</v>
      </c>
      <c r="M9" s="467">
        <f>transport!M14</f>
        <v>3124.8437168508099</v>
      </c>
      <c r="N9" s="467">
        <f>transport!N14</f>
        <v>0</v>
      </c>
      <c r="O9" s="467">
        <f>transport!O14</f>
        <v>0</v>
      </c>
      <c r="P9" s="467">
        <f>transport!P14</f>
        <v>0</v>
      </c>
      <c r="Q9" s="466">
        <f>SUM(B9:P9)</f>
        <v>73128.402841272211</v>
      </c>
    </row>
    <row r="10" spans="1:17">
      <c r="A10" s="462" t="s">
        <v>564</v>
      </c>
      <c r="B10" s="463">
        <f>transport!B54</f>
        <v>1277.7484765079973</v>
      </c>
      <c r="C10" s="463">
        <f>transport!C54</f>
        <v>0</v>
      </c>
      <c r="D10" s="463">
        <f>transport!D54</f>
        <v>0</v>
      </c>
      <c r="E10" s="463">
        <f>transport!E54</f>
        <v>0</v>
      </c>
      <c r="F10" s="463">
        <f>transport!F54</f>
        <v>0</v>
      </c>
      <c r="G10" s="463">
        <f>transport!G54</f>
        <v>299.21782806621894</v>
      </c>
      <c r="H10" s="463">
        <f>transport!H54</f>
        <v>0</v>
      </c>
      <c r="I10" s="463">
        <f>transport!I54</f>
        <v>0</v>
      </c>
      <c r="J10" s="463">
        <f>transport!J54</f>
        <v>0</v>
      </c>
      <c r="K10" s="463">
        <f>transport!K54</f>
        <v>0</v>
      </c>
      <c r="L10" s="463">
        <f>transport!L54</f>
        <v>0</v>
      </c>
      <c r="M10" s="463">
        <f>transport!M54</f>
        <v>13.306948675891128</v>
      </c>
      <c r="N10" s="463">
        <f>transport!N54</f>
        <v>0</v>
      </c>
      <c r="O10" s="463">
        <f>transport!O54</f>
        <v>0</v>
      </c>
      <c r="P10" s="464">
        <f>transport!P54</f>
        <v>0</v>
      </c>
      <c r="Q10" s="462">
        <f t="shared" si="0"/>
        <v>1590.2732532501075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73345.292221141513</v>
      </c>
      <c r="C14" s="473">
        <f t="shared" ref="C14:Q14" ca="1" si="1">SUM(C4:C13)</f>
        <v>0</v>
      </c>
      <c r="D14" s="473">
        <f t="shared" ca="1" si="1"/>
        <v>145520.43982270407</v>
      </c>
      <c r="E14" s="473">
        <f t="shared" si="1"/>
        <v>1983.3219953239859</v>
      </c>
      <c r="F14" s="473">
        <f t="shared" ca="1" si="1"/>
        <v>13806.02316256851</v>
      </c>
      <c r="G14" s="473">
        <f t="shared" si="1"/>
        <v>59973.670030329296</v>
      </c>
      <c r="H14" s="473">
        <f t="shared" si="1"/>
        <v>10110.75794596621</v>
      </c>
      <c r="I14" s="473">
        <f t="shared" si="1"/>
        <v>0</v>
      </c>
      <c r="J14" s="473">
        <f t="shared" si="1"/>
        <v>179.73088047215234</v>
      </c>
      <c r="K14" s="473">
        <f t="shared" si="1"/>
        <v>0</v>
      </c>
      <c r="L14" s="473">
        <f t="shared" ca="1" si="1"/>
        <v>0</v>
      </c>
      <c r="M14" s="473">
        <f t="shared" si="1"/>
        <v>3138.1506655267008</v>
      </c>
      <c r="N14" s="473">
        <f t="shared" ca="1" si="1"/>
        <v>2735.7857132418158</v>
      </c>
      <c r="O14" s="473">
        <f t="shared" si="1"/>
        <v>120.37666666666667</v>
      </c>
      <c r="P14" s="474">
        <f t="shared" si="1"/>
        <v>362.26666666666665</v>
      </c>
      <c r="Q14" s="474">
        <f t="shared" ca="1" si="1"/>
        <v>311275.81577060756</v>
      </c>
    </row>
    <row r="16" spans="1:17">
      <c r="A16" s="476" t="s">
        <v>569</v>
      </c>
      <c r="B16" s="829">
        <f ca="1">huishoudens!B10</f>
        <v>0.2150010516900899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7575.802028277144</v>
      </c>
      <c r="C21" s="463">
        <f t="shared" ref="C21:C30" ca="1" si="3">C4*$C$16</f>
        <v>0</v>
      </c>
      <c r="D21" s="463">
        <f t="shared" ref="D21:D30" si="4">D4*$D$16</f>
        <v>15916.955112884201</v>
      </c>
      <c r="E21" s="463">
        <f t="shared" ref="E21:E30" si="5">E4*$E$16</f>
        <v>4.5507539027353152</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23497.307895064081</v>
      </c>
    </row>
    <row r="22" spans="1:17">
      <c r="A22" s="462" t="s">
        <v>156</v>
      </c>
      <c r="B22" s="463">
        <f t="shared" ca="1" si="2"/>
        <v>6509.3707761394407</v>
      </c>
      <c r="C22" s="463">
        <f t="shared" ca="1" si="3"/>
        <v>0</v>
      </c>
      <c r="D22" s="463">
        <f t="shared" ca="1" si="4"/>
        <v>11306.96330455118</v>
      </c>
      <c r="E22" s="463">
        <f t="shared" si="5"/>
        <v>208.15668708733924</v>
      </c>
      <c r="F22" s="463">
        <f t="shared" ca="1" si="6"/>
        <v>1891.6944190438323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19916.185186821793</v>
      </c>
    </row>
    <row r="23" spans="1:17">
      <c r="A23" s="462" t="s">
        <v>194</v>
      </c>
      <c r="B23" s="463">
        <f t="shared" ca="1" si="2"/>
        <v>377.04325932892857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377.04325932892857</v>
      </c>
    </row>
    <row r="24" spans="1:17">
      <c r="A24" s="462" t="s">
        <v>112</v>
      </c>
      <c r="B24" s="463">
        <f t="shared" ca="1" si="2"/>
        <v>255.85814305634477</v>
      </c>
      <c r="C24" s="463">
        <f t="shared" ca="1" si="3"/>
        <v>0</v>
      </c>
      <c r="D24" s="463">
        <f t="shared" si="4"/>
        <v>1612.6174373394635</v>
      </c>
      <c r="E24" s="463">
        <f t="shared" si="5"/>
        <v>3.4040776871082494</v>
      </c>
      <c r="F24" s="463">
        <f t="shared" si="6"/>
        <v>1096.2776243848184</v>
      </c>
      <c r="G24" s="463">
        <f t="shared" si="7"/>
        <v>0</v>
      </c>
      <c r="H24" s="463">
        <f t="shared" si="8"/>
        <v>0</v>
      </c>
      <c r="I24" s="463">
        <f t="shared" si="9"/>
        <v>0</v>
      </c>
      <c r="J24" s="463">
        <f t="shared" si="10"/>
        <v>63.354421738178203</v>
      </c>
      <c r="K24" s="463">
        <f t="shared" si="11"/>
        <v>0</v>
      </c>
      <c r="L24" s="463">
        <f t="shared" si="12"/>
        <v>0</v>
      </c>
      <c r="M24" s="463">
        <f t="shared" si="13"/>
        <v>0</v>
      </c>
      <c r="N24" s="463">
        <f t="shared" si="14"/>
        <v>0</v>
      </c>
      <c r="O24" s="463">
        <f t="shared" si="15"/>
        <v>0</v>
      </c>
      <c r="P24" s="464">
        <f t="shared" si="16"/>
        <v>0</v>
      </c>
      <c r="Q24" s="462">
        <f t="shared" ca="1" si="17"/>
        <v>3031.5117042059132</v>
      </c>
    </row>
    <row r="25" spans="1:17">
      <c r="A25" s="462" t="s">
        <v>657</v>
      </c>
      <c r="B25" s="463">
        <f t="shared" ca="1" si="2"/>
        <v>775.5953550531234</v>
      </c>
      <c r="C25" s="463">
        <f t="shared" ca="1" si="3"/>
        <v>0</v>
      </c>
      <c r="D25" s="463">
        <f t="shared" si="4"/>
        <v>557.23792036661212</v>
      </c>
      <c r="E25" s="463">
        <f t="shared" si="5"/>
        <v>187.04006638227617</v>
      </c>
      <c r="F25" s="463">
        <f t="shared" si="6"/>
        <v>698.23614097714199</v>
      </c>
      <c r="G25" s="463">
        <f t="shared" si="7"/>
        <v>0</v>
      </c>
      <c r="H25" s="463">
        <f t="shared" si="8"/>
        <v>0</v>
      </c>
      <c r="I25" s="463">
        <f t="shared" si="9"/>
        <v>0</v>
      </c>
      <c r="J25" s="463">
        <f t="shared" si="10"/>
        <v>0.27030994896371829</v>
      </c>
      <c r="K25" s="463">
        <f t="shared" si="11"/>
        <v>0</v>
      </c>
      <c r="L25" s="463">
        <f t="shared" si="12"/>
        <v>0</v>
      </c>
      <c r="M25" s="463">
        <f t="shared" si="13"/>
        <v>0</v>
      </c>
      <c r="N25" s="463">
        <f t="shared" si="14"/>
        <v>0</v>
      </c>
      <c r="O25" s="463">
        <f t="shared" si="15"/>
        <v>0</v>
      </c>
      <c r="P25" s="464">
        <f t="shared" si="16"/>
        <v>0</v>
      </c>
      <c r="Q25" s="462">
        <f t="shared" ca="1" si="17"/>
        <v>2218.3797927281171</v>
      </c>
    </row>
    <row r="26" spans="1:17" s="468" customFormat="1">
      <c r="A26" s="466" t="s">
        <v>574</v>
      </c>
      <c r="B26" s="823">
        <f t="shared" ca="1" si="2"/>
        <v>0.92813596278596555</v>
      </c>
      <c r="C26" s="467">
        <f t="shared" ca="1" si="3"/>
        <v>0</v>
      </c>
      <c r="D26" s="467">
        <f t="shared" si="4"/>
        <v>1.3550690447630578</v>
      </c>
      <c r="E26" s="467">
        <f t="shared" si="5"/>
        <v>47.062507879085842</v>
      </c>
      <c r="F26" s="467">
        <f t="shared" si="6"/>
        <v>0</v>
      </c>
      <c r="G26" s="467">
        <f t="shared" si="7"/>
        <v>15933.078738004242</v>
      </c>
      <c r="H26" s="467">
        <f t="shared" si="8"/>
        <v>2517.5787285455863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18500.003179436462</v>
      </c>
    </row>
    <row r="27" spans="1:17">
      <c r="A27" s="462" t="s">
        <v>564</v>
      </c>
      <c r="B27" s="463">
        <f t="shared" ca="1" si="2"/>
        <v>274.71726624462957</v>
      </c>
      <c r="C27" s="463">
        <f t="shared" ca="1" si="3"/>
        <v>0</v>
      </c>
      <c r="D27" s="463">
        <f t="shared" si="4"/>
        <v>0</v>
      </c>
      <c r="E27" s="463">
        <f t="shared" si="5"/>
        <v>0</v>
      </c>
      <c r="F27" s="463">
        <f t="shared" si="6"/>
        <v>0</v>
      </c>
      <c r="G27" s="463">
        <f t="shared" si="7"/>
        <v>79.891160093680469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354.60842633831004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15769.314964062396</v>
      </c>
      <c r="C31" s="473">
        <f t="shared" ca="1" si="18"/>
        <v>0</v>
      </c>
      <c r="D31" s="473">
        <f t="shared" ca="1" si="18"/>
        <v>29395.12884418622</v>
      </c>
      <c r="E31" s="473">
        <f t="shared" si="18"/>
        <v>450.21409293854481</v>
      </c>
      <c r="F31" s="473">
        <f t="shared" ca="1" si="18"/>
        <v>3686.208184405793</v>
      </c>
      <c r="G31" s="473">
        <f t="shared" si="18"/>
        <v>16012.969898097923</v>
      </c>
      <c r="H31" s="473">
        <f t="shared" si="18"/>
        <v>2517.5787285455863</v>
      </c>
      <c r="I31" s="473">
        <f t="shared" si="18"/>
        <v>0</v>
      </c>
      <c r="J31" s="473">
        <f t="shared" si="18"/>
        <v>63.624731687141924</v>
      </c>
      <c r="K31" s="473">
        <f t="shared" si="18"/>
        <v>0</v>
      </c>
      <c r="L31" s="473">
        <f t="shared" ca="1" si="18"/>
        <v>0</v>
      </c>
      <c r="M31" s="473">
        <f t="shared" si="18"/>
        <v>0</v>
      </c>
      <c r="N31" s="473">
        <f t="shared" ca="1" si="18"/>
        <v>0</v>
      </c>
      <c r="O31" s="473">
        <f t="shared" si="18"/>
        <v>0</v>
      </c>
      <c r="P31" s="474">
        <f t="shared" si="18"/>
        <v>0</v>
      </c>
      <c r="Q31" s="474">
        <f t="shared" ca="1" si="18"/>
        <v>67895.039443923612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0.2150010516900899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0.2150010516900899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0.2150010516900899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2018-06-27T09:31:14Z</dcterms:modified>
</cp:coreProperties>
</file>