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F16"/>
  <c r="C13" i="15"/>
  <c r="L6" i="17"/>
  <c r="L5" s="1"/>
  <c r="B8" i="9"/>
  <c r="C16" i="15"/>
  <c r="D10" i="14" s="1"/>
  <c r="I14" i="15"/>
  <c r="I16" s="1"/>
  <c r="J10" i="14" s="1"/>
  <c r="B13" i="16"/>
  <c r="C35"/>
  <c r="E9" i="14"/>
  <c r="D14" i="15"/>
  <c r="P22" i="16"/>
  <c r="Q39" i="14" s="1"/>
  <c r="P18" i="16"/>
  <c r="L16"/>
  <c r="L18" s="1"/>
  <c r="L8" i="48"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J12" i="17" l="1"/>
  <c r="K48" i="14" s="1"/>
  <c r="J7" i="48"/>
  <c r="J24" s="1"/>
  <c r="J15" i="14"/>
  <c r="H13" i="48"/>
  <c r="H30" s="1"/>
  <c r="H12" i="22"/>
  <c r="O18" i="16"/>
  <c r="P13" i="14" s="1"/>
  <c r="B36" i="13"/>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7" i="48"/>
  <c r="L24" s="1"/>
  <c r="L30"/>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H5"/>
  <c r="H14" s="1"/>
  <c r="I14" i="48"/>
  <c r="E5" i="15"/>
  <c r="O20"/>
  <c r="P36" i="14" s="1"/>
  <c r="P10"/>
  <c r="P20" i="15"/>
  <c r="Q36" i="14" s="1"/>
  <c r="Q41" s="1"/>
  <c r="Q53" s="1"/>
  <c r="Q10"/>
  <c r="Q15" s="1"/>
  <c r="Q23" s="1"/>
  <c r="J5" i="15"/>
  <c r="F4" i="48"/>
  <c r="F21" s="1"/>
  <c r="B69" i="14"/>
  <c r="B4" i="6" s="1"/>
  <c r="J23" i="14"/>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B48" i="13"/>
  <c r="C48" s="1"/>
  <c r="N5" s="1"/>
  <c r="N8" s="1"/>
  <c r="N4" i="48" s="1"/>
  <c r="N21" s="1"/>
  <c r="M29"/>
  <c r="M25"/>
  <c r="M24"/>
  <c r="I31"/>
  <c r="C50" i="13"/>
  <c r="J5" s="1"/>
  <c r="J8" s="1"/>
  <c r="C5" i="48"/>
  <c r="E12" i="17" l="1"/>
  <c r="F48" i="14" s="1"/>
  <c r="P15"/>
  <c r="P23" s="1"/>
  <c r="E7" i="48"/>
  <c r="E24" s="1"/>
  <c r="G14" i="22"/>
  <c r="G9" i="48" s="1"/>
  <c r="M22" i="14"/>
  <c r="E16" i="15"/>
  <c r="E20" s="1"/>
  <c r="F36" i="14" s="1"/>
  <c r="D8" i="48"/>
  <c r="D25" s="1"/>
  <c r="O22" i="14"/>
  <c r="O22" i="16"/>
  <c r="P39" i="14" s="1"/>
  <c r="P41" s="1"/>
  <c r="P53" s="1"/>
  <c r="P55" s="1"/>
  <c r="J16" i="15"/>
  <c r="K10" i="14" s="1"/>
  <c r="R22"/>
  <c r="O8" i="48"/>
  <c r="O25" s="1"/>
  <c r="M10"/>
  <c r="M27" s="1"/>
  <c r="M58" i="22"/>
  <c r="N44" i="14" s="1"/>
  <c r="N18"/>
  <c r="D18" i="22"/>
  <c r="E45" i="14" s="1"/>
  <c r="E46" s="1"/>
  <c r="C19"/>
  <c r="C20" s="1"/>
  <c r="J7" i="18"/>
  <c r="K67" i="14" s="1"/>
  <c r="K69" s="1"/>
  <c r="E9" i="18"/>
  <c r="J16"/>
  <c r="C9"/>
  <c r="I16"/>
  <c r="J78" i="14" s="1"/>
  <c r="E19" i="18"/>
  <c r="M7"/>
  <c r="M9" s="1"/>
  <c r="I78" i="14"/>
  <c r="H19" i="18"/>
  <c r="O67" i="14"/>
  <c r="E19"/>
  <c r="E20" s="1"/>
  <c r="E18" i="22"/>
  <c r="F45" i="14" s="1"/>
  <c r="F46" s="1"/>
  <c r="E9" i="48"/>
  <c r="E26" s="1"/>
  <c r="E10" i="14"/>
  <c r="E15" s="1"/>
  <c r="J9" i="18"/>
  <c r="C14" i="48"/>
  <c r="D5"/>
  <c r="D22" s="1"/>
  <c r="D31" s="1"/>
  <c r="J67" i="14"/>
  <c r="I9" i="18"/>
  <c r="G58" i="22"/>
  <c r="H44" i="14" s="1"/>
  <c r="G10" i="48"/>
  <c r="R18" i="14"/>
  <c r="R17"/>
  <c r="Q13" i="48"/>
  <c r="I19" i="14"/>
  <c r="I20" s="1"/>
  <c r="I23" s="1"/>
  <c r="M18" i="22"/>
  <c r="N45" i="14" s="1"/>
  <c r="N46" s="1"/>
  <c r="N53" s="1"/>
  <c r="M9" i="48"/>
  <c r="N19" i="14"/>
  <c r="P14" i="48"/>
  <c r="F10" i="14"/>
  <c r="B8" i="48"/>
  <c r="J55" i="14"/>
  <c r="L55"/>
  <c r="E36"/>
  <c r="E41" s="1"/>
  <c r="N20" i="15"/>
  <c r="O36" i="14" s="1"/>
  <c r="O10"/>
  <c r="L5" i="48"/>
  <c r="L22" s="1"/>
  <c r="L31" s="1"/>
  <c r="M10" i="14"/>
  <c r="M15" s="1"/>
  <c r="F20" i="15"/>
  <c r="G36" i="14" s="1"/>
  <c r="G10"/>
  <c r="C10"/>
  <c r="B5" i="48"/>
  <c r="D23" i="14"/>
  <c r="B20" i="6" s="1"/>
  <c r="Q55" i="14"/>
  <c r="N5" i="16"/>
  <c r="F5" i="48"/>
  <c r="F22" s="1"/>
  <c r="E5" i="16"/>
  <c r="J5"/>
  <c r="C35" i="13"/>
  <c r="F5" i="16"/>
  <c r="C36" i="13"/>
  <c r="O22" i="48"/>
  <c r="O31" s="1"/>
  <c r="N12" i="13"/>
  <c r="O37" i="14" s="1"/>
  <c r="O11"/>
  <c r="C38" i="13"/>
  <c r="C39"/>
  <c r="C32"/>
  <c r="C34"/>
  <c r="Q7" i="48"/>
  <c r="E4"/>
  <c r="E21" s="1"/>
  <c r="F11" i="14"/>
  <c r="J4" i="48"/>
  <c r="J12" i="13"/>
  <c r="K37" i="14" s="1"/>
  <c r="K11"/>
  <c r="N5" i="48"/>
  <c r="L20" i="15"/>
  <c r="J5" i="48" l="1"/>
  <c r="J22" s="1"/>
  <c r="J20" i="15"/>
  <c r="K36" i="14" s="1"/>
  <c r="M16" i="18"/>
  <c r="M19" s="1"/>
  <c r="E5" i="48"/>
  <c r="E22" s="1"/>
  <c r="F18" i="16"/>
  <c r="G13" i="14" s="1"/>
  <c r="G15" s="1"/>
  <c r="G23" s="1"/>
  <c r="E18" i="16"/>
  <c r="E8" i="48" s="1"/>
  <c r="N18" i="16"/>
  <c r="N8" i="48" s="1"/>
  <c r="J18" i="16"/>
  <c r="J22" s="1"/>
  <c r="K39" i="14" s="1"/>
  <c r="K41" s="1"/>
  <c r="K53" s="1"/>
  <c r="O14" i="48"/>
  <c r="N20" i="14"/>
  <c r="N23" s="1"/>
  <c r="N55" s="1"/>
  <c r="G18" i="22"/>
  <c r="H45" i="14" s="1"/>
  <c r="H46" s="1"/>
  <c r="H53" s="1"/>
  <c r="I19" i="18"/>
  <c r="J19"/>
  <c r="K78" i="14"/>
  <c r="K81" s="1"/>
  <c r="I81"/>
  <c r="O78"/>
  <c r="O81" s="1"/>
  <c r="B17" i="6" s="1"/>
  <c r="B22"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O13"/>
  <c r="O15" s="1"/>
  <c r="F22" i="16"/>
  <c r="G39" i="14" s="1"/>
  <c r="G41" s="1"/>
  <c r="N22" i="16"/>
  <c r="O39" i="14" s="1"/>
  <c r="O41" s="1"/>
  <c r="Q4" i="48"/>
  <c r="N22"/>
  <c r="R11" i="14"/>
  <c r="J21" i="48"/>
  <c r="R10" i="14"/>
  <c r="C29" i="20" l="1"/>
  <c r="C17" i="19"/>
  <c r="C19" s="1"/>
  <c r="D35" i="14" s="1"/>
  <c r="C20" i="16"/>
  <c r="C22" s="1"/>
  <c r="D39" i="14" s="1"/>
  <c r="C56" i="22"/>
  <c r="C58" s="1"/>
  <c r="D44" i="14" s="1"/>
  <c r="D46" s="1"/>
  <c r="C18" i="15"/>
  <c r="C20" s="1"/>
  <c r="D36" i="14" s="1"/>
  <c r="C10" i="13"/>
  <c r="C16" i="48" s="1"/>
  <c r="C30" s="1"/>
  <c r="C16" i="22"/>
  <c r="C10" i="17"/>
  <c r="C12" s="1"/>
  <c r="D48" i="14" s="1"/>
  <c r="C17" i="49"/>
  <c r="K13" i="14"/>
  <c r="K15" s="1"/>
  <c r="K23" s="1"/>
  <c r="Q5" i="48"/>
  <c r="F8"/>
  <c r="Q8" s="1"/>
  <c r="Q14" s="1"/>
  <c r="N25"/>
  <c r="N14"/>
  <c r="E25"/>
  <c r="E31" s="1"/>
  <c r="E14"/>
  <c r="N31"/>
  <c r="H55" i="14"/>
  <c r="E55"/>
  <c r="C78"/>
  <c r="C81" s="1"/>
  <c r="J14" i="48"/>
  <c r="J31"/>
  <c r="R19" i="14"/>
  <c r="R20" s="1"/>
  <c r="H14" i="48"/>
  <c r="G31"/>
  <c r="H26"/>
  <c r="H31" s="1"/>
  <c r="F55" i="14"/>
  <c r="O53"/>
  <c r="G53"/>
  <c r="G55" s="1"/>
  <c r="O69" s="1"/>
  <c r="B9" i="6" s="1"/>
  <c r="B12" s="1"/>
  <c r="M53" i="14"/>
  <c r="M55" s="1"/>
  <c r="C23" i="48"/>
  <c r="C24"/>
  <c r="C27"/>
  <c r="C28"/>
  <c r="C22"/>
  <c r="C25"/>
  <c r="C26"/>
  <c r="K55" i="14"/>
  <c r="F25" i="48"/>
  <c r="F31" s="1"/>
  <c r="R13" i="14" l="1"/>
  <c r="R15" s="1"/>
  <c r="R23" s="1"/>
  <c r="F14" i="48"/>
  <c r="C29"/>
  <c r="C21"/>
  <c r="C12" i="13"/>
  <c r="D37" i="14" s="1"/>
  <c r="D41"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D53"/>
  <c r="D55" s="1"/>
  <c r="C31" i="48"/>
  <c r="O23" i="14"/>
  <c r="O55" s="1"/>
  <c r="R37" l="1"/>
  <c r="B16" i="48"/>
  <c r="B28" s="1"/>
  <c r="Q28" s="1"/>
  <c r="C46" i="14"/>
  <c r="C36"/>
  <c r="R36" s="1"/>
  <c r="R46"/>
  <c r="R41" l="1"/>
  <c r="R53" s="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<sst xmlns="http://schemas.openxmlformats.org/spreadsheetml/2006/main" count="1988" uniqueCount="855">
  <si>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</si>
  <si>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</si>
  <si>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</si>
  <si>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</si>
  <si>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</si>
  <si>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</si>
  <si>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</si>
  <si>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</si>
  <si>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</si>
  <si>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</si>
  <si>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</si>
  <si>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</si>
  <si>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</si>
  <si>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</si>
  <si>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</si>
  <si>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</si>
  <si>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</si>
  <si>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</si>
  <si>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</si>
  <si>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</si>
  <si>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</si>
  <si>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</si>
  <si>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</si>
  <si>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</si>
  <si>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</si>
  <si>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</si>
  <si>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</si>
  <si>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</si>
  <si>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</si>
  <si>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</si>
  <si>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</si>
  <si>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</si>
  <si>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</si>
  <si>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</si>
  <si>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</si>
  <si>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</si>
  <si>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</si>
  <si>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</si>
  <si>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</si>
  <si>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</si>
  <si>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</si>
  <si>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</si>
  <si>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</si>
  <si>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</si>
  <si>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</si>
  <si>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</si>
  <si>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</si>
  <si>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</si>
  <si>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</si>
  <si>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</si>
  <si>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</si>
  <si>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</si>
  <si>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</si>
  <si>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</si>
  <si>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</si>
  <si>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</si>
  <si>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</si>
  <si>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</si>
  <si>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</si>
  <si>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</si>
  <si>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</si>
  <si>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</si>
  <si>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</si>
  <si>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</si>
  <si>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</si>
  <si>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</si>
  <si>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</si>
  <si>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</si>
  <si>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</si>
  <si>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</si>
  <si>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</si>
  <si>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</si>
  <si>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</si>
  <si>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</si>
  <si>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</si>
  <si>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</si>
  <si>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</si>
  <si>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</si>
  <si>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</si>
  <si>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</si>
  <si>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</si>
  <si>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</si>
  <si>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</si>
  <si>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</si>
  <si>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</si>
  <si>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</si>
  <si>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</si>
  <si>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</si>
  <si>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</si>
  <si>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</si>
  <si>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</si>
  <si>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</si>
  <si>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</si>
  <si>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</si>
  <si>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</si>
  <si>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</si>
  <si>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</si>
  <si>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</si>
  <si>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</si>
  <si>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</si>
  <si>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</si>
  <si>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</si>
  <si>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</si>
  <si>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</si>
  <si>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</si>
  <si>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</si>
  <si>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</si>
  <si>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</si>
  <si>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</si>
  <si>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</si>
  <si>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</si>
  <si>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</si>
  <si>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</si>
  <si>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</si>
  <si>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</si>
  <si>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</si>
  <si>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</si>
  <si>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</si>
  <si>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</si>
  <si>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</si>
  <si>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</si>
  <si>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</si>
  <si>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</si>
  <si>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</si>
  <si>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</si>
  <si>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</si>
  <si>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</si>
  <si>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</si>
  <si>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</si>
  <si>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</si>
  <si>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</si>
  <si>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</si>
  <si>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</si>
  <si>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</si>
  <si>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</si>
  <si>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</si>
  <si>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</si>
  <si>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</si>
  <si>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</si>
  <si>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</si>
  <si>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</si>
  <si>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</si>
  <si>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</si>
  <si>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</si>
  <si>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</si>
  <si>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</si>
  <si>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</si>
  <si>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</si>
  <si>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</si>
  <si>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</si>
  <si>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</si>
  <si>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</si>
  <si>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</si>
  <si>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</si>
  <si>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</si>
  <si>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</si>
  <si>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</si>
  <si>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</si>
  <si>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</si>
  <si>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</si>
  <si>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</si>
  <si>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</si>
  <si>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</si>
  <si>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</si>
  <si>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</si>
  <si>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</si>
  <si>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</si>
  <si>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</si>
  <si>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</si>
  <si>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</si>
  <si>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</si>
  <si>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</si>
  <si>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</si>
  <si>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</si>
  <si>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</si>
  <si>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</si>
  <si>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</si>
  <si>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</si>
  <si>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</si>
  <si>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</si>
  <si>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</si>
  <si>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</si>
  <si>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</si>
  <si>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</si>
  <si>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</si>
  <si>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</si>
  <si>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</si>
  <si>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</si>
  <si>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</si>
  <si>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</si>
  <si>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</si>
  <si>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</si>
  <si>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</si>
  <si>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</si>
  <si>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</si>
  <si>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</si>
  <si>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</si>
  <si>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</si>
  <si>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</si>
  <si>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</si>
  <si>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</si>
  <si>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</si>
  <si>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</si>
  <si>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</si>
  <si>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</si>
  <si>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</si>
  <si>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</si>
  <si>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</si>
  <si>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</si>
  <si>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</si>
  <si>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</si>
  <si>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</si>
  <si>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</si>
  <si>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</si>
  <si>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</si>
  <si>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</si>
  <si>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</si>
  <si>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</si>
  <si>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</si>
  <si>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</si>
  <si>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</si>
  <si>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</si>
  <si>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</si>
  <si>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</si>
  <si>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</si>
  <si>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</si>
  <si>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</si>
  <si>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</si>
  <si>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</si>
  <si>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</si>
  <si>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</si>
  <si>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</si>
  <si>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</si>
  <si>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</si>
  <si>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</si>
  <si>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</si>
  <si>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</si>
  <si>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</si>
  <si>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</si>
  <si>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</si>
  <si>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</si>
  <si>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</si>
  <si>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</si>
  <si>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</si>
  <si>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</si>
  <si>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</si>
  <si>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</si>
  <si>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</si>
  <si>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</si>
  <si>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</si>
  <si>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</si>
  <si>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</si>
  <si>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</si>
  <si>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</si>
  <si>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</si>
  <si>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</si>
  <si>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</si>
  <si>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</si>
  <si>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</si>
  <si>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</si>
  <si>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</si>
  <si>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</si>
  <si>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</si>
  <si>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</si>
  <si>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</si>
  <si>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</si>
  <si>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</si>
  <si>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</si>
  <si>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</si>
  <si>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</si>
  <si>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</si>
  <si>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</si>
  <si>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</si>
  <si>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</si>
  <si>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</si>
  <si>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</si>
  <si>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</si>
  <si>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</si>
  <si>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</si>
  <si>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</si>
  <si>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</si>
  <si>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</si>
  <si>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</si>
  <si>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</si>
  <si>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</si>
  <si>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</si>
  <si>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</si>
  <si>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</si>
  <si>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</si>
  <si>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</si>
  <si>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</si>
  <si>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</si>
  <si>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</si>
  <si>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</si>
  <si>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</si>
  <si>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</si>
  <si>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</si>
  <si>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</si>
  <si>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</si>
  <si>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</si>
  <si>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</si>
  <si>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</si>
  <si>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</si>
  <si>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</si>
  <si>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</si>
  <si>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</si>
  <si>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</si>
  <si>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</si>
  <si>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</si>
  <si>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</si>
  <si>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</si>
  <si>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</si>
  <si>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</si>
  <si>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</si>
  <si>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</si>
  <si>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</si>
  <si>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</si>
  <si>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</si>
  <si>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</si>
  <si>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</si>
  <si>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</si>
  <si>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</si>
  <si>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</si>
  <si>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</si>
  <si>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</si>
  <si>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</si>
  <si>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</si>
  <si>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</si>
  <si>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</si>
  <si>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</si>
  <si>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</si>
  <si>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</si>
  <si>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</si>
  <si>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</si>
  <si>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</si>
  <si>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</si>
  <si>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</si>
  <si>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</si>
  <si>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</si>
  <si>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</si>
  <si>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</si>
  <si>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</si>
  <si>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</si>
  <si>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</si>
  <si>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</si>
  <si>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</si>
  <si>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</si>
  <si>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</si>
  <si>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</si>
  <si>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</si>
  <si>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</si>
  <si>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</si>
  <si>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</si>
  <si>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</si>
  <si>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</si>
  <si>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</si>
  <si>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</si>
  <si>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</si>
  <si>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</si>
  <si>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</si>
  <si>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</si>
  <si>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</si>
  <si>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</si>
  <si>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</si>
  <si>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</si>
  <si>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</si>
  <si>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</si>
  <si>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</si>
  <si>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</si>
  <si>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</si>
  <si>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</si>
  <si>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</si>
  <si>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</si>
  <si>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</si>
  <si>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</si>
  <si>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</si>
  <si>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</si>
  <si>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</si>
  <si>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</si>
  <si>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</si>
  <si>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</si>
  <si>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</si>
  <si>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</si>
  <si>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</si>
  <si>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</si>
  <si>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</si>
  <si>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</si>
  <si>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</si>
  <si>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</si>
  <si>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</si>
  <si>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</si>
  <si>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</si>
  <si>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</si>
  <si>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</si>
  <si>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</si>
  <si>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</si>
  <si>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</si>
  <si>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</si>
  <si>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</si>
  <si>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</si>
  <si>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</si>
  <si>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</si>
  <si>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</si>
  <si>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</si>
  <si>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</si>
  <si>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</si>
  <si>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</si>
  <si>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</si>
  <si>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</si>
  <si>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</si>
  <si>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</si>
  <si>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</si>
  <si>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</si>
  <si>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</si>
  <si>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</si>
  <si>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</si>
  <si>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</si>
  <si>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</si>
  <si>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</si>
  <si>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</si>
  <si>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</si>
  <si>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</si>
  <si>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</si>
  <si>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</si>
  <si>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</si>
  <si>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</si>
  <si>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</si>
  <si>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</si>
  <si>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</si>
  <si>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</si>
  <si>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</si>
  <si>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</si>
  <si>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</si>
  <si>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</si>
  <si>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</si>
  <si>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</si>
  <si>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</si>
  <si>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</si>
  <si>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</si>
  <si>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</si>
  <si>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</si>
  <si>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</si>
  <si>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</si>
  <si>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</si>
  <si>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</si>
  <si>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</si>
  <si>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</si>
  <si>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</si>
  <si>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</si>
  <si>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</si>
  <si>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</si>
  <si>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</si>
  <si>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</si>
  <si>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</si>
  <si>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</si>
  <si>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</si>
  <si>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</si>
  <si>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</si>
  <si>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</si>
  <si>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</si>
  <si>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</si>
  <si>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</si>
  <si>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</si>
  <si>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</si>
  <si>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</si>
  <si>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</si>
  <si>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</si>
  <si>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</si>
  <si>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</si>
  <si>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</si>
  <si>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</si>
  <si>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</si>
  <si>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</si>
  <si>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</si>
  <si>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</si>
  <si>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</si>
  <si>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</si>
  <si>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</si>
  <si>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</si>
  <si>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</si>
  <si>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</si>
  <si>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</si>
  <si>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</si>
  <si>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</si>
  <si>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</si>
  <si>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</si>
  <si>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</si>
  <si>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</si>
  <si>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</si>
  <si>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</si>
  <si>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</si>
  <si>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</si>
  <si>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</si>
  <si>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</si>
  <si>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</si>
  <si>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</si>
  <si>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</si>
  <si>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</si>
  <si>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</si>
  <si>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</si>
  <si>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</si>
  <si>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</si>
  <si>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</si>
  <si>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</si>
  <si>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</si>
  <si>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</si>
  <si>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</si>
  <si>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</si>
  <si>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</si>
  <si>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</si>
  <si>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</si>
  <si>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</si>
  <si>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</si>
  <si>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</si>
  <si>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</si>
  <si>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</si>
  <si>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</si>
  <si>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</si>
  <si>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</si>
  <si>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</si>
  <si>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</si>
  <si>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</si>
  <si>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</si>
  <si>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</si>
  <si>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</si>
  <si>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</si>
  <si>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</si>
  <si>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</si>
  <si>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</si>
  <si>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</si>
  <si>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</si>
  <si>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</si>
  <si>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</si>
  <si>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</si>
  <si>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</si>
  <si>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</si>
  <si>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</si>
  <si>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</si>
  <si>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</si>
  <si>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</si>
  <si>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</si>
  <si>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</si>
  <si>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</si>
  <si>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</si>
  <si>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</si>
  <si>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</si>
  <si>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</si>
  <si>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</si>
  <si>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</si>
  <si>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</si>
  <si>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</si>
  <si>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</si>
  <si>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</si>
  <si>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</si>
  <si>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</si>
  <si>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</si>
  <si>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</si>
  <si>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</si>
  <si>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</si>
  <si>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</si>
  <si>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</si>
  <si>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</si>
  <si>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</si>
  <si>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</si>
  <si>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</si>
  <si>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</si>
  <si>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</si>
  <si>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</si>
  <si>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</si>
  <si>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</si>
  <si>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</si>
  <si>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</si>
  <si>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</si>
  <si>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</si>
  <si>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</si>
  <si>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</si>
  <si>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</si>
  <si>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</si>
  <si>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</si>
  <si>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</si>
  <si>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</si>
  <si>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</si>
  <si>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</si>
  <si>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</si>
  <si>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</si>
  <si>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</si>
  <si>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</si>
  <si>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</si>
  <si>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</si>
  <si>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</si>
  <si>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</si>
  <si>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</si>
  <si>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</si>
  <si>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</si>
  <si>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</si>
  <si>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</si>
  <si>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</si>
  <si>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</si>
  <si>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</si>
  <si>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</si>
  <si>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</si>
  <si>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</si>
  <si>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</si>
  <si>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</si>
  <si>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</si>
  <si>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</si>
  <si>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</si>
  <si>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</si>
  <si>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</si>
  <si>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</si>
  <si>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</si>
  <si>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</si>
  <si>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</si>
  <si>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</si>
  <si>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</si>
  <si>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</si>
  <si>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</si>
  <si>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</si>
  <si>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</si>
  <si>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</si>
  <si>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</si>
  <si>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</si>
  <si>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</si>
  <si>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</si>
  <si>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</si>
  <si>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</si>
  <si>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</si>
  <si>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</si>
  <si>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</si>
  <si>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</si>
  <si>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</si>
  <si>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</si>
  <si>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</si>
  <si>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</si>
  <si>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</si>
  <si>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</si>
  <si>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</si>
  <si>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</si>
  <si>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</si>
  <si>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</si>
  <si>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</si>
  <si>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</si>
  <si>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</si>
  <si>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</si>
  <si>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</si>
  <si>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</si>
  <si>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</si>
  <si>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</si>
  <si>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</si>
  <si>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</si>
  <si>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</si>
  <si>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</si>
  <si>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</si>
  <si>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</si>
  <si>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</si>
  <si>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</si>
  <si>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</si>
  <si>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</si>
  <si>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</si>
  <si>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</si>
  <si>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</si>
  <si>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</si>
  <si>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</si>
  <si>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</si>
  <si>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</si>
  <si>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</si>
  <si>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</si>
  <si>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</si>
  <si>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</si>
  <si>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</si>
  <si>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</si>
  <si>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</si>
  <si>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</si>
  <si>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</si>
  <si>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</si>
  <si>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</si>
  <si>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</si>
  <si>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</si>
  <si>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</si>
  <si>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</si>
  <si>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</si>
  <si>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</si>
  <si>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</si>
  <si>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</si>
  <si>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</si>
  <si>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</si>
  <si>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</si>
  <si>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</si>
  <si>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</si>
  <si>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</si>
  <si>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</si>
  <si>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</si>
  <si>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</si>
  <si>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</si>
  <si>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</si>
  <si>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</si>
  <si>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</si>
  <si>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</si>
  <si>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</si>
  <si>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</si>
  <si>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</si>
  <si>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</si>
  <si>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</si>
  <si>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</si>
  <si>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</si>
  <si>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</si>
  <si>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</si>
  <si>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</si>
  <si>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</si>
  <si>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</si>
  <si>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</si>
  <si>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</si>
  <si>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</si>
  <si>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</si>
  <si>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</si>
  <si>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</si>
  <si>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</si>
  <si>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</si>
  <si>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</si>
  <si>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</si>
  <si>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</si>
  <si>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</si>
  <si>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</si>
  <si>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</si>
  <si>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</si>
  <si>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</si>
  <si>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</si>
  <si>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</si>
  <si>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</si>
  <si>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</si>
  <si>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</si>
  <si>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</si>
  <si>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</si>
  <si>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</si>
  <si>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</si>
  <si>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</si>
  <si>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</si>
  <si>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</si>
  <si>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</si>
  <si>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</si>
  <si>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</si>
  <si>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</si>
  <si>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</si>
  <si>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</si>
  <si>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</si>
  <si>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</si>
  <si>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</si>
  <si>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</si>
  <si>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</si>
  <si>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</si>
  <si>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</si>
  <si>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</si>
  <si>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</si>
  <si>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</si>
  <si>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</si>
  <si>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</si>
  <si>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</si>
  <si>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</si>
  <si>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</si>
  <si>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</si>
  <si>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</si>
  <si>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</si>
  <si>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</si>
  <si>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</si>
  <si>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</si>
  <si>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</si>
  <si>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</si>
  <si>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</si>
  <si>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</si>
  <si>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</si>
  <si>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</si>
  <si>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</si>
  <si>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</si>
  <si>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</si>
  <si>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</si>
  <si>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</si>
  <si>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</si>
  <si>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</si>
  <si>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</si>
  <si>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</si>
  <si>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</si>
  <si>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</si>
  <si>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</si>
  <si>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</si>
  <si>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</si>
  <si>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</si>
  <si>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</si>
  <si>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</si>
  <si>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</si>
  <si>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</si>
  <si>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</si>
  <si>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</si>
  <si>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</si>
  <si>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Data VMM 2015</t>
  </si>
  <si>
    <t>versie: 2013_05</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</si>
  <si>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</si>
  <si>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</si>
  <si>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</si>
  <si>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</si>
  <si>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</si>
  <si>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</si>
  <si>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</si>
  <si>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</si>
  <si>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</si>
  <si>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</si>
  <si>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</si>
  <si>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</si>
  <si>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</si>
  <si>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</si>
  <si>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</si>
  <si>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</si>
  <si>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</si>
  <si>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</si>
  <si>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</si>
  <si>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</si>
  <si>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</si>
  <si>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</si>
  <si>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</si>
  <si>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</si>
  <si>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</si>
  <si>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</si>
  <si>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</si>
  <si>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</si>
  <si>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</si>
  <si>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</si>
  <si>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</si>
  <si>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</si>
  <si>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</si>
  <si>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</si>
  <si>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</si>
  <si>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</si>
  <si>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</si>
  <si>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</si>
  <si>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35005</t>
  </si>
  <si>
    <t>GISTEL</t>
  </si>
  <si>
    <t>Cultuurgrond (ha)</t>
  </si>
  <si>
    <t>Paarden&amp;pony's 200 - 600 kg</t>
  </si>
  <si>
    <t>Paarden&amp;pony's &lt; 200 kg</t>
  </si>
  <si>
    <t>op basis van VEA (maart 2018) en Inventaris Hernieuwbare Energiebronnen (juni 2018)</t>
  </si>
  <si>
    <t>VEA (juni 2018)</t>
  </si>
  <si>
    <t>De Bazelaar GCV</t>
  </si>
  <si>
    <t>Zevekotestraat 107 , 8470 Zevekote</t>
  </si>
  <si>
    <t>WKK-0461 De Bazelaar</t>
  </si>
  <si>
    <t>interne verbrandingsmotor</t>
  </si>
  <si>
    <t>WKK interne verbrandinsgmotor (gas)</t>
  </si>
  <si>
    <t>Infrax West</t>
  </si>
  <si>
    <t>Ivaco cvba</t>
  </si>
  <si>
    <t>Muizeveld 7, 8470 Gistel</t>
  </si>
  <si>
    <t>WKK-0529 Ivaco</t>
  </si>
  <si>
    <t>Bazelaar 1 , 8470 Gistel</t>
  </si>
  <si>
    <t>A.K. Gistel bvba</t>
  </si>
  <si>
    <t>Nieuwpoortsesteenweg 195 B, 8470 Gistel</t>
  </si>
  <si>
    <t>BMS-0031 A.K. Gistel Plantenolie</t>
  </si>
  <si>
    <t>biomassa uit land- of bosbouw</t>
  </si>
  <si>
    <t>niet WKK interne verbrandingsmotor (vloeibaar)</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</si>
</sst>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19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9"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28">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1" fillId="12" borderId="31"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29"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64"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1" fillId="12" borderId="64" xfId="0" applyNumberFormat="1" applyFont="1" applyFill="1" applyBorder="1" applyAlignment="1" applyProtection="1">
      <alignment horizontal="center" vertical="center" wrapText="1"/>
    </xf>
    <xf numFmtId="0" fontId="41" fillId="12" borderId="7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196" xfId="225" applyFont="1" applyBorder="1"/>
    <xf numFmtId="0" fontId="0" fillId="0" borderId="196"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95073.276340472308</c:v>
                </c:pt>
                <c:pt idx="1">
                  <c:v>27695.603696568083</c:v>
                </c:pt>
                <c:pt idx="2">
                  <c:v>1052.6400000000001</c:v>
                </c:pt>
                <c:pt idx="3">
                  <c:v>13358.702447648879</c:v>
                </c:pt>
                <c:pt idx="4">
                  <c:v>15600.303109900109</c:v>
                </c:pt>
                <c:pt idx="5">
                  <c:v>175646.10044744506</c:v>
                </c:pt>
                <c:pt idx="6">
                  <c:v>1436.5805687116047</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403072"/>
        <c:axId val="182404608"/>
      </c:barChart>
      <c:catAx>
        <c:axId val="182403072"/>
        <c:scaling>
          <c:orientation val="minMax"/>
        </c:scaling>
        <c:axPos val="b"/>
        <c:numFmt formatCode="General" sourceLinked="0"/>
        <c:tickLblPos val="nextTo"/>
        <c:crossAx val="182404608"/>
        <c:crosses val="autoZero"/>
        <c:auto val="1"/>
        <c:lblAlgn val="ctr"/>
        <c:lblOffset val="100"/>
      </c:catAx>
      <c:valAx>
        <c:axId val="182404608"/>
        <c:scaling>
          <c:orientation val="minMax"/>
        </c:scaling>
        <c:axPos val="l"/>
        <c:majorGridlines/>
        <c:numFmt formatCode="#,##0" sourceLinked="1"/>
        <c:tickLblPos val="nextTo"/>
        <c:crossAx val="18240307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95073.276340472308</c:v>
                </c:pt>
                <c:pt idx="1">
                  <c:v>27695.603696568083</c:v>
                </c:pt>
                <c:pt idx="2">
                  <c:v>1052.6400000000001</c:v>
                </c:pt>
                <c:pt idx="3">
                  <c:v>13358.702447648879</c:v>
                </c:pt>
                <c:pt idx="4">
                  <c:v>15600.303109900109</c:v>
                </c:pt>
                <c:pt idx="5">
                  <c:v>175646.10044744506</c:v>
                </c:pt>
                <c:pt idx="6">
                  <c:v>1436.5805687116047</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12902.28433700355</c:v>
                </c:pt>
                <c:pt idx="1">
                  <c:v>3783.7601911255156</c:v>
                </c:pt>
                <c:pt idx="2">
                  <c:v>62.256178448681339</c:v>
                </c:pt>
                <c:pt idx="3">
                  <c:v>2954.8043363345291</c:v>
                </c:pt>
                <c:pt idx="4">
                  <c:v>2341.7910916222886</c:v>
                </c:pt>
                <c:pt idx="5">
                  <c:v>44520.647943478136</c:v>
                </c:pt>
                <c:pt idx="6">
                  <c:v>367.23516579652045</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508160"/>
        <c:axId val="182518144"/>
      </c:barChart>
      <c:catAx>
        <c:axId val="182508160"/>
        <c:scaling>
          <c:orientation val="minMax"/>
        </c:scaling>
        <c:axPos val="b"/>
        <c:numFmt formatCode="General" sourceLinked="0"/>
        <c:tickLblPos val="nextTo"/>
        <c:crossAx val="182518144"/>
        <c:crosses val="autoZero"/>
        <c:auto val="1"/>
        <c:lblAlgn val="ctr"/>
        <c:lblOffset val="100"/>
      </c:catAx>
      <c:valAx>
        <c:axId val="182518144"/>
        <c:scaling>
          <c:orientation val="minMax"/>
        </c:scaling>
        <c:axPos val="l"/>
        <c:majorGridlines/>
        <c:numFmt formatCode="#,##0" sourceLinked="1"/>
        <c:tickLblPos val="nextTo"/>
        <c:crossAx val="18250816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12902.28433700355</c:v>
                </c:pt>
                <c:pt idx="1">
                  <c:v>3783.7601911255156</c:v>
                </c:pt>
                <c:pt idx="2">
                  <c:v>62.256178448681339</c:v>
                </c:pt>
                <c:pt idx="3">
                  <c:v>2954.8043363345291</c:v>
                </c:pt>
                <c:pt idx="4">
                  <c:v>2341.7910916222886</c:v>
                </c:pt>
                <c:pt idx="5">
                  <c:v>44520.647943478136</c:v>
                </c:pt>
                <c:pt idx="6">
                  <c:v>367.23516579652045</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E4" sqref="E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794</v>
      </c>
      <c r="B4" s="106"/>
      <c r="C4" s="107"/>
    </row>
    <row r="5" spans="1:7" s="396" customFormat="1" ht="15.75" customHeight="1">
      <c r="A5" s="393" t="s">
        <v>0</v>
      </c>
      <c r="B5" s="394"/>
      <c r="C5" s="395"/>
    </row>
    <row r="6" spans="1:7" s="396" customFormat="1" ht="15" customHeight="1">
      <c r="A6" s="397" t="str">
        <f>txtNIS</f>
        <v>35005</v>
      </c>
      <c r="B6" s="398"/>
      <c r="C6" s="399"/>
    </row>
    <row r="7" spans="1:7" s="396" customFormat="1" ht="15.75" customHeight="1">
      <c r="A7" s="400" t="str">
        <f>txtMunicipality</f>
        <v>GISTEL</v>
      </c>
      <c r="B7" s="398"/>
      <c r="C7" s="399"/>
    </row>
    <row r="8" spans="1:7" ht="15.75" thickBot="1">
      <c r="A8" s="45"/>
      <c r="B8" s="108"/>
      <c r="C8" s="109"/>
    </row>
    <row r="9" spans="1:7" s="389" customFormat="1" ht="15.75" thickBot="1">
      <c r="A9" s="413" t="s">
        <v>357</v>
      </c>
      <c r="B9" s="416"/>
      <c r="C9" s="417"/>
    </row>
    <row r="10" spans="1:7" s="15" customFormat="1" ht="57.75" customHeight="1" thickBot="1">
      <c r="A10" s="1005" t="s">
        <v>675</v>
      </c>
      <c r="B10" s="1006"/>
      <c r="C10" s="1007"/>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08" t="s">
        <v>533</v>
      </c>
      <c r="C16" s="1009"/>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010" t="s">
        <v>221</v>
      </c>
      <c r="B2" s="1010"/>
      <c r="C2" s="1010"/>
      <c r="D2" s="59"/>
      <c r="E2" s="59"/>
      <c r="F2" s="59"/>
      <c r="G2" s="59"/>
      <c r="H2" s="60"/>
      <c r="I2" s="60"/>
      <c r="J2" s="61"/>
      <c r="K2" s="61"/>
      <c r="L2" s="60"/>
      <c r="M2" s="60"/>
      <c r="N2" s="60"/>
      <c r="O2" s="60"/>
      <c r="P2" s="60"/>
      <c r="Q2" s="60"/>
      <c r="R2" s="60"/>
    </row>
    <row r="3" spans="1:19">
      <c r="A3" s="1011"/>
      <c r="B3" s="1011"/>
      <c r="C3" s="1011"/>
      <c r="D3" s="1011"/>
      <c r="E3" s="1011"/>
      <c r="F3" s="1011"/>
      <c r="G3" s="1011"/>
      <c r="H3" s="1011"/>
      <c r="I3" s="1011"/>
      <c r="J3" s="1011"/>
      <c r="K3" s="1011"/>
      <c r="L3" s="1011"/>
      <c r="M3" s="1011"/>
      <c r="N3" s="1011"/>
      <c r="O3" s="1011"/>
      <c r="P3" s="1011"/>
      <c r="Q3" s="1011"/>
      <c r="R3" s="1011"/>
    </row>
    <row r="4" spans="1:19" ht="15.75" thickBot="1">
      <c r="A4" s="458"/>
      <c r="B4" s="458"/>
      <c r="C4" s="63"/>
      <c r="D4" s="63"/>
      <c r="E4" s="63"/>
      <c r="F4" s="63"/>
      <c r="G4" s="63"/>
      <c r="H4" s="63"/>
      <c r="I4" s="63"/>
      <c r="J4" s="63"/>
      <c r="K4" s="63"/>
      <c r="L4" s="63"/>
      <c r="M4" s="63"/>
      <c r="N4" s="63"/>
      <c r="O4" s="63"/>
      <c r="P4" s="63"/>
      <c r="Q4" s="63"/>
      <c r="R4" s="63"/>
    </row>
    <row r="5" spans="1:19" ht="16.5" thickBot="1">
      <c r="A5" s="1012" t="s">
        <v>222</v>
      </c>
      <c r="B5" s="848"/>
      <c r="C5" s="1015" t="s">
        <v>343</v>
      </c>
      <c r="D5" s="1016"/>
      <c r="E5" s="1016"/>
      <c r="F5" s="1016"/>
      <c r="G5" s="1016"/>
      <c r="H5" s="1016"/>
      <c r="I5" s="1016"/>
      <c r="J5" s="1016"/>
      <c r="K5" s="1016"/>
      <c r="L5" s="1016"/>
      <c r="M5" s="1016"/>
      <c r="N5" s="1016"/>
      <c r="O5" s="1016"/>
      <c r="P5" s="1016"/>
      <c r="Q5" s="1016"/>
      <c r="R5" s="1017"/>
    </row>
    <row r="6" spans="1:19" ht="16.5" thickTop="1">
      <c r="A6" s="1013"/>
      <c r="B6" s="849"/>
      <c r="C6" s="1018" t="s">
        <v>21</v>
      </c>
      <c r="D6" s="1020" t="s">
        <v>196</v>
      </c>
      <c r="E6" s="1022" t="s">
        <v>197</v>
      </c>
      <c r="F6" s="1023"/>
      <c r="G6" s="1023"/>
      <c r="H6" s="1023"/>
      <c r="I6" s="1023"/>
      <c r="J6" s="1023"/>
      <c r="K6" s="1023"/>
      <c r="L6" s="1024"/>
      <c r="M6" s="1022" t="s">
        <v>198</v>
      </c>
      <c r="N6" s="1023"/>
      <c r="O6" s="1023"/>
      <c r="P6" s="1023"/>
      <c r="Q6" s="1023"/>
      <c r="R6" s="1025" t="s">
        <v>116</v>
      </c>
    </row>
    <row r="7" spans="1:19" ht="45.75" thickBot="1">
      <c r="A7" s="1014"/>
      <c r="B7" s="850"/>
      <c r="C7" s="1019"/>
      <c r="D7" s="102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026"/>
    </row>
    <row r="8" spans="1:19" ht="18.75" customHeight="1" thickTop="1">
      <c r="A8" s="857" t="s">
        <v>344</v>
      </c>
      <c r="B8" s="862"/>
      <c r="C8" s="1027"/>
      <c r="D8" s="1027"/>
      <c r="E8" s="1027"/>
      <c r="F8" s="1027"/>
      <c r="G8" s="1027"/>
      <c r="H8" s="1027"/>
      <c r="I8" s="1027"/>
      <c r="J8" s="1027"/>
      <c r="K8" s="1027"/>
      <c r="L8" s="1027"/>
      <c r="M8" s="1027"/>
      <c r="N8" s="1027"/>
      <c r="O8" s="1027"/>
      <c r="P8" s="1027"/>
      <c r="Q8" s="102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13088.009999999998</v>
      </c>
      <c r="D10" s="704">
        <f ca="1">tertiair!C16</f>
        <v>712.5</v>
      </c>
      <c r="E10" s="704">
        <f ca="1">tertiair!D16</f>
        <v>11813.521962000001</v>
      </c>
      <c r="F10" s="704">
        <f>tertiair!E16</f>
        <v>131.35194053171261</v>
      </c>
      <c r="G10" s="704">
        <f ca="1">tertiair!F16</f>
        <v>2456.1993387971261</v>
      </c>
      <c r="H10" s="704">
        <f>tertiair!G16</f>
        <v>0</v>
      </c>
      <c r="I10" s="704">
        <f>tertiair!H16</f>
        <v>0</v>
      </c>
      <c r="J10" s="704">
        <f>tertiair!I16</f>
        <v>0</v>
      </c>
      <c r="K10" s="704">
        <f>tertiair!J16</f>
        <v>0</v>
      </c>
      <c r="L10" s="704">
        <f>tertiair!K16</f>
        <v>0</v>
      </c>
      <c r="M10" s="704">
        <f ca="1">tertiair!L16</f>
        <v>0</v>
      </c>
      <c r="N10" s="704">
        <f>tertiair!M16</f>
        <v>0</v>
      </c>
      <c r="O10" s="704">
        <f ca="1">tertiair!N16</f>
        <v>545.09712190590835</v>
      </c>
      <c r="P10" s="704">
        <f>tertiair!O16</f>
        <v>1.5633333333333335</v>
      </c>
      <c r="Q10" s="705">
        <f>tertiair!P16</f>
        <v>0</v>
      </c>
      <c r="R10" s="707">
        <f ca="1">SUM(C10:Q10)</f>
        <v>28748.243696568083</v>
      </c>
      <c r="S10" s="67"/>
    </row>
    <row r="11" spans="1:19" s="459" customFormat="1">
      <c r="A11" s="858" t="s">
        <v>225</v>
      </c>
      <c r="B11" s="863"/>
      <c r="C11" s="704">
        <f>huishoudens!B8</f>
        <v>21868.629914494057</v>
      </c>
      <c r="D11" s="704">
        <f>huishoudens!C8</f>
        <v>0</v>
      </c>
      <c r="E11" s="704">
        <f>huishoudens!D8</f>
        <v>52212.221292000002</v>
      </c>
      <c r="F11" s="704">
        <f>huishoudens!E8</f>
        <v>2572.253235186985</v>
      </c>
      <c r="G11" s="704">
        <f>huishoudens!F8</f>
        <v>0</v>
      </c>
      <c r="H11" s="704">
        <f>huishoudens!G8</f>
        <v>0</v>
      </c>
      <c r="I11" s="704">
        <f>huishoudens!H8</f>
        <v>0</v>
      </c>
      <c r="J11" s="704">
        <f>huishoudens!I8</f>
        <v>0</v>
      </c>
      <c r="K11" s="704">
        <f>huishoudens!J8</f>
        <v>1350.6780750263792</v>
      </c>
      <c r="L11" s="704">
        <f>huishoudens!K8</f>
        <v>0</v>
      </c>
      <c r="M11" s="704">
        <f>huishoudens!L8</f>
        <v>0</v>
      </c>
      <c r="N11" s="704">
        <f>huishoudens!M8</f>
        <v>0</v>
      </c>
      <c r="O11" s="704">
        <f>huishoudens!N8</f>
        <v>16531.18382376487</v>
      </c>
      <c r="P11" s="704">
        <f>huishoudens!O8</f>
        <v>214.17666666666668</v>
      </c>
      <c r="Q11" s="705">
        <f>huishoudens!P8</f>
        <v>324.13333333333333</v>
      </c>
      <c r="R11" s="707">
        <f>SUM(C11:Q11)</f>
        <v>95073.276340472308</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4860.4399999999996</v>
      </c>
      <c r="D13" s="704">
        <f>industrie!C18</f>
        <v>0</v>
      </c>
      <c r="E13" s="704">
        <f>industrie!D18</f>
        <v>5717.161032</v>
      </c>
      <c r="F13" s="704">
        <f>industrie!E18</f>
        <v>764.83440082136735</v>
      </c>
      <c r="G13" s="704">
        <f>industrie!F18</f>
        <v>2711.0252792645506</v>
      </c>
      <c r="H13" s="704">
        <f>industrie!G18</f>
        <v>0</v>
      </c>
      <c r="I13" s="704">
        <f>industrie!H18</f>
        <v>0</v>
      </c>
      <c r="J13" s="704">
        <f>industrie!I18</f>
        <v>0</v>
      </c>
      <c r="K13" s="704">
        <f>industrie!J18</f>
        <v>5.6579246102951934</v>
      </c>
      <c r="L13" s="704">
        <f>industrie!K18</f>
        <v>0</v>
      </c>
      <c r="M13" s="704">
        <f>industrie!L18</f>
        <v>0</v>
      </c>
      <c r="N13" s="704">
        <f>industrie!M18</f>
        <v>0</v>
      </c>
      <c r="O13" s="704">
        <f>industrie!N18</f>
        <v>1541.184473203896</v>
      </c>
      <c r="P13" s="704">
        <f>industrie!O18</f>
        <v>0</v>
      </c>
      <c r="Q13" s="705">
        <f>industrie!P18</f>
        <v>0</v>
      </c>
      <c r="R13" s="707">
        <f>SUM(C13:Q13)</f>
        <v>15600.303109900109</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39817.079914494054</v>
      </c>
      <c r="D15" s="709">
        <f t="shared" ref="D15:Q15" ca="1" si="0">SUM(D9:D14)</f>
        <v>712.5</v>
      </c>
      <c r="E15" s="709">
        <f t="shared" ca="1" si="0"/>
        <v>69742.904286000005</v>
      </c>
      <c r="F15" s="709">
        <f t="shared" si="0"/>
        <v>3468.439576540065</v>
      </c>
      <c r="G15" s="709">
        <f t="shared" ca="1" si="0"/>
        <v>5167.2246180616767</v>
      </c>
      <c r="H15" s="709">
        <f t="shared" si="0"/>
        <v>0</v>
      </c>
      <c r="I15" s="709">
        <f t="shared" si="0"/>
        <v>0</v>
      </c>
      <c r="J15" s="709">
        <f t="shared" si="0"/>
        <v>0</v>
      </c>
      <c r="K15" s="709">
        <f t="shared" si="0"/>
        <v>1356.3359996366744</v>
      </c>
      <c r="L15" s="709">
        <f t="shared" si="0"/>
        <v>0</v>
      </c>
      <c r="M15" s="709">
        <f t="shared" ca="1" si="0"/>
        <v>0</v>
      </c>
      <c r="N15" s="709">
        <f t="shared" si="0"/>
        <v>0</v>
      </c>
      <c r="O15" s="709">
        <f t="shared" ca="1" si="0"/>
        <v>18617.465418874672</v>
      </c>
      <c r="P15" s="709">
        <f t="shared" si="0"/>
        <v>215.74</v>
      </c>
      <c r="Q15" s="710">
        <f t="shared" si="0"/>
        <v>324.13333333333333</v>
      </c>
      <c r="R15" s="711">
        <f ca="1">SUM(R9:R14)</f>
        <v>139421.8231469405</v>
      </c>
      <c r="S15" s="67"/>
    </row>
    <row r="16" spans="1:19" s="459" customFormat="1" ht="15.75">
      <c r="A16" s="860" t="s">
        <v>227</v>
      </c>
      <c r="B16" s="754"/>
      <c r="C16" s="1028"/>
      <c r="D16" s="1028"/>
      <c r="E16" s="1028"/>
      <c r="F16" s="1028"/>
      <c r="G16" s="1028"/>
      <c r="H16" s="1028"/>
      <c r="I16" s="1028"/>
      <c r="J16" s="1028"/>
      <c r="K16" s="1028"/>
      <c r="L16" s="1028"/>
      <c r="M16" s="1028"/>
      <c r="N16" s="1028"/>
      <c r="O16" s="1028"/>
      <c r="P16" s="1028"/>
      <c r="Q16" s="102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1375.4126059794773</v>
      </c>
      <c r="I18" s="704">
        <f>transport!H54</f>
        <v>0</v>
      </c>
      <c r="J18" s="704">
        <f>transport!I54</f>
        <v>0</v>
      </c>
      <c r="K18" s="704">
        <f>transport!J54</f>
        <v>0</v>
      </c>
      <c r="L18" s="704">
        <f>transport!K54</f>
        <v>0</v>
      </c>
      <c r="M18" s="704">
        <f>transport!L54</f>
        <v>0</v>
      </c>
      <c r="N18" s="704">
        <f>transport!M54</f>
        <v>61.167962732127357</v>
      </c>
      <c r="O18" s="704">
        <f>transport!N54</f>
        <v>0</v>
      </c>
      <c r="P18" s="704">
        <f>transport!O54</f>
        <v>0</v>
      </c>
      <c r="Q18" s="705">
        <f>transport!P54</f>
        <v>0</v>
      </c>
      <c r="R18" s="707">
        <f>SUM(C18:Q18)</f>
        <v>1436.5805687116047</v>
      </c>
      <c r="S18" s="67"/>
    </row>
    <row r="19" spans="1:19" s="459" customFormat="1" ht="15" thickBot="1">
      <c r="A19" s="858" t="s">
        <v>307</v>
      </c>
      <c r="B19" s="863"/>
      <c r="C19" s="713">
        <f>transport!B14</f>
        <v>8.2079168028321163</v>
      </c>
      <c r="D19" s="713">
        <f>transport!C14</f>
        <v>0</v>
      </c>
      <c r="E19" s="713">
        <f>transport!D14</f>
        <v>12.484376707527163</v>
      </c>
      <c r="F19" s="713">
        <f>transport!E14</f>
        <v>448.30949560005575</v>
      </c>
      <c r="G19" s="713">
        <f>transport!F14</f>
        <v>0</v>
      </c>
      <c r="H19" s="713">
        <f>transport!G14</f>
        <v>148273.71032000729</v>
      </c>
      <c r="I19" s="713">
        <f>transport!H14</f>
        <v>19384.713849265307</v>
      </c>
      <c r="J19" s="713">
        <f>transport!I14</f>
        <v>0</v>
      </c>
      <c r="K19" s="713">
        <f>transport!J14</f>
        <v>0</v>
      </c>
      <c r="L19" s="713">
        <f>transport!K14</f>
        <v>0</v>
      </c>
      <c r="M19" s="713">
        <f>transport!L14</f>
        <v>0</v>
      </c>
      <c r="N19" s="713">
        <f>transport!M14</f>
        <v>7518.6744890620521</v>
      </c>
      <c r="O19" s="713">
        <f>transport!N14</f>
        <v>0</v>
      </c>
      <c r="P19" s="713">
        <f>transport!O14</f>
        <v>0</v>
      </c>
      <c r="Q19" s="714">
        <f>transport!P14</f>
        <v>0</v>
      </c>
      <c r="R19" s="715">
        <f>SUM(C19:Q19)</f>
        <v>175646.10044744506</v>
      </c>
      <c r="S19" s="67"/>
    </row>
    <row r="20" spans="1:19" s="459" customFormat="1" ht="15.75" thickBot="1">
      <c r="A20" s="716" t="s">
        <v>230</v>
      </c>
      <c r="B20" s="866"/>
      <c r="C20" s="861">
        <f>SUM(C17:C19)</f>
        <v>8.2079168028321163</v>
      </c>
      <c r="D20" s="717">
        <f t="shared" ref="D20:R20" si="1">SUM(D17:D19)</f>
        <v>0</v>
      </c>
      <c r="E20" s="717">
        <f t="shared" si="1"/>
        <v>12.484376707527163</v>
      </c>
      <c r="F20" s="717">
        <f t="shared" si="1"/>
        <v>448.30949560005575</v>
      </c>
      <c r="G20" s="717">
        <f t="shared" si="1"/>
        <v>0</v>
      </c>
      <c r="H20" s="717">
        <f t="shared" si="1"/>
        <v>149649.12292598677</v>
      </c>
      <c r="I20" s="717">
        <f t="shared" si="1"/>
        <v>19384.713849265307</v>
      </c>
      <c r="J20" s="717">
        <f t="shared" si="1"/>
        <v>0</v>
      </c>
      <c r="K20" s="717">
        <f t="shared" si="1"/>
        <v>0</v>
      </c>
      <c r="L20" s="717">
        <f t="shared" si="1"/>
        <v>0</v>
      </c>
      <c r="M20" s="717">
        <f t="shared" si="1"/>
        <v>0</v>
      </c>
      <c r="N20" s="717">
        <f t="shared" si="1"/>
        <v>7579.8424517941794</v>
      </c>
      <c r="O20" s="717">
        <f t="shared" si="1"/>
        <v>0</v>
      </c>
      <c r="P20" s="717">
        <f t="shared" si="1"/>
        <v>0</v>
      </c>
      <c r="Q20" s="718">
        <f t="shared" si="1"/>
        <v>0</v>
      </c>
      <c r="R20" s="719">
        <f t="shared" si="1"/>
        <v>177082.68101615665</v>
      </c>
      <c r="S20" s="67"/>
    </row>
    <row r="21" spans="1:19" s="459" customFormat="1" ht="15.75">
      <c r="A21" s="860" t="s">
        <v>237</v>
      </c>
      <c r="B21" s="754"/>
      <c r="C21" s="1028"/>
      <c r="D21" s="1028"/>
      <c r="E21" s="1028"/>
      <c r="F21" s="1028"/>
      <c r="G21" s="1028"/>
      <c r="H21" s="1028"/>
      <c r="I21" s="1028"/>
      <c r="J21" s="1028"/>
      <c r="K21" s="1028"/>
      <c r="L21" s="1028"/>
      <c r="M21" s="1028"/>
      <c r="N21" s="1028"/>
      <c r="O21" s="1028"/>
      <c r="P21" s="1028"/>
      <c r="Q21" s="1028"/>
      <c r="R21" s="712"/>
      <c r="S21" s="67"/>
    </row>
    <row r="22" spans="1:19" s="459" customFormat="1" ht="15" thickBot="1">
      <c r="A22" s="858" t="s">
        <v>654</v>
      </c>
      <c r="B22" s="867"/>
      <c r="C22" s="713">
        <f>+landbouw!B8</f>
        <v>2561.527</v>
      </c>
      <c r="D22" s="713">
        <f>+landbouw!C8</f>
        <v>57.160714285714278</v>
      </c>
      <c r="E22" s="713">
        <f>+landbouw!D8</f>
        <v>1484.6018000000001</v>
      </c>
      <c r="F22" s="713">
        <f>+landbouw!E8</f>
        <v>32.278540117717178</v>
      </c>
      <c r="G22" s="713">
        <f>+landbouw!F8</f>
        <v>8837.9098508566985</v>
      </c>
      <c r="H22" s="713">
        <f>+landbouw!G8</f>
        <v>0</v>
      </c>
      <c r="I22" s="713">
        <f>+landbouw!H8</f>
        <v>0</v>
      </c>
      <c r="J22" s="713">
        <f>+landbouw!I8</f>
        <v>0</v>
      </c>
      <c r="K22" s="713">
        <f>+landbouw!J8</f>
        <v>385.22454238874838</v>
      </c>
      <c r="L22" s="713">
        <f>+landbouw!K8</f>
        <v>0</v>
      </c>
      <c r="M22" s="713">
        <f>+landbouw!L8</f>
        <v>0</v>
      </c>
      <c r="N22" s="713">
        <f>+landbouw!M8</f>
        <v>0</v>
      </c>
      <c r="O22" s="713">
        <f>+landbouw!N8</f>
        <v>0</v>
      </c>
      <c r="P22" s="713">
        <f>+landbouw!O8</f>
        <v>0</v>
      </c>
      <c r="Q22" s="714">
        <f>+landbouw!P8</f>
        <v>0</v>
      </c>
      <c r="R22" s="715">
        <f>SUM(C22:Q22)</f>
        <v>13358.702447648879</v>
      </c>
      <c r="S22" s="67"/>
    </row>
    <row r="23" spans="1:19" s="459" customFormat="1" ht="17.25" thickTop="1" thickBot="1">
      <c r="A23" s="720" t="s">
        <v>116</v>
      </c>
      <c r="B23" s="852"/>
      <c r="C23" s="721">
        <f ca="1">C20+C15+C22</f>
        <v>42386.814831296884</v>
      </c>
      <c r="D23" s="721">
        <f t="shared" ref="D23:Q23" ca="1" si="2">D20+D15+D22</f>
        <v>769.66071428571422</v>
      </c>
      <c r="E23" s="721">
        <f t="shared" ca="1" si="2"/>
        <v>71239.99046270753</v>
      </c>
      <c r="F23" s="721">
        <f t="shared" si="2"/>
        <v>3949.027612257838</v>
      </c>
      <c r="G23" s="721">
        <f t="shared" ca="1" si="2"/>
        <v>14005.134468918375</v>
      </c>
      <c r="H23" s="721">
        <f t="shared" si="2"/>
        <v>149649.12292598677</v>
      </c>
      <c r="I23" s="721">
        <f t="shared" si="2"/>
        <v>19384.713849265307</v>
      </c>
      <c r="J23" s="721">
        <f t="shared" si="2"/>
        <v>0</v>
      </c>
      <c r="K23" s="721">
        <f t="shared" si="2"/>
        <v>1741.5605420254228</v>
      </c>
      <c r="L23" s="721">
        <f t="shared" si="2"/>
        <v>0</v>
      </c>
      <c r="M23" s="721">
        <f t="shared" ca="1" si="2"/>
        <v>0</v>
      </c>
      <c r="N23" s="721">
        <f t="shared" si="2"/>
        <v>7579.8424517941794</v>
      </c>
      <c r="O23" s="721">
        <f t="shared" ca="1" si="2"/>
        <v>18617.465418874672</v>
      </c>
      <c r="P23" s="721">
        <f t="shared" si="2"/>
        <v>215.74</v>
      </c>
      <c r="Q23" s="722">
        <f t="shared" si="2"/>
        <v>324.13333333333333</v>
      </c>
      <c r="R23" s="723">
        <f ca="1">R20+R15+R22</f>
        <v>329863.20661074598</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029"/>
      <c r="B27" s="1029"/>
      <c r="C27" s="102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30"/>
      <c r="B29" s="1030"/>
      <c r="C29" s="1030"/>
      <c r="D29" s="1030"/>
      <c r="E29" s="1030"/>
      <c r="F29" s="1030"/>
      <c r="G29" s="1030"/>
      <c r="H29" s="1030"/>
      <c r="I29" s="1030"/>
      <c r="J29" s="1030"/>
      <c r="K29" s="1030"/>
      <c r="L29" s="1030"/>
      <c r="M29" s="1030"/>
      <c r="N29" s="1030"/>
      <c r="O29" s="1030"/>
      <c r="P29" s="1030"/>
      <c r="Q29" s="1030"/>
      <c r="R29" s="1030"/>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031"/>
      <c r="B31" s="870"/>
      <c r="C31" s="1033" t="s">
        <v>347</v>
      </c>
      <c r="D31" s="1034"/>
      <c r="E31" s="1034"/>
      <c r="F31" s="1034"/>
      <c r="G31" s="1034"/>
      <c r="H31" s="1034"/>
      <c r="I31" s="1034"/>
      <c r="J31" s="1034"/>
      <c r="K31" s="1034"/>
      <c r="L31" s="1034"/>
      <c r="M31" s="1034"/>
      <c r="N31" s="1034"/>
      <c r="O31" s="1034"/>
      <c r="P31" s="1034"/>
      <c r="Q31" s="1034"/>
      <c r="R31" s="1035"/>
    </row>
    <row r="32" spans="1:19" ht="16.5" thickTop="1">
      <c r="A32" s="1032"/>
      <c r="B32" s="871"/>
      <c r="C32" s="1036" t="s">
        <v>21</v>
      </c>
      <c r="D32" s="1038" t="s">
        <v>232</v>
      </c>
      <c r="E32" s="1040" t="s">
        <v>197</v>
      </c>
      <c r="F32" s="1041"/>
      <c r="G32" s="1041"/>
      <c r="H32" s="1041"/>
      <c r="I32" s="1041"/>
      <c r="J32" s="1041"/>
      <c r="K32" s="1041"/>
      <c r="L32" s="1042"/>
      <c r="M32" s="1040" t="s">
        <v>198</v>
      </c>
      <c r="N32" s="1041"/>
      <c r="O32" s="1041"/>
      <c r="P32" s="1041"/>
      <c r="Q32" s="1041"/>
      <c r="R32" s="1043" t="s">
        <v>116</v>
      </c>
    </row>
    <row r="33" spans="1:18" ht="45.75" thickBot="1">
      <c r="A33" s="1032"/>
      <c r="B33" s="871"/>
      <c r="C33" s="1037"/>
      <c r="D33" s="1039"/>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44"/>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774.06281929066517</v>
      </c>
      <c r="D36" s="704">
        <f ca="1">tertiair!C20</f>
        <v>0</v>
      </c>
      <c r="E36" s="704">
        <f ca="1">tertiair!D20</f>
        <v>2386.3314363240002</v>
      </c>
      <c r="F36" s="704">
        <f>tertiair!E20</f>
        <v>29.816890500698765</v>
      </c>
      <c r="G36" s="704">
        <f ca="1">tertiair!F20</f>
        <v>655.80522345883264</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3846.0163695741967</v>
      </c>
    </row>
    <row r="37" spans="1:18">
      <c r="A37" s="873" t="s">
        <v>225</v>
      </c>
      <c r="B37" s="880"/>
      <c r="C37" s="704">
        <f ca="1">huishoudens!B12</f>
        <v>1293.3741130727626</v>
      </c>
      <c r="D37" s="704">
        <f ca="1">huishoudens!C12</f>
        <v>0</v>
      </c>
      <c r="E37" s="704">
        <f>huishoudens!D12</f>
        <v>10546.868700984001</v>
      </c>
      <c r="F37" s="704">
        <f>huishoudens!E12</f>
        <v>583.90148438744563</v>
      </c>
      <c r="G37" s="704">
        <f>huishoudens!F12</f>
        <v>0</v>
      </c>
      <c r="H37" s="704">
        <f>huishoudens!G12</f>
        <v>0</v>
      </c>
      <c r="I37" s="704">
        <f>huishoudens!H12</f>
        <v>0</v>
      </c>
      <c r="J37" s="704">
        <f>huishoudens!I12</f>
        <v>0</v>
      </c>
      <c r="K37" s="704">
        <f>huishoudens!J12</f>
        <v>478.14003855933822</v>
      </c>
      <c r="L37" s="704">
        <f>huishoudens!K12</f>
        <v>0</v>
      </c>
      <c r="M37" s="704">
        <f>huishoudens!L12</f>
        <v>0</v>
      </c>
      <c r="N37" s="704">
        <f>huishoudens!M12</f>
        <v>0</v>
      </c>
      <c r="O37" s="704">
        <f>huishoudens!N12</f>
        <v>0</v>
      </c>
      <c r="P37" s="704">
        <f>huishoudens!O12</f>
        <v>0</v>
      </c>
      <c r="Q37" s="814">
        <f>huishoudens!P12</f>
        <v>0</v>
      </c>
      <c r="R37" s="905">
        <f ca="1">SUM(C37:Q37)</f>
        <v>12902.28433700355</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287.4604992961589</v>
      </c>
      <c r="D39" s="704">
        <f ca="1">industrie!C22</f>
        <v>0</v>
      </c>
      <c r="E39" s="704">
        <f>industrie!D22</f>
        <v>1154.8665284640001</v>
      </c>
      <c r="F39" s="704">
        <f>industrie!E22</f>
        <v>173.61740898645039</v>
      </c>
      <c r="G39" s="704">
        <f>industrie!F22</f>
        <v>723.84374956363501</v>
      </c>
      <c r="H39" s="704">
        <f>industrie!G22</f>
        <v>0</v>
      </c>
      <c r="I39" s="704">
        <f>industrie!H22</f>
        <v>0</v>
      </c>
      <c r="J39" s="704">
        <f>industrie!I22</f>
        <v>0</v>
      </c>
      <c r="K39" s="704">
        <f>industrie!J22</f>
        <v>2.0029053120444984</v>
      </c>
      <c r="L39" s="704">
        <f>industrie!K22</f>
        <v>0</v>
      </c>
      <c r="M39" s="704">
        <f>industrie!L22</f>
        <v>0</v>
      </c>
      <c r="N39" s="704">
        <f>industrie!M22</f>
        <v>0</v>
      </c>
      <c r="O39" s="704">
        <f>industrie!N22</f>
        <v>0</v>
      </c>
      <c r="P39" s="704">
        <f>industrie!O22</f>
        <v>0</v>
      </c>
      <c r="Q39" s="814">
        <f>industrie!P22</f>
        <v>0</v>
      </c>
      <c r="R39" s="906">
        <f ca="1">SUM(C39:Q39)</f>
        <v>2341.7910916222886</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2354.8974316595868</v>
      </c>
      <c r="D41" s="749">
        <f t="shared" ref="D41:R41" ca="1" si="4">SUM(D35:D40)</f>
        <v>0</v>
      </c>
      <c r="E41" s="749">
        <f t="shared" ca="1" si="4"/>
        <v>14088.066665772003</v>
      </c>
      <c r="F41" s="749">
        <f t="shared" si="4"/>
        <v>787.33578387459477</v>
      </c>
      <c r="G41" s="749">
        <f t="shared" ca="1" si="4"/>
        <v>1379.6489730224675</v>
      </c>
      <c r="H41" s="749">
        <f t="shared" si="4"/>
        <v>0</v>
      </c>
      <c r="I41" s="749">
        <f t="shared" si="4"/>
        <v>0</v>
      </c>
      <c r="J41" s="749">
        <f t="shared" si="4"/>
        <v>0</v>
      </c>
      <c r="K41" s="749">
        <f t="shared" si="4"/>
        <v>480.14294387138273</v>
      </c>
      <c r="L41" s="749">
        <f t="shared" si="4"/>
        <v>0</v>
      </c>
      <c r="M41" s="749">
        <f t="shared" ca="1" si="4"/>
        <v>0</v>
      </c>
      <c r="N41" s="749">
        <f t="shared" si="4"/>
        <v>0</v>
      </c>
      <c r="O41" s="749">
        <f t="shared" ca="1" si="4"/>
        <v>0</v>
      </c>
      <c r="P41" s="749">
        <f t="shared" si="4"/>
        <v>0</v>
      </c>
      <c r="Q41" s="750">
        <f t="shared" si="4"/>
        <v>0</v>
      </c>
      <c r="R41" s="751">
        <f t="shared" ca="1" si="4"/>
        <v>19090.091798200036</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367.23516579652045</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367.23516579652045</v>
      </c>
    </row>
    <row r="45" spans="1:18" ht="15" thickBot="1">
      <c r="A45" s="876" t="s">
        <v>307</v>
      </c>
      <c r="B45" s="886"/>
      <c r="C45" s="713">
        <f ca="1">transport!B18</f>
        <v>0.48543997299080999</v>
      </c>
      <c r="D45" s="713">
        <f>transport!C18</f>
        <v>0</v>
      </c>
      <c r="E45" s="713">
        <f>transport!D18</f>
        <v>2.5218440949204872</v>
      </c>
      <c r="F45" s="713">
        <f>transport!E18</f>
        <v>101.76625550121265</v>
      </c>
      <c r="G45" s="713">
        <f>transport!F18</f>
        <v>0</v>
      </c>
      <c r="H45" s="713">
        <f>transport!G18</f>
        <v>39589.080655441947</v>
      </c>
      <c r="I45" s="713">
        <f>transport!H18</f>
        <v>4826.7937484670611</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44520.647943478136</v>
      </c>
    </row>
    <row r="46" spans="1:18" ht="15.75" thickBot="1">
      <c r="A46" s="874" t="s">
        <v>230</v>
      </c>
      <c r="B46" s="887"/>
      <c r="C46" s="749">
        <f t="shared" ref="C46:R46" ca="1" si="5">SUM(C43:C45)</f>
        <v>0.48543997299080999</v>
      </c>
      <c r="D46" s="749">
        <f t="shared" ca="1" si="5"/>
        <v>0</v>
      </c>
      <c r="E46" s="749">
        <f t="shared" si="5"/>
        <v>2.5218440949204872</v>
      </c>
      <c r="F46" s="749">
        <f t="shared" si="5"/>
        <v>101.76625550121265</v>
      </c>
      <c r="G46" s="749">
        <f t="shared" si="5"/>
        <v>0</v>
      </c>
      <c r="H46" s="749">
        <f t="shared" si="5"/>
        <v>39956.315821238466</v>
      </c>
      <c r="I46" s="749">
        <f t="shared" si="5"/>
        <v>4826.7937484670611</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44887.883109274655</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151.49612594345203</v>
      </c>
      <c r="D48" s="704">
        <f ca="1">+landbouw!C12</f>
        <v>0</v>
      </c>
      <c r="E48" s="704">
        <f>+landbouw!D12</f>
        <v>299.88956360000003</v>
      </c>
      <c r="F48" s="704">
        <f>+landbouw!E12</f>
        <v>7.3272286067217998</v>
      </c>
      <c r="G48" s="704">
        <f>+landbouw!F12</f>
        <v>2359.7219301787386</v>
      </c>
      <c r="H48" s="704">
        <f>+landbouw!G12</f>
        <v>0</v>
      </c>
      <c r="I48" s="704">
        <f>+landbouw!H12</f>
        <v>0</v>
      </c>
      <c r="J48" s="704">
        <f>+landbouw!I12</f>
        <v>0</v>
      </c>
      <c r="K48" s="704">
        <f>+landbouw!J12</f>
        <v>136.36948800561692</v>
      </c>
      <c r="L48" s="704">
        <f>+landbouw!K12</f>
        <v>0</v>
      </c>
      <c r="M48" s="704">
        <f>+landbouw!L12</f>
        <v>0</v>
      </c>
      <c r="N48" s="704">
        <f>+landbouw!M12</f>
        <v>0</v>
      </c>
      <c r="O48" s="704">
        <f>+landbouw!N12</f>
        <v>0</v>
      </c>
      <c r="P48" s="704">
        <f>+landbouw!O12</f>
        <v>0</v>
      </c>
      <c r="Q48" s="705">
        <f>+landbouw!P12</f>
        <v>0</v>
      </c>
      <c r="R48" s="747">
        <f ca="1">SUM(C48:Q48)</f>
        <v>2954.8043363345291</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54"/>
      <c r="D50" s="1055"/>
      <c r="E50" s="1055"/>
      <c r="F50" s="1055"/>
      <c r="G50" s="1055"/>
      <c r="H50" s="1055"/>
      <c r="I50" s="1055"/>
      <c r="J50" s="1055"/>
      <c r="K50" s="1055"/>
      <c r="L50" s="1055"/>
      <c r="M50" s="1055"/>
      <c r="N50" s="1055"/>
      <c r="O50" s="1055"/>
      <c r="P50" s="1055"/>
      <c r="Q50" s="1055"/>
      <c r="R50" s="756"/>
    </row>
    <row r="51" spans="1:18" ht="15">
      <c r="A51" s="878" t="s">
        <v>239</v>
      </c>
      <c r="B51" s="863"/>
      <c r="C51" s="1056"/>
      <c r="D51" s="1057"/>
      <c r="E51" s="1057"/>
      <c r="F51" s="1057"/>
      <c r="G51" s="1057"/>
      <c r="H51" s="1057"/>
      <c r="I51" s="1057"/>
      <c r="J51" s="1057"/>
      <c r="K51" s="1057"/>
      <c r="L51" s="1057"/>
      <c r="M51" s="1057"/>
      <c r="N51" s="1057"/>
      <c r="O51" s="1057"/>
      <c r="P51" s="1057"/>
      <c r="Q51" s="1057"/>
      <c r="R51" s="757"/>
    </row>
    <row r="52" spans="1:18" ht="15" thickBot="1">
      <c r="A52" s="890" t="s">
        <v>240</v>
      </c>
      <c r="B52" s="891"/>
      <c r="C52" s="1056"/>
      <c r="D52" s="1057"/>
      <c r="E52" s="1057"/>
      <c r="F52" s="1057"/>
      <c r="G52" s="1057"/>
      <c r="H52" s="1057"/>
      <c r="I52" s="1057"/>
      <c r="J52" s="1057"/>
      <c r="K52" s="1057"/>
      <c r="L52" s="1057"/>
      <c r="M52" s="1057"/>
      <c r="N52" s="1057"/>
      <c r="O52" s="1057"/>
      <c r="P52" s="1057"/>
      <c r="Q52" s="1057"/>
      <c r="R52" s="748"/>
    </row>
    <row r="53" spans="1:18" ht="16.5" thickBot="1">
      <c r="A53" s="894" t="s">
        <v>116</v>
      </c>
      <c r="B53" s="895"/>
      <c r="C53" s="758">
        <f ca="1">C41+C46+C48</f>
        <v>2506.8789975760296</v>
      </c>
      <c r="D53" s="759">
        <f t="shared" ref="D53:Q53" ca="1" si="6">D41+D46+D48</f>
        <v>0</v>
      </c>
      <c r="E53" s="759">
        <f t="shared" ca="1" si="6"/>
        <v>14390.478073466924</v>
      </c>
      <c r="F53" s="759">
        <f t="shared" si="6"/>
        <v>896.42926798252915</v>
      </c>
      <c r="G53" s="759">
        <f t="shared" ca="1" si="6"/>
        <v>3739.3709032012061</v>
      </c>
      <c r="H53" s="759">
        <f t="shared" si="6"/>
        <v>39956.315821238466</v>
      </c>
      <c r="I53" s="759">
        <f t="shared" si="6"/>
        <v>4826.7937484670611</v>
      </c>
      <c r="J53" s="759">
        <f t="shared" si="6"/>
        <v>0</v>
      </c>
      <c r="K53" s="759">
        <f t="shared" si="6"/>
        <v>616.5124318769997</v>
      </c>
      <c r="L53" s="759">
        <f t="shared" si="6"/>
        <v>0</v>
      </c>
      <c r="M53" s="759">
        <f t="shared" ca="1" si="6"/>
        <v>0</v>
      </c>
      <c r="N53" s="759">
        <f t="shared" si="6"/>
        <v>0</v>
      </c>
      <c r="O53" s="759">
        <f t="shared" ca="1" si="6"/>
        <v>0</v>
      </c>
      <c r="P53" s="759">
        <f>P41+P46+P48</f>
        <v>0</v>
      </c>
      <c r="Q53" s="760">
        <f t="shared" si="6"/>
        <v>0</v>
      </c>
      <c r="R53" s="761">
        <f ca="1">R41+R46+R48</f>
        <v>66932.779243809229</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5.914289638307621E-2</v>
      </c>
      <c r="D55" s="824">
        <f t="shared" ca="1" si="7"/>
        <v>0</v>
      </c>
      <c r="E55" s="824">
        <f t="shared" ca="1" si="7"/>
        <v>0.20200000000000004</v>
      </c>
      <c r="F55" s="824">
        <f t="shared" si="7"/>
        <v>0.22699999999999998</v>
      </c>
      <c r="G55" s="824">
        <f t="shared" ca="1" si="7"/>
        <v>0.26700000000000002</v>
      </c>
      <c r="H55" s="824">
        <f t="shared" si="7"/>
        <v>0.26700000000000002</v>
      </c>
      <c r="I55" s="824">
        <f t="shared" si="7"/>
        <v>0.24899999999999997</v>
      </c>
      <c r="J55" s="824">
        <f t="shared" si="7"/>
        <v>0</v>
      </c>
      <c r="K55" s="824">
        <f t="shared" si="7"/>
        <v>0.35400000000000004</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30"/>
      <c r="B59" s="1030"/>
      <c r="C59" s="1030"/>
      <c r="D59" s="1030"/>
      <c r="E59" s="1030"/>
      <c r="F59" s="1030"/>
      <c r="G59" s="1030"/>
      <c r="H59" s="1030"/>
      <c r="I59" s="1030"/>
      <c r="J59" s="1030"/>
      <c r="K59" s="1030"/>
      <c r="L59" s="1030"/>
      <c r="M59" s="1030"/>
      <c r="N59" s="1030"/>
      <c r="O59" s="1030"/>
      <c r="P59" s="1030"/>
      <c r="Q59" s="1030"/>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43" t="s">
        <v>241</v>
      </c>
      <c r="B61" s="1068" t="s">
        <v>351</v>
      </c>
      <c r="C61" s="1059"/>
      <c r="D61" s="1065" t="s">
        <v>352</v>
      </c>
      <c r="E61" s="1066"/>
      <c r="F61" s="1066"/>
      <c r="G61" s="1066"/>
      <c r="H61" s="1066"/>
      <c r="I61" s="1066"/>
      <c r="J61" s="1066"/>
      <c r="K61" s="1066"/>
      <c r="L61" s="1066"/>
      <c r="M61" s="1067"/>
      <c r="N61" s="1059" t="s">
        <v>664</v>
      </c>
      <c r="O61" s="1070" t="s">
        <v>663</v>
      </c>
      <c r="P61" s="1071"/>
      <c r="Q61" s="771"/>
      <c r="R61" s="728"/>
    </row>
    <row r="62" spans="1:18" ht="31.5" thickTop="1" thickBot="1">
      <c r="A62" s="1058"/>
      <c r="B62" s="1069"/>
      <c r="C62" s="1061"/>
      <c r="D62" s="1062" t="s">
        <v>197</v>
      </c>
      <c r="E62" s="1063"/>
      <c r="F62" s="1063"/>
      <c r="G62" s="1063"/>
      <c r="H62" s="1064"/>
      <c r="I62" s="772" t="s">
        <v>245</v>
      </c>
      <c r="J62" s="773" t="s">
        <v>246</v>
      </c>
      <c r="K62" s="773" t="s">
        <v>234</v>
      </c>
      <c r="L62" s="773" t="s">
        <v>247</v>
      </c>
      <c r="M62" s="1075" t="s">
        <v>127</v>
      </c>
      <c r="N62" s="1060"/>
      <c r="O62" s="914"/>
      <c r="P62" s="915"/>
      <c r="Q62" s="771"/>
      <c r="R62" s="728"/>
    </row>
    <row r="63" spans="1:18" ht="95.25" customHeight="1" thickTop="1" thickBot="1">
      <c r="A63" s="1044"/>
      <c r="B63" s="842" t="s">
        <v>568</v>
      </c>
      <c r="C63" s="842" t="s">
        <v>662</v>
      </c>
      <c r="D63" s="774" t="s">
        <v>199</v>
      </c>
      <c r="E63" s="775" t="s">
        <v>200</v>
      </c>
      <c r="F63" s="776" t="s">
        <v>201</v>
      </c>
      <c r="G63" s="777" t="s">
        <v>203</v>
      </c>
      <c r="H63" s="778" t="s">
        <v>204</v>
      </c>
      <c r="I63" s="779"/>
      <c r="J63" s="775"/>
      <c r="K63" s="775"/>
      <c r="L63" s="775"/>
      <c r="M63" s="1076"/>
      <c r="N63" s="1061"/>
      <c r="O63" s="845" t="s">
        <v>665</v>
      </c>
      <c r="P63" s="843" t="s">
        <v>666</v>
      </c>
      <c r="Q63" s="771"/>
      <c r="R63" s="728"/>
    </row>
    <row r="64" spans="1:18" ht="15.75" thickTop="1">
      <c r="A64" s="780" t="s">
        <v>249</v>
      </c>
      <c r="B64" s="896">
        <f>'lokale energieproductie'!B4</f>
        <v>25394.132829872113</v>
      </c>
      <c r="C64" s="781">
        <f>'lokale energieproductie'!B4</f>
        <v>25394.132829872113</v>
      </c>
      <c r="D64" s="1077"/>
      <c r="E64" s="1045"/>
      <c r="F64" s="1045"/>
      <c r="G64" s="1048"/>
      <c r="H64" s="1051"/>
      <c r="I64" s="782"/>
      <c r="J64" s="782"/>
      <c r="K64" s="782"/>
      <c r="L64" s="782"/>
      <c r="M64" s="1072"/>
      <c r="N64" s="909">
        <v>0</v>
      </c>
      <c r="O64" s="916"/>
      <c r="P64" s="909">
        <v>0</v>
      </c>
      <c r="Q64" s="771"/>
      <c r="R64" s="769"/>
    </row>
    <row r="65" spans="1:18" ht="15">
      <c r="A65" s="783" t="s">
        <v>250</v>
      </c>
      <c r="B65" s="780">
        <f>'lokale energieproductie'!B5</f>
        <v>0</v>
      </c>
      <c r="C65" s="781">
        <f>'lokale energieproductie'!B5</f>
        <v>0</v>
      </c>
      <c r="D65" s="1078"/>
      <c r="E65" s="1046"/>
      <c r="F65" s="1046"/>
      <c r="G65" s="1049"/>
      <c r="H65" s="1052"/>
      <c r="I65" s="784"/>
      <c r="J65" s="784"/>
      <c r="K65" s="784"/>
      <c r="L65" s="784"/>
      <c r="M65" s="1073"/>
      <c r="N65" s="910">
        <v>0</v>
      </c>
      <c r="O65" s="916"/>
      <c r="P65" s="910">
        <v>0</v>
      </c>
      <c r="Q65" s="771"/>
      <c r="R65" s="734"/>
    </row>
    <row r="66" spans="1:18" ht="15">
      <c r="A66" s="783" t="s">
        <v>251</v>
      </c>
      <c r="B66" s="780">
        <f>'lokale energieproductie'!B6</f>
        <v>4705.5756209902502</v>
      </c>
      <c r="C66" s="781">
        <f>'lokale energieproductie'!B6</f>
        <v>4705.5756209902502</v>
      </c>
      <c r="D66" s="1079"/>
      <c r="E66" s="1047"/>
      <c r="F66" s="1047"/>
      <c r="G66" s="1050"/>
      <c r="H66" s="1053"/>
      <c r="I66" s="785"/>
      <c r="J66" s="785"/>
      <c r="K66" s="785"/>
      <c r="L66" s="785"/>
      <c r="M66" s="1074"/>
      <c r="N66" s="910">
        <v>0</v>
      </c>
      <c r="O66" s="916"/>
      <c r="P66" s="910">
        <v>0</v>
      </c>
      <c r="Q66" s="771"/>
      <c r="R66" s="769"/>
    </row>
    <row r="67" spans="1:18" ht="15">
      <c r="A67" s="786" t="s">
        <v>252</v>
      </c>
      <c r="B67" s="780">
        <f>'lokale energieproductie'!B7</f>
        <v>538.76250000000005</v>
      </c>
      <c r="C67" s="780">
        <f>B67*IFERROR(SUM(J67:L67)/SUM(D67:M67),0)</f>
        <v>538.76250000000005</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633.83823529411779</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405</v>
      </c>
      <c r="C68" s="780">
        <f>B68*IFERROR(SUM(J68:L68)/SUM(D68:M68),0)</f>
        <v>405</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1012.5</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31043.470950862364</v>
      </c>
      <c r="C69" s="789">
        <f>SUM(C64:C68)</f>
        <v>31043.470950862364</v>
      </c>
      <c r="D69" s="790">
        <f t="shared" ref="D69:M69" si="8">SUM(D67:D68)</f>
        <v>0</v>
      </c>
      <c r="E69" s="790">
        <f t="shared" si="8"/>
        <v>0</v>
      </c>
      <c r="F69" s="790">
        <f t="shared" si="8"/>
        <v>0</v>
      </c>
      <c r="G69" s="790">
        <f t="shared" si="8"/>
        <v>0</v>
      </c>
      <c r="H69" s="790">
        <f t="shared" si="8"/>
        <v>0</v>
      </c>
      <c r="I69" s="790">
        <f t="shared" si="8"/>
        <v>0</v>
      </c>
      <c r="J69" s="790">
        <f t="shared" si="8"/>
        <v>1012.5</v>
      </c>
      <c r="K69" s="790">
        <f t="shared" si="8"/>
        <v>633.83823529411779</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30"/>
      <c r="B73" s="1030"/>
      <c r="C73" s="1030"/>
      <c r="D73" s="1030"/>
      <c r="E73" s="1030"/>
      <c r="F73" s="1030"/>
      <c r="G73" s="1030"/>
      <c r="H73" s="1030"/>
      <c r="I73" s="1030"/>
      <c r="J73" s="1030"/>
      <c r="K73" s="1030"/>
      <c r="L73" s="1030"/>
      <c r="M73" s="1030"/>
      <c r="N73" s="1030"/>
      <c r="O73" s="1030"/>
      <c r="P73" s="1030"/>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43" t="s">
        <v>253</v>
      </c>
      <c r="B75" s="1068" t="s">
        <v>355</v>
      </c>
      <c r="C75" s="1059"/>
      <c r="D75" s="1065" t="s">
        <v>356</v>
      </c>
      <c r="E75" s="1066"/>
      <c r="F75" s="1066"/>
      <c r="G75" s="1066"/>
      <c r="H75" s="1066"/>
      <c r="I75" s="1066"/>
      <c r="J75" s="1066"/>
      <c r="K75" s="1066"/>
      <c r="L75" s="1066"/>
      <c r="M75" s="1067"/>
      <c r="N75" s="1059" t="s">
        <v>664</v>
      </c>
      <c r="O75" s="1068" t="s">
        <v>663</v>
      </c>
      <c r="P75" s="1059"/>
      <c r="Q75" s="798"/>
      <c r="R75" s="728"/>
    </row>
    <row r="76" spans="1:18" ht="16.5" thickTop="1" thickBot="1">
      <c r="A76" s="1058"/>
      <c r="B76" s="1085"/>
      <c r="C76" s="1060"/>
      <c r="D76" s="1080" t="s">
        <v>197</v>
      </c>
      <c r="E76" s="1081"/>
      <c r="F76" s="1081"/>
      <c r="G76" s="1081"/>
      <c r="H76" s="1082"/>
      <c r="I76" s="1083" t="s">
        <v>245</v>
      </c>
      <c r="J76" s="1083" t="s">
        <v>246</v>
      </c>
      <c r="K76" s="1038" t="s">
        <v>234</v>
      </c>
      <c r="L76" s="1087" t="s">
        <v>257</v>
      </c>
      <c r="M76" s="1075" t="s">
        <v>127</v>
      </c>
      <c r="N76" s="1060"/>
      <c r="O76" s="914"/>
      <c r="P76" s="915"/>
      <c r="Q76" s="798"/>
      <c r="R76" s="728"/>
    </row>
    <row r="77" spans="1:18" ht="110.25" customHeight="1" thickTop="1" thickBot="1">
      <c r="A77" s="1044"/>
      <c r="B77" s="897" t="s">
        <v>568</v>
      </c>
      <c r="C77" s="897" t="s">
        <v>662</v>
      </c>
      <c r="D77" s="799" t="s">
        <v>199</v>
      </c>
      <c r="E77" s="775" t="s">
        <v>200</v>
      </c>
      <c r="F77" s="800" t="s">
        <v>201</v>
      </c>
      <c r="G77" s="775" t="s">
        <v>203</v>
      </c>
      <c r="H77" s="801" t="s">
        <v>204</v>
      </c>
      <c r="I77" s="1084"/>
      <c r="J77" s="1084"/>
      <c r="K77" s="1086"/>
      <c r="L77" s="1039"/>
      <c r="M77" s="1088"/>
      <c r="N77" s="1061"/>
      <c r="O77" s="845" t="s">
        <v>665</v>
      </c>
      <c r="P77" s="843" t="s">
        <v>666</v>
      </c>
      <c r="Q77" s="798"/>
      <c r="R77" s="728"/>
    </row>
    <row r="78" spans="1:18" ht="15.75" thickTop="1">
      <c r="A78" s="802" t="s">
        <v>252</v>
      </c>
      <c r="B78" s="803">
        <f>'lokale energieproductie'!B16</f>
        <v>769.66071428571422</v>
      </c>
      <c r="C78" s="803">
        <f>B78*IFERROR(SUM(I78:L78)/SUM(D78:M78),0)</f>
        <v>769.66071428571422</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905.48319327731087</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769.66071428571422</v>
      </c>
      <c r="C81" s="789">
        <f>SUM(C78:C80)</f>
        <v>769.66071428571422</v>
      </c>
      <c r="D81" s="789">
        <f t="shared" ref="D81:P81" si="9">SUM(D78:D80)</f>
        <v>0</v>
      </c>
      <c r="E81" s="789">
        <f t="shared" si="9"/>
        <v>0</v>
      </c>
      <c r="F81" s="789">
        <f t="shared" si="9"/>
        <v>0</v>
      </c>
      <c r="G81" s="789">
        <f t="shared" si="9"/>
        <v>0</v>
      </c>
      <c r="H81" s="789">
        <f t="shared" si="9"/>
        <v>0</v>
      </c>
      <c r="I81" s="789">
        <f t="shared" si="9"/>
        <v>0</v>
      </c>
      <c r="J81" s="789">
        <f t="shared" si="9"/>
        <v>0</v>
      </c>
      <c r="K81" s="789">
        <f t="shared" si="9"/>
        <v>905.48319327731087</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089" t="s">
        <v>563</v>
      </c>
      <c r="B1" s="1090" t="s">
        <v>559</v>
      </c>
      <c r="C1" s="1090"/>
      <c r="D1" s="1090"/>
      <c r="E1" s="1090"/>
      <c r="F1" s="1090"/>
      <c r="G1" s="1090"/>
      <c r="H1" s="1090"/>
      <c r="I1" s="1090"/>
      <c r="J1" s="1090"/>
      <c r="K1" s="1090"/>
      <c r="L1" s="1090"/>
      <c r="M1" s="1090"/>
      <c r="N1" s="1090"/>
      <c r="O1" s="1090"/>
      <c r="P1" s="1091"/>
      <c r="Q1" s="460"/>
    </row>
    <row r="2" spans="1:17">
      <c r="A2" s="1089"/>
      <c r="B2" s="1092" t="s">
        <v>21</v>
      </c>
      <c r="C2" s="1094" t="s">
        <v>196</v>
      </c>
      <c r="D2" s="1096" t="s">
        <v>197</v>
      </c>
      <c r="E2" s="1097"/>
      <c r="F2" s="1097"/>
      <c r="G2" s="1097"/>
      <c r="H2" s="1097"/>
      <c r="I2" s="1097"/>
      <c r="J2" s="1097"/>
      <c r="K2" s="1093"/>
      <c r="L2" s="1096" t="s">
        <v>198</v>
      </c>
      <c r="M2" s="1097"/>
      <c r="N2" s="1097"/>
      <c r="O2" s="1097"/>
      <c r="P2" s="1093"/>
      <c r="Q2" s="460"/>
    </row>
    <row r="3" spans="1:17" ht="45">
      <c r="A3" s="1089"/>
      <c r="B3" s="1093"/>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21868.629914494057</v>
      </c>
      <c r="C4" s="463">
        <f>huishoudens!C8</f>
        <v>0</v>
      </c>
      <c r="D4" s="463">
        <f>huishoudens!D8</f>
        <v>52212.221292000002</v>
      </c>
      <c r="E4" s="463">
        <f>huishoudens!E8</f>
        <v>2572.253235186985</v>
      </c>
      <c r="F4" s="463">
        <f>huishoudens!F8</f>
        <v>0</v>
      </c>
      <c r="G4" s="463">
        <f>huishoudens!G8</f>
        <v>0</v>
      </c>
      <c r="H4" s="463">
        <f>huishoudens!H8</f>
        <v>0</v>
      </c>
      <c r="I4" s="463">
        <f>huishoudens!I8</f>
        <v>0</v>
      </c>
      <c r="J4" s="463">
        <f>huishoudens!J8</f>
        <v>1350.6780750263792</v>
      </c>
      <c r="K4" s="463">
        <f>huishoudens!K8</f>
        <v>0</v>
      </c>
      <c r="L4" s="463">
        <f>huishoudens!L8</f>
        <v>0</v>
      </c>
      <c r="M4" s="463">
        <f>huishoudens!M8</f>
        <v>0</v>
      </c>
      <c r="N4" s="463">
        <f>huishoudens!N8</f>
        <v>16531.18382376487</v>
      </c>
      <c r="O4" s="463">
        <f>huishoudens!O8</f>
        <v>214.17666666666668</v>
      </c>
      <c r="P4" s="464">
        <f>huishoudens!P8</f>
        <v>324.13333333333333</v>
      </c>
      <c r="Q4" s="465">
        <f>SUM(B4:P4)</f>
        <v>95073.276340472308</v>
      </c>
    </row>
    <row r="5" spans="1:17">
      <c r="A5" s="462" t="s">
        <v>156</v>
      </c>
      <c r="B5" s="463">
        <f ca="1">tertiair!B16</f>
        <v>12035.369999999999</v>
      </c>
      <c r="C5" s="463">
        <f ca="1">tertiair!C16</f>
        <v>712.5</v>
      </c>
      <c r="D5" s="463">
        <f ca="1">tertiair!D16</f>
        <v>11813.521962000001</v>
      </c>
      <c r="E5" s="463">
        <f>tertiair!E16</f>
        <v>131.35194053171261</v>
      </c>
      <c r="F5" s="463">
        <f ca="1">tertiair!F16</f>
        <v>2456.1993387971261</v>
      </c>
      <c r="G5" s="463">
        <f>tertiair!G16</f>
        <v>0</v>
      </c>
      <c r="H5" s="463">
        <f>tertiair!H16</f>
        <v>0</v>
      </c>
      <c r="I5" s="463">
        <f>tertiair!I16</f>
        <v>0</v>
      </c>
      <c r="J5" s="463">
        <f>tertiair!J16</f>
        <v>0</v>
      </c>
      <c r="K5" s="463">
        <f>tertiair!K16</f>
        <v>0</v>
      </c>
      <c r="L5" s="463">
        <f ca="1">tertiair!L16</f>
        <v>0</v>
      </c>
      <c r="M5" s="463">
        <f>tertiair!M16</f>
        <v>0</v>
      </c>
      <c r="N5" s="463">
        <f ca="1">tertiair!N16</f>
        <v>545.09712190590835</v>
      </c>
      <c r="O5" s="463">
        <f>tertiair!O16</f>
        <v>1.5633333333333335</v>
      </c>
      <c r="P5" s="464">
        <f>tertiair!P16</f>
        <v>0</v>
      </c>
      <c r="Q5" s="462">
        <f t="shared" ref="Q5:Q13" ca="1" si="0">SUM(B5:P5)</f>
        <v>27695.603696568083</v>
      </c>
    </row>
    <row r="6" spans="1:17">
      <c r="A6" s="462" t="s">
        <v>194</v>
      </c>
      <c r="B6" s="463">
        <f>'openbare verlichting'!B8</f>
        <v>1052.6400000000001</v>
      </c>
      <c r="C6" s="463"/>
      <c r="D6" s="463"/>
      <c r="E6" s="463"/>
      <c r="F6" s="463"/>
      <c r="G6" s="463"/>
      <c r="H6" s="463"/>
      <c r="I6" s="463"/>
      <c r="J6" s="463"/>
      <c r="K6" s="463"/>
      <c r="L6" s="463"/>
      <c r="M6" s="463"/>
      <c r="N6" s="463"/>
      <c r="O6" s="463"/>
      <c r="P6" s="464"/>
      <c r="Q6" s="462">
        <f t="shared" si="0"/>
        <v>1052.6400000000001</v>
      </c>
    </row>
    <row r="7" spans="1:17">
      <c r="A7" s="462" t="s">
        <v>112</v>
      </c>
      <c r="B7" s="463">
        <f>landbouw!B8</f>
        <v>2561.527</v>
      </c>
      <c r="C7" s="463">
        <f>landbouw!C8</f>
        <v>57.160714285714278</v>
      </c>
      <c r="D7" s="463">
        <f>landbouw!D8</f>
        <v>1484.6018000000001</v>
      </c>
      <c r="E7" s="463">
        <f>landbouw!E8</f>
        <v>32.278540117717178</v>
      </c>
      <c r="F7" s="463">
        <f>landbouw!F8</f>
        <v>8837.9098508566985</v>
      </c>
      <c r="G7" s="463">
        <f>landbouw!G8</f>
        <v>0</v>
      </c>
      <c r="H7" s="463">
        <f>landbouw!H8</f>
        <v>0</v>
      </c>
      <c r="I7" s="463">
        <f>landbouw!I8</f>
        <v>0</v>
      </c>
      <c r="J7" s="463">
        <f>landbouw!J8</f>
        <v>385.22454238874838</v>
      </c>
      <c r="K7" s="463">
        <f>landbouw!K8</f>
        <v>0</v>
      </c>
      <c r="L7" s="463">
        <f>landbouw!L8</f>
        <v>0</v>
      </c>
      <c r="M7" s="463">
        <f>landbouw!M8</f>
        <v>0</v>
      </c>
      <c r="N7" s="463">
        <f>landbouw!N8</f>
        <v>0</v>
      </c>
      <c r="O7" s="463">
        <f>landbouw!O8</f>
        <v>0</v>
      </c>
      <c r="P7" s="464">
        <f>landbouw!P8</f>
        <v>0</v>
      </c>
      <c r="Q7" s="462">
        <f t="shared" si="0"/>
        <v>13358.702447648879</v>
      </c>
    </row>
    <row r="8" spans="1:17">
      <c r="A8" s="462" t="s">
        <v>657</v>
      </c>
      <c r="B8" s="463">
        <f>industrie!B18</f>
        <v>4860.4399999999996</v>
      </c>
      <c r="C8" s="463">
        <f>industrie!C18</f>
        <v>0</v>
      </c>
      <c r="D8" s="463">
        <f>industrie!D18</f>
        <v>5717.161032</v>
      </c>
      <c r="E8" s="463">
        <f>industrie!E18</f>
        <v>764.83440082136735</v>
      </c>
      <c r="F8" s="463">
        <f>industrie!F18</f>
        <v>2711.0252792645506</v>
      </c>
      <c r="G8" s="463">
        <f>industrie!G18</f>
        <v>0</v>
      </c>
      <c r="H8" s="463">
        <f>industrie!H18</f>
        <v>0</v>
      </c>
      <c r="I8" s="463">
        <f>industrie!I18</f>
        <v>0</v>
      </c>
      <c r="J8" s="463">
        <f>industrie!J18</f>
        <v>5.6579246102951934</v>
      </c>
      <c r="K8" s="463">
        <f>industrie!K18</f>
        <v>0</v>
      </c>
      <c r="L8" s="463">
        <f>industrie!L18</f>
        <v>0</v>
      </c>
      <c r="M8" s="463">
        <f>industrie!M18</f>
        <v>0</v>
      </c>
      <c r="N8" s="463">
        <f>industrie!N18</f>
        <v>1541.184473203896</v>
      </c>
      <c r="O8" s="463">
        <f>industrie!O18</f>
        <v>0</v>
      </c>
      <c r="P8" s="464">
        <f>industrie!P18</f>
        <v>0</v>
      </c>
      <c r="Q8" s="462">
        <f t="shared" si="0"/>
        <v>15600.303109900109</v>
      </c>
    </row>
    <row r="9" spans="1:17" s="468" customFormat="1">
      <c r="A9" s="466" t="s">
        <v>574</v>
      </c>
      <c r="B9" s="467">
        <f>transport!B14</f>
        <v>8.2079168028321163</v>
      </c>
      <c r="C9" s="467">
        <f>transport!C14</f>
        <v>0</v>
      </c>
      <c r="D9" s="467">
        <f>transport!D14</f>
        <v>12.484376707527163</v>
      </c>
      <c r="E9" s="467">
        <f>transport!E14</f>
        <v>448.30949560005575</v>
      </c>
      <c r="F9" s="467">
        <f>transport!F14</f>
        <v>0</v>
      </c>
      <c r="G9" s="467">
        <f>transport!G14</f>
        <v>148273.71032000729</v>
      </c>
      <c r="H9" s="467">
        <f>transport!H14</f>
        <v>19384.713849265307</v>
      </c>
      <c r="I9" s="467">
        <f>transport!I14</f>
        <v>0</v>
      </c>
      <c r="J9" s="467">
        <f>transport!J14</f>
        <v>0</v>
      </c>
      <c r="K9" s="467">
        <f>transport!K14</f>
        <v>0</v>
      </c>
      <c r="L9" s="467">
        <f>transport!L14</f>
        <v>0</v>
      </c>
      <c r="M9" s="467">
        <f>transport!M14</f>
        <v>7518.6744890620521</v>
      </c>
      <c r="N9" s="467">
        <f>transport!N14</f>
        <v>0</v>
      </c>
      <c r="O9" s="467">
        <f>transport!O14</f>
        <v>0</v>
      </c>
      <c r="P9" s="467">
        <f>transport!P14</f>
        <v>0</v>
      </c>
      <c r="Q9" s="466">
        <f>SUM(B9:P9)</f>
        <v>175646.10044744506</v>
      </c>
    </row>
    <row r="10" spans="1:17">
      <c r="A10" s="462" t="s">
        <v>564</v>
      </c>
      <c r="B10" s="463">
        <f>transport!B54</f>
        <v>0</v>
      </c>
      <c r="C10" s="463">
        <f>transport!C54</f>
        <v>0</v>
      </c>
      <c r="D10" s="463">
        <f>transport!D54</f>
        <v>0</v>
      </c>
      <c r="E10" s="463">
        <f>transport!E54</f>
        <v>0</v>
      </c>
      <c r="F10" s="463">
        <f>transport!F54</f>
        <v>0</v>
      </c>
      <c r="G10" s="463">
        <f>transport!G54</f>
        <v>1375.4126059794773</v>
      </c>
      <c r="H10" s="463">
        <f>transport!H54</f>
        <v>0</v>
      </c>
      <c r="I10" s="463">
        <f>transport!I54</f>
        <v>0</v>
      </c>
      <c r="J10" s="463">
        <f>transport!J54</f>
        <v>0</v>
      </c>
      <c r="K10" s="463">
        <f>transport!K54</f>
        <v>0</v>
      </c>
      <c r="L10" s="463">
        <f>transport!L54</f>
        <v>0</v>
      </c>
      <c r="M10" s="463">
        <f>transport!M54</f>
        <v>61.167962732127357</v>
      </c>
      <c r="N10" s="463">
        <f>transport!N54</f>
        <v>0</v>
      </c>
      <c r="O10" s="463">
        <f>transport!O54</f>
        <v>0</v>
      </c>
      <c r="P10" s="464">
        <f>transport!P54</f>
        <v>0</v>
      </c>
      <c r="Q10" s="462">
        <f t="shared" si="0"/>
        <v>1436.5805687116047</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f>'Eigen vloot'!C27</f>
        <v>0</v>
      </c>
      <c r="D13" s="470">
        <f>'Eigen vloot'!D27</f>
        <v>0</v>
      </c>
      <c r="E13" s="470">
        <f>'Eigen vloot'!E27</f>
        <v>0</v>
      </c>
      <c r="F13" s="470">
        <f>'Eigen vloot'!F27</f>
        <v>0</v>
      </c>
      <c r="G13" s="470">
        <f>'Eigen vloot'!G27</f>
        <v>0</v>
      </c>
      <c r="H13" s="470">
        <f>'Eigen vloot'!H27</f>
        <v>0</v>
      </c>
      <c r="I13" s="470">
        <f>'Eigen vloot'!I27</f>
        <v>0</v>
      </c>
      <c r="J13" s="470">
        <f>'Eigen vloot'!J27</f>
        <v>0</v>
      </c>
      <c r="K13" s="470">
        <f>'Eigen vloot'!K27</f>
        <v>0</v>
      </c>
      <c r="L13" s="470">
        <f>'Eigen vloot'!L27</f>
        <v>0</v>
      </c>
      <c r="M13" s="470">
        <f>'Eigen vloot'!M27</f>
        <v>0</v>
      </c>
      <c r="N13" s="470">
        <f>'Eigen vloot'!N27</f>
        <v>0</v>
      </c>
      <c r="O13" s="470">
        <f>'Eigen vloot'!O27</f>
        <v>0</v>
      </c>
      <c r="P13" s="471">
        <f>'Eigen vloot'!P27</f>
        <v>0</v>
      </c>
      <c r="Q13" s="469">
        <f t="shared" si="0"/>
        <v>0</v>
      </c>
    </row>
    <row r="14" spans="1:17" s="475" customFormat="1">
      <c r="A14" s="472" t="s">
        <v>568</v>
      </c>
      <c r="B14" s="473">
        <f ca="1">SUM(B4:B13)</f>
        <v>42386.814831296884</v>
      </c>
      <c r="C14" s="473">
        <f t="shared" ref="C14:Q14" ca="1" si="1">SUM(C4:C13)</f>
        <v>769.66071428571422</v>
      </c>
      <c r="D14" s="473">
        <f t="shared" ca="1" si="1"/>
        <v>71239.990462707516</v>
      </c>
      <c r="E14" s="473">
        <f t="shared" si="1"/>
        <v>3949.027612257838</v>
      </c>
      <c r="F14" s="473">
        <f t="shared" ca="1" si="1"/>
        <v>14005.134468918375</v>
      </c>
      <c r="G14" s="473">
        <f t="shared" si="1"/>
        <v>149649.12292598677</v>
      </c>
      <c r="H14" s="473">
        <f t="shared" si="1"/>
        <v>19384.713849265307</v>
      </c>
      <c r="I14" s="473">
        <f t="shared" si="1"/>
        <v>0</v>
      </c>
      <c r="J14" s="473">
        <f t="shared" si="1"/>
        <v>1741.5605420254228</v>
      </c>
      <c r="K14" s="473">
        <f t="shared" si="1"/>
        <v>0</v>
      </c>
      <c r="L14" s="473">
        <f t="shared" ca="1" si="1"/>
        <v>0</v>
      </c>
      <c r="M14" s="473">
        <f t="shared" si="1"/>
        <v>7579.8424517941794</v>
      </c>
      <c r="N14" s="473">
        <f t="shared" ca="1" si="1"/>
        <v>18617.465418874672</v>
      </c>
      <c r="O14" s="473">
        <f t="shared" si="1"/>
        <v>215.74</v>
      </c>
      <c r="P14" s="474">
        <f t="shared" si="1"/>
        <v>324.13333333333333</v>
      </c>
      <c r="Q14" s="474">
        <f t="shared" ca="1" si="1"/>
        <v>329863.20661074604</v>
      </c>
    </row>
    <row r="16" spans="1:17">
      <c r="A16" s="476" t="s">
        <v>569</v>
      </c>
      <c r="B16" s="829">
        <f ca="1">huishoudens!B10</f>
        <v>5.9142896383076203E-2</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9" t="s">
        <v>571</v>
      </c>
      <c r="B18" s="1090" t="s">
        <v>570</v>
      </c>
      <c r="C18" s="1090"/>
      <c r="D18" s="1090"/>
      <c r="E18" s="1090"/>
      <c r="F18" s="1090"/>
      <c r="G18" s="1090"/>
      <c r="H18" s="1090"/>
      <c r="I18" s="1090"/>
      <c r="J18" s="1090"/>
      <c r="K18" s="1090"/>
      <c r="L18" s="1090"/>
      <c r="M18" s="1090"/>
      <c r="N18" s="1090"/>
      <c r="O18" s="1090"/>
      <c r="P18" s="1091"/>
      <c r="Q18" s="460"/>
    </row>
    <row r="19" spans="1:17" ht="15" customHeight="1">
      <c r="A19" s="1089"/>
      <c r="B19" s="1092" t="s">
        <v>21</v>
      </c>
      <c r="C19" s="1094" t="s">
        <v>196</v>
      </c>
      <c r="D19" s="1096" t="s">
        <v>197</v>
      </c>
      <c r="E19" s="1097"/>
      <c r="F19" s="1097"/>
      <c r="G19" s="1097"/>
      <c r="H19" s="1097"/>
      <c r="I19" s="1097"/>
      <c r="J19" s="1097"/>
      <c r="K19" s="1093"/>
      <c r="L19" s="1096" t="s">
        <v>198</v>
      </c>
      <c r="M19" s="1097"/>
      <c r="N19" s="1097"/>
      <c r="O19" s="1097"/>
      <c r="P19" s="1093"/>
      <c r="Q19" s="460"/>
    </row>
    <row r="20" spans="1:17" ht="45">
      <c r="A20" s="1089"/>
      <c r="B20" s="1093"/>
      <c r="C20" s="1095"/>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1293.3741130727626</v>
      </c>
      <c r="C21" s="463">
        <f t="shared" ref="C21:C30" ca="1" si="3">C4*$C$16</f>
        <v>0</v>
      </c>
      <c r="D21" s="463">
        <f t="shared" ref="D21:D30" si="4">D4*$D$16</f>
        <v>10546.868700984001</v>
      </c>
      <c r="E21" s="463">
        <f t="shared" ref="E21:E30" si="5">E4*$E$16</f>
        <v>583.90148438744563</v>
      </c>
      <c r="F21" s="463">
        <f t="shared" ref="F21:F30" si="6">F4*$F$16</f>
        <v>0</v>
      </c>
      <c r="G21" s="463">
        <f t="shared" ref="G21:G30" si="7">G4*$G$16</f>
        <v>0</v>
      </c>
      <c r="H21" s="463">
        <f t="shared" ref="H21:H30" si="8">H4*$H$16</f>
        <v>0</v>
      </c>
      <c r="I21" s="463">
        <f t="shared" ref="I21:I30" si="9">I4*$I$16</f>
        <v>0</v>
      </c>
      <c r="J21" s="463">
        <f t="shared" ref="J21:J30" si="10">J4*$J$16</f>
        <v>478.14003855933822</v>
      </c>
      <c r="K21" s="463">
        <f t="shared" ref="K21:K30" si="11">K4*$K$16</f>
        <v>0</v>
      </c>
      <c r="L21" s="463">
        <f t="shared" ref="L21:L30" si="12">L4*$L$16</f>
        <v>0</v>
      </c>
      <c r="M21" s="463">
        <f t="shared" ref="M21:M30" si="13">M4*$M$16</f>
        <v>0</v>
      </c>
      <c r="N21" s="463">
        <f t="shared" ref="N21:N30" si="14">N4*$N$16</f>
        <v>0</v>
      </c>
      <c r="O21" s="463">
        <f t="shared" ref="O21:O30" si="15">O4*$O$16</f>
        <v>0</v>
      </c>
      <c r="P21" s="477">
        <f t="shared" ref="P21:P30" si="16">P4*$P$16</f>
        <v>0</v>
      </c>
      <c r="Q21" s="465">
        <f ca="1">SUM(B21:P21)</f>
        <v>12902.28433700355</v>
      </c>
    </row>
    <row r="22" spans="1:17">
      <c r="A22" s="462" t="s">
        <v>156</v>
      </c>
      <c r="B22" s="463">
        <f t="shared" ca="1" si="2"/>
        <v>711.80664084198384</v>
      </c>
      <c r="C22" s="463">
        <f t="shared" ca="1" si="3"/>
        <v>0</v>
      </c>
      <c r="D22" s="463">
        <f t="shared" ca="1" si="4"/>
        <v>2386.3314363240002</v>
      </c>
      <c r="E22" s="463">
        <f t="shared" si="5"/>
        <v>29.816890500698765</v>
      </c>
      <c r="F22" s="463">
        <f t="shared" ca="1" si="6"/>
        <v>655.80522345883264</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3783.7601911255156</v>
      </c>
    </row>
    <row r="23" spans="1:17">
      <c r="A23" s="462" t="s">
        <v>194</v>
      </c>
      <c r="B23" s="463">
        <f t="shared" ca="1" si="2"/>
        <v>62.256178448681339</v>
      </c>
      <c r="C23" s="463">
        <f t="shared" ca="1" si="3"/>
        <v>0</v>
      </c>
      <c r="D23" s="463">
        <f t="shared" si="4"/>
        <v>0</v>
      </c>
      <c r="E23" s="463">
        <f t="shared" si="5"/>
        <v>0</v>
      </c>
      <c r="F23" s="463">
        <f t="shared" si="6"/>
        <v>0</v>
      </c>
      <c r="G23" s="463">
        <f t="shared" si="7"/>
        <v>0</v>
      </c>
      <c r="H23" s="463">
        <f t="shared" si="8"/>
        <v>0</v>
      </c>
      <c r="I23" s="463">
        <f t="shared" si="9"/>
        <v>0</v>
      </c>
      <c r="J23" s="463">
        <f t="shared" si="10"/>
        <v>0</v>
      </c>
      <c r="K23" s="463">
        <f t="shared" si="11"/>
        <v>0</v>
      </c>
      <c r="L23" s="463">
        <f t="shared" si="12"/>
        <v>0</v>
      </c>
      <c r="M23" s="463">
        <f t="shared" si="13"/>
        <v>0</v>
      </c>
      <c r="N23" s="463">
        <f t="shared" si="14"/>
        <v>0</v>
      </c>
      <c r="O23" s="463">
        <f t="shared" si="15"/>
        <v>0</v>
      </c>
      <c r="P23" s="464">
        <f t="shared" si="16"/>
        <v>0</v>
      </c>
      <c r="Q23" s="462">
        <f t="shared" ca="1" si="17"/>
        <v>62.256178448681339</v>
      </c>
    </row>
    <row r="24" spans="1:17">
      <c r="A24" s="462" t="s">
        <v>112</v>
      </c>
      <c r="B24" s="463">
        <f t="shared" ca="1" si="2"/>
        <v>151.49612594345203</v>
      </c>
      <c r="C24" s="463">
        <f t="shared" ca="1" si="3"/>
        <v>0</v>
      </c>
      <c r="D24" s="463">
        <f t="shared" si="4"/>
        <v>299.88956360000003</v>
      </c>
      <c r="E24" s="463">
        <f t="shared" si="5"/>
        <v>7.3272286067217998</v>
      </c>
      <c r="F24" s="463">
        <f t="shared" si="6"/>
        <v>2359.7219301787386</v>
      </c>
      <c r="G24" s="463">
        <f t="shared" si="7"/>
        <v>0</v>
      </c>
      <c r="H24" s="463">
        <f t="shared" si="8"/>
        <v>0</v>
      </c>
      <c r="I24" s="463">
        <f t="shared" si="9"/>
        <v>0</v>
      </c>
      <c r="J24" s="463">
        <f t="shared" si="10"/>
        <v>136.36948800561692</v>
      </c>
      <c r="K24" s="463">
        <f t="shared" si="11"/>
        <v>0</v>
      </c>
      <c r="L24" s="463">
        <f t="shared" si="12"/>
        <v>0</v>
      </c>
      <c r="M24" s="463">
        <f t="shared" si="13"/>
        <v>0</v>
      </c>
      <c r="N24" s="463">
        <f t="shared" si="14"/>
        <v>0</v>
      </c>
      <c r="O24" s="463">
        <f t="shared" si="15"/>
        <v>0</v>
      </c>
      <c r="P24" s="464">
        <f t="shared" si="16"/>
        <v>0</v>
      </c>
      <c r="Q24" s="462">
        <f t="shared" ca="1" si="17"/>
        <v>2954.8043363345291</v>
      </c>
    </row>
    <row r="25" spans="1:17">
      <c r="A25" s="462" t="s">
        <v>657</v>
      </c>
      <c r="B25" s="463">
        <f t="shared" ca="1" si="2"/>
        <v>287.4604992961589</v>
      </c>
      <c r="C25" s="463">
        <f t="shared" ca="1" si="3"/>
        <v>0</v>
      </c>
      <c r="D25" s="463">
        <f t="shared" si="4"/>
        <v>1154.8665284640001</v>
      </c>
      <c r="E25" s="463">
        <f t="shared" si="5"/>
        <v>173.61740898645039</v>
      </c>
      <c r="F25" s="463">
        <f t="shared" si="6"/>
        <v>723.84374956363501</v>
      </c>
      <c r="G25" s="463">
        <f t="shared" si="7"/>
        <v>0</v>
      </c>
      <c r="H25" s="463">
        <f t="shared" si="8"/>
        <v>0</v>
      </c>
      <c r="I25" s="463">
        <f t="shared" si="9"/>
        <v>0</v>
      </c>
      <c r="J25" s="463">
        <f t="shared" si="10"/>
        <v>2.0029053120444984</v>
      </c>
      <c r="K25" s="463">
        <f t="shared" si="11"/>
        <v>0</v>
      </c>
      <c r="L25" s="463">
        <f t="shared" si="12"/>
        <v>0</v>
      </c>
      <c r="M25" s="463">
        <f t="shared" si="13"/>
        <v>0</v>
      </c>
      <c r="N25" s="463">
        <f t="shared" si="14"/>
        <v>0</v>
      </c>
      <c r="O25" s="463">
        <f t="shared" si="15"/>
        <v>0</v>
      </c>
      <c r="P25" s="464">
        <f t="shared" si="16"/>
        <v>0</v>
      </c>
      <c r="Q25" s="462">
        <f t="shared" ca="1" si="17"/>
        <v>2341.7910916222886</v>
      </c>
    </row>
    <row r="26" spans="1:17" s="468" customFormat="1">
      <c r="A26" s="466" t="s">
        <v>574</v>
      </c>
      <c r="B26" s="823">
        <f t="shared" ca="1" si="2"/>
        <v>0.48543997299080999</v>
      </c>
      <c r="C26" s="467">
        <f t="shared" ca="1" si="3"/>
        <v>0</v>
      </c>
      <c r="D26" s="467">
        <f t="shared" si="4"/>
        <v>2.5218440949204872</v>
      </c>
      <c r="E26" s="467">
        <f t="shared" si="5"/>
        <v>101.76625550121265</v>
      </c>
      <c r="F26" s="467">
        <f t="shared" si="6"/>
        <v>0</v>
      </c>
      <c r="G26" s="467">
        <f t="shared" si="7"/>
        <v>39589.080655441947</v>
      </c>
      <c r="H26" s="467">
        <f t="shared" si="8"/>
        <v>4826.7937484670611</v>
      </c>
      <c r="I26" s="467">
        <f t="shared" si="9"/>
        <v>0</v>
      </c>
      <c r="J26" s="467">
        <f t="shared" si="10"/>
        <v>0</v>
      </c>
      <c r="K26" s="467">
        <f t="shared" si="11"/>
        <v>0</v>
      </c>
      <c r="L26" s="467">
        <f t="shared" si="12"/>
        <v>0</v>
      </c>
      <c r="M26" s="467">
        <f t="shared" si="13"/>
        <v>0</v>
      </c>
      <c r="N26" s="467">
        <f t="shared" si="14"/>
        <v>0</v>
      </c>
      <c r="O26" s="467">
        <f t="shared" si="15"/>
        <v>0</v>
      </c>
      <c r="P26" s="478">
        <f t="shared" si="16"/>
        <v>0</v>
      </c>
      <c r="Q26" s="466">
        <f t="shared" ca="1" si="17"/>
        <v>44520.647943478136</v>
      </c>
    </row>
    <row r="27" spans="1:17">
      <c r="A27" s="462" t="s">
        <v>564</v>
      </c>
      <c r="B27" s="463">
        <f t="shared" ca="1" si="2"/>
        <v>0</v>
      </c>
      <c r="C27" s="463">
        <f t="shared" ca="1" si="3"/>
        <v>0</v>
      </c>
      <c r="D27" s="463">
        <f t="shared" si="4"/>
        <v>0</v>
      </c>
      <c r="E27" s="463">
        <f t="shared" si="5"/>
        <v>0</v>
      </c>
      <c r="F27" s="463">
        <f t="shared" si="6"/>
        <v>0</v>
      </c>
      <c r="G27" s="463">
        <f t="shared" si="7"/>
        <v>367.23516579652045</v>
      </c>
      <c r="H27" s="463">
        <f t="shared" si="8"/>
        <v>0</v>
      </c>
      <c r="I27" s="463">
        <f t="shared" si="9"/>
        <v>0</v>
      </c>
      <c r="J27" s="463">
        <f t="shared" si="10"/>
        <v>0</v>
      </c>
      <c r="K27" s="463">
        <f t="shared" si="11"/>
        <v>0</v>
      </c>
      <c r="L27" s="463">
        <f t="shared" si="12"/>
        <v>0</v>
      </c>
      <c r="M27" s="463">
        <f t="shared" si="13"/>
        <v>0</v>
      </c>
      <c r="N27" s="463">
        <f t="shared" si="14"/>
        <v>0</v>
      </c>
      <c r="O27" s="463">
        <f t="shared" si="15"/>
        <v>0</v>
      </c>
      <c r="P27" s="464">
        <f t="shared" si="16"/>
        <v>0</v>
      </c>
      <c r="Q27" s="462">
        <f t="shared" ca="1" si="17"/>
        <v>367.23516579652045</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f t="shared" ca="1" si="3"/>
        <v>0</v>
      </c>
      <c r="D29" s="463">
        <f t="shared" si="4"/>
        <v>0</v>
      </c>
      <c r="E29" s="463">
        <f t="shared" si="5"/>
        <v>0</v>
      </c>
      <c r="F29" s="463">
        <f t="shared" si="6"/>
        <v>0</v>
      </c>
      <c r="G29" s="463">
        <f t="shared" si="7"/>
        <v>0</v>
      </c>
      <c r="H29" s="463">
        <f t="shared" si="8"/>
        <v>0</v>
      </c>
      <c r="I29" s="463">
        <f t="shared" si="9"/>
        <v>0</v>
      </c>
      <c r="J29" s="463">
        <f t="shared" si="10"/>
        <v>0</v>
      </c>
      <c r="K29" s="463">
        <f t="shared" si="11"/>
        <v>0</v>
      </c>
      <c r="L29" s="463">
        <f t="shared" si="12"/>
        <v>0</v>
      </c>
      <c r="M29" s="463">
        <f t="shared" si="13"/>
        <v>0</v>
      </c>
      <c r="N29" s="463">
        <f t="shared" si="14"/>
        <v>0</v>
      </c>
      <c r="O29" s="463">
        <f t="shared" si="15"/>
        <v>0</v>
      </c>
      <c r="P29" s="464">
        <f t="shared" si="16"/>
        <v>0</v>
      </c>
      <c r="Q29" s="462">
        <f t="shared" ca="1" si="17"/>
        <v>0</v>
      </c>
    </row>
    <row r="30" spans="1:17">
      <c r="A30" s="469" t="s">
        <v>567</v>
      </c>
      <c r="B30" s="463">
        <f t="shared" ca="1" si="2"/>
        <v>0</v>
      </c>
      <c r="C30" s="463">
        <f t="shared" ca="1" si="3"/>
        <v>0</v>
      </c>
      <c r="D30" s="463">
        <f t="shared" si="4"/>
        <v>0</v>
      </c>
      <c r="E30" s="463">
        <f t="shared" si="5"/>
        <v>0</v>
      </c>
      <c r="F30" s="463">
        <f t="shared" si="6"/>
        <v>0</v>
      </c>
      <c r="G30" s="463">
        <f t="shared" si="7"/>
        <v>0</v>
      </c>
      <c r="H30" s="463">
        <f t="shared" si="8"/>
        <v>0</v>
      </c>
      <c r="I30" s="463">
        <f t="shared" si="9"/>
        <v>0</v>
      </c>
      <c r="J30" s="463">
        <f t="shared" si="10"/>
        <v>0</v>
      </c>
      <c r="K30" s="463">
        <f t="shared" si="11"/>
        <v>0</v>
      </c>
      <c r="L30" s="463">
        <f t="shared" si="12"/>
        <v>0</v>
      </c>
      <c r="M30" s="463">
        <f t="shared" si="13"/>
        <v>0</v>
      </c>
      <c r="N30" s="463">
        <f t="shared" si="14"/>
        <v>0</v>
      </c>
      <c r="O30" s="463">
        <f t="shared" si="15"/>
        <v>0</v>
      </c>
      <c r="P30" s="464">
        <f t="shared" si="16"/>
        <v>0</v>
      </c>
      <c r="Q30" s="462">
        <f t="shared" ca="1" si="17"/>
        <v>0</v>
      </c>
    </row>
    <row r="31" spans="1:17" s="475" customFormat="1">
      <c r="A31" s="472" t="s">
        <v>568</v>
      </c>
      <c r="B31" s="473">
        <f t="shared" ref="B31:Q31" ca="1" si="18">SUM(B21:B30)</f>
        <v>2506.8789975760296</v>
      </c>
      <c r="C31" s="473">
        <f t="shared" ca="1" si="18"/>
        <v>0</v>
      </c>
      <c r="D31" s="473">
        <f t="shared" ca="1" si="18"/>
        <v>14390.478073466922</v>
      </c>
      <c r="E31" s="473">
        <f t="shared" si="18"/>
        <v>896.42926798252915</v>
      </c>
      <c r="F31" s="473">
        <f t="shared" ca="1" si="18"/>
        <v>3739.3709032012061</v>
      </c>
      <c r="G31" s="473">
        <f t="shared" si="18"/>
        <v>39956.315821238466</v>
      </c>
      <c r="H31" s="473">
        <f t="shared" si="18"/>
        <v>4826.7937484670611</v>
      </c>
      <c r="I31" s="473">
        <f t="shared" si="18"/>
        <v>0</v>
      </c>
      <c r="J31" s="473">
        <f t="shared" si="18"/>
        <v>616.5124318769997</v>
      </c>
      <c r="K31" s="473">
        <f t="shared" si="18"/>
        <v>0</v>
      </c>
      <c r="L31" s="473">
        <f t="shared" ca="1" si="18"/>
        <v>0</v>
      </c>
      <c r="M31" s="473">
        <f t="shared" si="18"/>
        <v>0</v>
      </c>
      <c r="N31" s="473">
        <f t="shared" ca="1" si="18"/>
        <v>0</v>
      </c>
      <c r="O31" s="473">
        <f t="shared" si="18"/>
        <v>0</v>
      </c>
      <c r="P31" s="474">
        <f t="shared" si="18"/>
        <v>0</v>
      </c>
      <c r="Q31" s="474">
        <f t="shared" ca="1" si="18"/>
        <v>66932.779243809215</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5.9142896383076203E-2</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1</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19.066666666666666</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04"/>
      <c r="P13" s="1104"/>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5.9142896383076203E-2</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089" t="s">
        <v>328</v>
      </c>
      <c r="B1" s="1098" t="s">
        <v>195</v>
      </c>
      <c r="C1" s="1099"/>
      <c r="D1" s="1099"/>
      <c r="E1" s="1099"/>
      <c r="F1" s="1099"/>
      <c r="G1" s="1099"/>
      <c r="H1" s="1099"/>
      <c r="I1" s="1099"/>
      <c r="J1" s="1099"/>
      <c r="K1" s="1099"/>
      <c r="L1" s="1099"/>
      <c r="M1" s="1099"/>
      <c r="N1" s="1099"/>
      <c r="O1" s="1099"/>
      <c r="P1" s="1099"/>
    </row>
    <row r="2" spans="1:16" ht="15" customHeight="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5.9142896383076203E-2</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05"/>
      <c r="K10" s="58"/>
    </row>
    <row r="11" spans="1:11" s="43" customFormat="1">
      <c r="A11" s="44" t="s">
        <v>578</v>
      </c>
      <c r="B11" s="47"/>
      <c r="D11" s="143" t="s">
        <v>393</v>
      </c>
      <c r="I11" s="1105"/>
      <c r="K11" s="58"/>
    </row>
    <row r="12" spans="1:11" s="43" customFormat="1">
      <c r="A12" s="44" t="s">
        <v>579</v>
      </c>
      <c r="B12" s="47"/>
      <c r="D12" s="143" t="s">
        <v>393</v>
      </c>
      <c r="I12" s="1105"/>
      <c r="K12" s="58"/>
    </row>
    <row r="13" spans="1:11" s="43" customFormat="1">
      <c r="A13" s="44"/>
      <c r="B13" s="463"/>
      <c r="D13" s="96"/>
      <c r="I13" s="1105"/>
    </row>
    <row r="14" spans="1:11" s="43" customFormat="1">
      <c r="A14" s="306" t="s">
        <v>576</v>
      </c>
      <c r="B14" s="516"/>
      <c r="C14" s="142" t="s">
        <v>182</v>
      </c>
      <c r="D14" s="145" t="s">
        <v>392</v>
      </c>
      <c r="I14" s="1105"/>
    </row>
    <row r="15" spans="1:11" s="43" customFormat="1">
      <c r="A15" s="44" t="s">
        <v>71</v>
      </c>
      <c r="B15" s="47"/>
      <c r="D15" s="143" t="s">
        <v>393</v>
      </c>
      <c r="I15" s="1105"/>
      <c r="J15" s="1105"/>
    </row>
    <row r="16" spans="1:11" s="43" customFormat="1">
      <c r="A16" s="44" t="s">
        <v>540</v>
      </c>
      <c r="B16" s="47"/>
      <c r="D16" s="143" t="s">
        <v>393</v>
      </c>
      <c r="I16" s="1105"/>
      <c r="J16" s="1105"/>
    </row>
    <row r="17" spans="1:11" s="43" customFormat="1">
      <c r="A17" s="44" t="s">
        <v>78</v>
      </c>
      <c r="B17" s="47"/>
      <c r="D17" s="143" t="s">
        <v>393</v>
      </c>
      <c r="I17" s="1105"/>
      <c r="J17" s="1105"/>
    </row>
    <row r="18" spans="1:11" s="43" customFormat="1">
      <c r="A18" s="44" t="s">
        <v>541</v>
      </c>
      <c r="B18" s="47"/>
      <c r="D18" s="143" t="s">
        <v>393</v>
      </c>
      <c r="I18" s="1105"/>
      <c r="J18" s="1105"/>
      <c r="K18" s="58"/>
    </row>
    <row r="19" spans="1:11" s="43" customFormat="1">
      <c r="A19" s="44" t="s">
        <v>77</v>
      </c>
      <c r="B19" s="47"/>
      <c r="D19" s="143" t="s">
        <v>393</v>
      </c>
      <c r="I19" s="1105"/>
      <c r="J19" s="1106"/>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05"/>
      <c r="J35" s="1105"/>
    </row>
    <row r="36" spans="1:11" s="43" customFormat="1">
      <c r="A36" s="451" t="s">
        <v>540</v>
      </c>
      <c r="B36" s="47"/>
      <c r="D36" s="143" t="s">
        <v>393</v>
      </c>
      <c r="I36" s="1105"/>
      <c r="J36" s="1105"/>
    </row>
    <row r="37" spans="1:11" s="43" customFormat="1">
      <c r="A37" s="451" t="s">
        <v>78</v>
      </c>
      <c r="B37" s="47"/>
      <c r="D37" s="143" t="s">
        <v>393</v>
      </c>
      <c r="I37" s="1105"/>
      <c r="J37" s="1105"/>
    </row>
    <row r="38" spans="1:11" s="43" customFormat="1">
      <c r="A38" s="451" t="s">
        <v>541</v>
      </c>
      <c r="B38" s="47"/>
      <c r="D38" s="143" t="s">
        <v>393</v>
      </c>
      <c r="I38" s="1105"/>
      <c r="J38" s="1105"/>
      <c r="K38" s="58"/>
    </row>
    <row r="39" spans="1:11" s="43" customFormat="1">
      <c r="A39" s="451" t="s">
        <v>77</v>
      </c>
      <c r="B39" s="47"/>
      <c r="D39" s="143" t="s">
        <v>393</v>
      </c>
      <c r="I39" s="1105"/>
      <c r="J39" s="1106"/>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35005</v>
      </c>
      <c r="B1" s="1201"/>
      <c r="C1" s="1201"/>
      <c r="D1" s="1201"/>
      <c r="E1" s="1201"/>
      <c r="F1" s="1202"/>
    </row>
    <row r="3" spans="1:6" ht="19.5">
      <c r="A3" s="1203" t="s">
        <v>0</v>
      </c>
    </row>
    <row r="4" spans="1:6" ht="22.5">
      <c r="A4" s="1204" t="s">
        <v>833</v>
      </c>
    </row>
    <row r="5" spans="1:6" ht="22.5">
      <c r="A5" s="1204" t="s">
        <v>834</v>
      </c>
    </row>
    <row r="6" spans="1:6" ht="15.75" thickBot="1"/>
    <row r="7" spans="1:6" ht="20.25" thickBot="1">
      <c r="A7" s="1205" t="s">
        <v>1</v>
      </c>
      <c r="B7" s="336" t="s">
        <v>395</v>
      </c>
      <c r="C7" s="336" t="s">
        <v>651</v>
      </c>
      <c r="D7" s="336"/>
      <c r="E7" s="336"/>
      <c r="F7" s="337"/>
    </row>
    <row r="8" spans="1:6" ht="16.5" thickTop="1" thickBot="1">
      <c r="A8" s="1206" t="s">
        <v>4</v>
      </c>
      <c r="B8" s="1207">
        <v>2013</v>
      </c>
      <c r="C8" s="1207">
        <v>2020</v>
      </c>
      <c r="D8" s="1201"/>
      <c r="E8" s="1201"/>
      <c r="F8" s="1202"/>
    </row>
    <row r="9" spans="1:6">
      <c r="A9" s="1208" t="s">
        <v>2</v>
      </c>
      <c r="B9" s="338">
        <v>4858</v>
      </c>
      <c r="C9" s="338">
        <v>5156</v>
      </c>
      <c r="D9" s="338"/>
      <c r="E9" s="338"/>
      <c r="F9" s="338"/>
    </row>
    <row r="10" spans="1:6">
      <c r="A10" s="339"/>
    </row>
    <row r="11" spans="1:6" ht="15.75" thickBot="1">
      <c r="A11" s="339"/>
    </row>
    <row r="12" spans="1:6" ht="20.25" thickBot="1">
      <c r="A12" s="1205" t="s">
        <v>3</v>
      </c>
      <c r="B12" s="336" t="s">
        <v>395</v>
      </c>
      <c r="C12" s="336" t="s">
        <v>683</v>
      </c>
      <c r="D12" s="336"/>
      <c r="E12" s="336"/>
      <c r="F12" s="340"/>
    </row>
    <row r="13" spans="1:6" ht="16.5" thickTop="1" thickBot="1">
      <c r="A13" s="1209" t="s">
        <v>4</v>
      </c>
      <c r="B13" s="1210" t="s">
        <v>5</v>
      </c>
      <c r="C13" s="1210"/>
      <c r="D13" s="1210"/>
      <c r="E13" s="1210"/>
      <c r="F13" s="1211"/>
    </row>
    <row r="14" spans="1:6">
      <c r="A14" s="1212" t="s">
        <v>835</v>
      </c>
      <c r="B14" s="335">
        <v>3154</v>
      </c>
    </row>
    <row r="15" spans="1:6">
      <c r="A15" s="1212" t="s">
        <v>184</v>
      </c>
      <c r="B15" s="335">
        <v>38</v>
      </c>
    </row>
    <row r="16" spans="1:6">
      <c r="A16" s="1212" t="s">
        <v>6</v>
      </c>
      <c r="B16" s="335">
        <v>1560</v>
      </c>
    </row>
    <row r="17" spans="1:6">
      <c r="A17" s="1212" t="s">
        <v>7</v>
      </c>
      <c r="B17" s="335">
        <v>724</v>
      </c>
    </row>
    <row r="18" spans="1:6">
      <c r="A18" s="1212" t="s">
        <v>8</v>
      </c>
      <c r="B18" s="335">
        <v>1449</v>
      </c>
    </row>
    <row r="19" spans="1:6">
      <c r="A19" s="1212" t="s">
        <v>9</v>
      </c>
      <c r="B19" s="335">
        <v>1357</v>
      </c>
    </row>
    <row r="20" spans="1:6">
      <c r="A20" s="1212" t="s">
        <v>10</v>
      </c>
      <c r="B20" s="335">
        <v>971</v>
      </c>
    </row>
    <row r="21" spans="1:6">
      <c r="A21" s="1212" t="s">
        <v>11</v>
      </c>
      <c r="B21" s="335">
        <v>8748</v>
      </c>
    </row>
    <row r="22" spans="1:6">
      <c r="A22" s="1212" t="s">
        <v>12</v>
      </c>
      <c r="B22" s="335">
        <v>18215</v>
      </c>
    </row>
    <row r="23" spans="1:6">
      <c r="A23" s="1212" t="s">
        <v>13</v>
      </c>
      <c r="B23" s="335">
        <v>179</v>
      </c>
    </row>
    <row r="24" spans="1:6">
      <c r="A24" s="1212" t="s">
        <v>14</v>
      </c>
      <c r="B24" s="335">
        <v>8</v>
      </c>
    </row>
    <row r="25" spans="1:6">
      <c r="A25" s="1212" t="s">
        <v>15</v>
      </c>
      <c r="B25" s="335">
        <v>1574</v>
      </c>
    </row>
    <row r="26" spans="1:6">
      <c r="A26" s="1212" t="s">
        <v>16</v>
      </c>
      <c r="B26" s="335">
        <v>230</v>
      </c>
    </row>
    <row r="27" spans="1:6">
      <c r="A27" s="1212" t="s">
        <v>17</v>
      </c>
      <c r="B27" s="335">
        <v>0</v>
      </c>
    </row>
    <row r="28" spans="1:6" s="341" customFormat="1">
      <c r="A28" s="1213" t="s">
        <v>18</v>
      </c>
      <c r="B28" s="1213">
        <v>70340</v>
      </c>
    </row>
    <row r="29" spans="1:6">
      <c r="A29" s="1213" t="s">
        <v>836</v>
      </c>
      <c r="B29" s="1213">
        <v>37</v>
      </c>
      <c r="C29" s="341"/>
      <c r="D29" s="341"/>
      <c r="E29" s="341"/>
      <c r="F29" s="341"/>
    </row>
    <row r="30" spans="1:6">
      <c r="A30" s="1208" t="s">
        <v>837</v>
      </c>
      <c r="B30" s="1208">
        <v>13</v>
      </c>
      <c r="C30" s="338"/>
      <c r="D30" s="338"/>
      <c r="E30" s="338"/>
      <c r="F30" s="338"/>
    </row>
    <row r="31" spans="1:6" ht="15.75" thickBot="1">
      <c r="A31" s="339"/>
    </row>
    <row r="32" spans="1:6" ht="20.25" thickBot="1">
      <c r="A32" s="1205" t="s">
        <v>19</v>
      </c>
      <c r="B32" s="336" t="s">
        <v>395</v>
      </c>
      <c r="C32" s="336" t="s">
        <v>684</v>
      </c>
      <c r="D32" s="336"/>
      <c r="E32" s="336"/>
      <c r="F32" s="340"/>
    </row>
    <row r="33" spans="1:6" ht="16.5" thickTop="1" thickBot="1">
      <c r="A33" s="1214"/>
      <c r="B33" s="1215"/>
      <c r="C33" s="1215" t="s">
        <v>20</v>
      </c>
      <c r="D33" s="1215"/>
      <c r="E33" s="1215" t="s">
        <v>21</v>
      </c>
      <c r="F33" s="1216"/>
    </row>
    <row r="34" spans="1:6" ht="16.5" thickTop="1" thickBot="1">
      <c r="A34" s="1217" t="s">
        <v>22</v>
      </c>
      <c r="B34" s="1218" t="s">
        <v>23</v>
      </c>
      <c r="C34" s="1218" t="s">
        <v>5</v>
      </c>
      <c r="D34" s="1218" t="s">
        <v>24</v>
      </c>
      <c r="E34" s="1218" t="s">
        <v>5</v>
      </c>
      <c r="F34" s="1219" t="s">
        <v>24</v>
      </c>
    </row>
    <row r="35" spans="1:6">
      <c r="A35" s="1212" t="s">
        <v>25</v>
      </c>
      <c r="B35" s="1212" t="s">
        <v>26</v>
      </c>
      <c r="C35" s="335">
        <v>0</v>
      </c>
      <c r="D35" s="335">
        <v>0</v>
      </c>
      <c r="E35" s="335">
        <v>0</v>
      </c>
      <c r="F35" s="335">
        <v>0</v>
      </c>
    </row>
    <row r="36" spans="1:6">
      <c r="A36" s="1212" t="s">
        <v>25</v>
      </c>
      <c r="B36" s="1212" t="s">
        <v>27</v>
      </c>
      <c r="C36" s="335">
        <v>0</v>
      </c>
      <c r="D36" s="335">
        <v>0</v>
      </c>
      <c r="E36" s="335">
        <v>8</v>
      </c>
      <c r="F36" s="335">
        <v>100088</v>
      </c>
    </row>
    <row r="37" spans="1:6">
      <c r="A37" s="1212" t="s">
        <v>25</v>
      </c>
      <c r="B37" s="1212" t="s">
        <v>28</v>
      </c>
      <c r="C37" s="335">
        <v>0</v>
      </c>
      <c r="D37" s="335">
        <v>0</v>
      </c>
      <c r="E37" s="335">
        <v>0</v>
      </c>
      <c r="F37" s="335">
        <v>0</v>
      </c>
    </row>
    <row r="38" spans="1:6">
      <c r="A38" s="1212" t="s">
        <v>25</v>
      </c>
      <c r="B38" s="1212" t="s">
        <v>29</v>
      </c>
      <c r="C38" s="335">
        <v>1</v>
      </c>
      <c r="D38" s="335">
        <v>791416</v>
      </c>
      <c r="E38" s="335">
        <v>1</v>
      </c>
      <c r="F38" s="335">
        <v>55037</v>
      </c>
    </row>
    <row r="39" spans="1:6">
      <c r="A39" s="1212" t="s">
        <v>30</v>
      </c>
      <c r="B39" s="1212" t="s">
        <v>31</v>
      </c>
      <c r="C39" s="335">
        <v>3483</v>
      </c>
      <c r="D39" s="335">
        <v>57884946</v>
      </c>
      <c r="E39" s="335">
        <v>4775</v>
      </c>
      <c r="F39" s="335">
        <v>19537364</v>
      </c>
    </row>
    <row r="40" spans="1:6">
      <c r="A40" s="1212" t="s">
        <v>30</v>
      </c>
      <c r="B40" s="1212" t="s">
        <v>29</v>
      </c>
      <c r="C40" s="335">
        <v>0</v>
      </c>
      <c r="D40" s="335">
        <v>0</v>
      </c>
      <c r="E40" s="335">
        <v>0</v>
      </c>
      <c r="F40" s="335">
        <v>0</v>
      </c>
    </row>
    <row r="41" spans="1:6">
      <c r="A41" s="1212" t="s">
        <v>32</v>
      </c>
      <c r="B41" s="1212" t="s">
        <v>33</v>
      </c>
      <c r="C41" s="335">
        <v>32</v>
      </c>
      <c r="D41" s="335">
        <v>4509371</v>
      </c>
      <c r="E41" s="335">
        <v>111</v>
      </c>
      <c r="F41" s="335">
        <v>2535915</v>
      </c>
    </row>
    <row r="42" spans="1:6">
      <c r="A42" s="1212" t="s">
        <v>32</v>
      </c>
      <c r="B42" s="1212" t="s">
        <v>34</v>
      </c>
      <c r="C42" s="335">
        <v>0</v>
      </c>
      <c r="D42" s="335">
        <v>0</v>
      </c>
      <c r="E42" s="335">
        <v>0</v>
      </c>
      <c r="F42" s="335">
        <v>0</v>
      </c>
    </row>
    <row r="43" spans="1:6">
      <c r="A43" s="1212" t="s">
        <v>32</v>
      </c>
      <c r="B43" s="1212" t="s">
        <v>35</v>
      </c>
      <c r="C43" s="335">
        <v>0</v>
      </c>
      <c r="D43" s="335">
        <v>0</v>
      </c>
      <c r="E43" s="335">
        <v>0</v>
      </c>
      <c r="F43" s="335">
        <v>0</v>
      </c>
    </row>
    <row r="44" spans="1:6">
      <c r="A44" s="1212" t="s">
        <v>32</v>
      </c>
      <c r="B44" s="1212" t="s">
        <v>36</v>
      </c>
      <c r="C44" s="335">
        <v>5</v>
      </c>
      <c r="D44" s="335">
        <v>575514</v>
      </c>
      <c r="E44" s="335">
        <v>13</v>
      </c>
      <c r="F44" s="335">
        <v>447468</v>
      </c>
    </row>
    <row r="45" spans="1:6">
      <c r="A45" s="1212" t="s">
        <v>32</v>
      </c>
      <c r="B45" s="1212" t="s">
        <v>37</v>
      </c>
      <c r="C45" s="335">
        <v>5</v>
      </c>
      <c r="D45" s="335">
        <v>616396</v>
      </c>
      <c r="E45" s="335">
        <v>6</v>
      </c>
      <c r="F45" s="335">
        <v>764401</v>
      </c>
    </row>
    <row r="46" spans="1:6">
      <c r="A46" s="1212" t="s">
        <v>32</v>
      </c>
      <c r="B46" s="1212" t="s">
        <v>38</v>
      </c>
      <c r="C46" s="335">
        <v>0</v>
      </c>
      <c r="D46" s="335">
        <v>0</v>
      </c>
      <c r="E46" s="335">
        <v>0</v>
      </c>
      <c r="F46" s="335">
        <v>0</v>
      </c>
    </row>
    <row r="47" spans="1:6">
      <c r="A47" s="1212" t="s">
        <v>32</v>
      </c>
      <c r="B47" s="1212" t="s">
        <v>39</v>
      </c>
      <c r="C47" s="335">
        <v>5</v>
      </c>
      <c r="D47" s="335">
        <v>268588</v>
      </c>
      <c r="E47" s="335">
        <v>6</v>
      </c>
      <c r="F47" s="335">
        <v>232906</v>
      </c>
    </row>
    <row r="48" spans="1:6">
      <c r="A48" s="1212" t="s">
        <v>32</v>
      </c>
      <c r="B48" s="1212" t="s">
        <v>29</v>
      </c>
      <c r="C48" s="335">
        <v>0</v>
      </c>
      <c r="D48" s="335">
        <v>0</v>
      </c>
      <c r="E48" s="335">
        <v>2</v>
      </c>
      <c r="F48" s="335">
        <v>565585</v>
      </c>
    </row>
    <row r="49" spans="1:6">
      <c r="A49" s="1212" t="s">
        <v>32</v>
      </c>
      <c r="B49" s="1212" t="s">
        <v>40</v>
      </c>
      <c r="C49" s="335">
        <v>0</v>
      </c>
      <c r="D49" s="335">
        <v>0</v>
      </c>
      <c r="E49" s="335">
        <v>0</v>
      </c>
      <c r="F49" s="335">
        <v>0</v>
      </c>
    </row>
    <row r="50" spans="1:6">
      <c r="A50" s="1212" t="s">
        <v>32</v>
      </c>
      <c r="B50" s="1212" t="s">
        <v>41</v>
      </c>
      <c r="C50" s="335">
        <v>9</v>
      </c>
      <c r="D50" s="335">
        <v>368447</v>
      </c>
      <c r="E50" s="335">
        <v>13</v>
      </c>
      <c r="F50" s="335">
        <v>314165</v>
      </c>
    </row>
    <row r="51" spans="1:6">
      <c r="A51" s="1212" t="s">
        <v>42</v>
      </c>
      <c r="B51" s="1212" t="s">
        <v>43</v>
      </c>
      <c r="C51" s="335">
        <v>9</v>
      </c>
      <c r="D51" s="335">
        <v>1645900</v>
      </c>
      <c r="E51" s="335">
        <v>79</v>
      </c>
      <c r="F51" s="335">
        <v>2561527</v>
      </c>
    </row>
    <row r="52" spans="1:6">
      <c r="A52" s="1212" t="s">
        <v>42</v>
      </c>
      <c r="B52" s="1212" t="s">
        <v>29</v>
      </c>
      <c r="C52" s="335">
        <v>0</v>
      </c>
      <c r="D52" s="335">
        <v>0</v>
      </c>
      <c r="E52" s="335">
        <v>0</v>
      </c>
      <c r="F52" s="335">
        <v>0</v>
      </c>
    </row>
    <row r="53" spans="1:6">
      <c r="A53" s="1212" t="s">
        <v>44</v>
      </c>
      <c r="B53" s="1212" t="s">
        <v>45</v>
      </c>
      <c r="C53" s="335">
        <v>0</v>
      </c>
      <c r="D53" s="335">
        <v>0</v>
      </c>
      <c r="E53" s="335">
        <v>0</v>
      </c>
      <c r="F53" s="335">
        <v>0</v>
      </c>
    </row>
    <row r="54" spans="1:6">
      <c r="A54" s="1212" t="s">
        <v>46</v>
      </c>
      <c r="B54" s="1212" t="s">
        <v>47</v>
      </c>
      <c r="C54" s="335">
        <v>0</v>
      </c>
      <c r="D54" s="335">
        <v>0</v>
      </c>
      <c r="E54" s="335">
        <v>53</v>
      </c>
      <c r="F54" s="335">
        <v>1052640</v>
      </c>
    </row>
    <row r="55" spans="1:6">
      <c r="A55" s="1212" t="s">
        <v>46</v>
      </c>
      <c r="B55" s="1212" t="s">
        <v>29</v>
      </c>
      <c r="C55" s="335">
        <v>0</v>
      </c>
      <c r="D55" s="335">
        <v>0</v>
      </c>
      <c r="E55" s="335">
        <v>0</v>
      </c>
      <c r="F55" s="335">
        <v>0</v>
      </c>
    </row>
    <row r="56" spans="1:6">
      <c r="A56" s="1212" t="s">
        <v>48</v>
      </c>
      <c r="B56" s="1212" t="s">
        <v>29</v>
      </c>
      <c r="C56" s="335">
        <v>77</v>
      </c>
      <c r="D56" s="335">
        <v>3027255</v>
      </c>
      <c r="E56" s="335">
        <v>96</v>
      </c>
      <c r="F56" s="335">
        <v>561137</v>
      </c>
    </row>
    <row r="57" spans="1:6">
      <c r="A57" s="1212" t="s">
        <v>49</v>
      </c>
      <c r="B57" s="1212" t="s">
        <v>50</v>
      </c>
      <c r="C57" s="335">
        <v>37</v>
      </c>
      <c r="D57" s="335">
        <v>2885213</v>
      </c>
      <c r="E57" s="335">
        <v>72</v>
      </c>
      <c r="F57" s="335">
        <v>2799574</v>
      </c>
    </row>
    <row r="58" spans="1:6">
      <c r="A58" s="1212" t="s">
        <v>49</v>
      </c>
      <c r="B58" s="1212" t="s">
        <v>51</v>
      </c>
      <c r="C58" s="335">
        <v>12</v>
      </c>
      <c r="D58" s="335">
        <v>1995029</v>
      </c>
      <c r="E58" s="335">
        <v>19</v>
      </c>
      <c r="F58" s="335">
        <v>543112</v>
      </c>
    </row>
    <row r="59" spans="1:6">
      <c r="A59" s="1212" t="s">
        <v>49</v>
      </c>
      <c r="B59" s="1212" t="s">
        <v>52</v>
      </c>
      <c r="C59" s="335">
        <v>69</v>
      </c>
      <c r="D59" s="335">
        <v>2983842</v>
      </c>
      <c r="E59" s="335">
        <v>194</v>
      </c>
      <c r="F59" s="335">
        <v>4795250</v>
      </c>
    </row>
    <row r="60" spans="1:6">
      <c r="A60" s="1212" t="s">
        <v>49</v>
      </c>
      <c r="B60" s="1212" t="s">
        <v>53</v>
      </c>
      <c r="C60" s="335">
        <v>22</v>
      </c>
      <c r="D60" s="335">
        <v>1106055</v>
      </c>
      <c r="E60" s="335">
        <v>42</v>
      </c>
      <c r="F60" s="335">
        <v>701829</v>
      </c>
    </row>
    <row r="61" spans="1:6">
      <c r="A61" s="1212" t="s">
        <v>49</v>
      </c>
      <c r="B61" s="1212" t="s">
        <v>54</v>
      </c>
      <c r="C61" s="335">
        <v>89</v>
      </c>
      <c r="D61" s="335">
        <v>3608920</v>
      </c>
      <c r="E61" s="335">
        <v>225</v>
      </c>
      <c r="F61" s="335">
        <v>2280654</v>
      </c>
    </row>
    <row r="62" spans="1:6">
      <c r="A62" s="1212" t="s">
        <v>49</v>
      </c>
      <c r="B62" s="1212" t="s">
        <v>55</v>
      </c>
      <c r="C62" s="335">
        <v>5</v>
      </c>
      <c r="D62" s="335">
        <v>517972</v>
      </c>
      <c r="E62" s="335">
        <v>10</v>
      </c>
      <c r="F62" s="335">
        <v>416201</v>
      </c>
    </row>
    <row r="63" spans="1:6">
      <c r="A63" s="1212" t="s">
        <v>49</v>
      </c>
      <c r="B63" s="1212" t="s">
        <v>29</v>
      </c>
      <c r="C63" s="335">
        <v>0</v>
      </c>
      <c r="D63" s="335">
        <v>0</v>
      </c>
      <c r="E63" s="335">
        <v>0</v>
      </c>
      <c r="F63" s="335">
        <v>0</v>
      </c>
    </row>
    <row r="64" spans="1:6">
      <c r="A64" s="1212" t="s">
        <v>56</v>
      </c>
      <c r="B64" s="1212" t="s">
        <v>57</v>
      </c>
      <c r="C64" s="335">
        <v>0</v>
      </c>
      <c r="D64" s="335">
        <v>0</v>
      </c>
      <c r="E64" s="335">
        <v>0</v>
      </c>
      <c r="F64" s="335">
        <v>0</v>
      </c>
    </row>
    <row r="65" spans="1:6">
      <c r="A65" s="1212" t="s">
        <v>56</v>
      </c>
      <c r="B65" s="1212" t="s">
        <v>29</v>
      </c>
      <c r="C65" s="335">
        <v>0</v>
      </c>
      <c r="D65" s="335">
        <v>0</v>
      </c>
      <c r="E65" s="335">
        <v>0</v>
      </c>
      <c r="F65" s="335">
        <v>0</v>
      </c>
    </row>
    <row r="66" spans="1:6">
      <c r="A66" s="1212" t="s">
        <v>56</v>
      </c>
      <c r="B66" s="1212" t="s">
        <v>58</v>
      </c>
      <c r="C66" s="335">
        <v>0</v>
      </c>
      <c r="D66" s="335">
        <v>0</v>
      </c>
      <c r="E66" s="335">
        <v>0</v>
      </c>
      <c r="F66" s="335">
        <v>0</v>
      </c>
    </row>
    <row r="67" spans="1:6">
      <c r="A67" s="1213" t="s">
        <v>56</v>
      </c>
      <c r="B67" s="1213" t="s">
        <v>59</v>
      </c>
      <c r="C67" s="335">
        <v>0</v>
      </c>
      <c r="D67" s="335">
        <v>0</v>
      </c>
      <c r="E67" s="335">
        <v>0</v>
      </c>
      <c r="F67" s="335">
        <v>0</v>
      </c>
    </row>
    <row r="68" spans="1:6">
      <c r="A68" s="1208" t="s">
        <v>56</v>
      </c>
      <c r="B68" s="1208" t="s">
        <v>60</v>
      </c>
      <c r="C68" s="335">
        <v>4</v>
      </c>
      <c r="D68" s="335">
        <v>113641</v>
      </c>
      <c r="E68" s="335">
        <v>13</v>
      </c>
      <c r="F68" s="335">
        <v>141333</v>
      </c>
    </row>
    <row r="69" spans="1:6" ht="15.75" thickBot="1">
      <c r="A69" s="339"/>
    </row>
    <row r="70" spans="1:6" ht="19.5">
      <c r="A70" s="1205" t="s">
        <v>61</v>
      </c>
      <c r="B70" s="336"/>
      <c r="C70" s="336" t="s">
        <v>410</v>
      </c>
      <c r="D70" s="336" t="s">
        <v>768</v>
      </c>
      <c r="E70" s="336"/>
      <c r="F70" s="340"/>
    </row>
    <row r="71" spans="1:6" ht="20.25" thickBot="1">
      <c r="A71" s="1220"/>
      <c r="B71" s="342"/>
      <c r="C71" s="342"/>
      <c r="D71" s="343" t="s">
        <v>451</v>
      </c>
      <c r="E71" s="342"/>
      <c r="F71" s="344"/>
    </row>
    <row r="72" spans="1:6" ht="16.5" thickTop="1" thickBot="1">
      <c r="A72" s="1209" t="s">
        <v>62</v>
      </c>
      <c r="B72" s="1210" t="s">
        <v>63</v>
      </c>
      <c r="C72" s="1210" t="s">
        <v>724</v>
      </c>
      <c r="D72" s="1221">
        <v>2013</v>
      </c>
      <c r="E72" s="1221">
        <v>2020</v>
      </c>
      <c r="F72" s="1211"/>
    </row>
    <row r="73" spans="1:6">
      <c r="A73" s="1212" t="s">
        <v>64</v>
      </c>
      <c r="B73" s="1212" t="s">
        <v>725</v>
      </c>
      <c r="C73" s="1212" t="s">
        <v>726</v>
      </c>
      <c r="D73" s="335">
        <v>47506148</v>
      </c>
      <c r="E73" s="335">
        <v>41407394.141307347</v>
      </c>
    </row>
    <row r="74" spans="1:6">
      <c r="A74" s="1212" t="s">
        <v>64</v>
      </c>
      <c r="B74" s="1212" t="s">
        <v>727</v>
      </c>
      <c r="C74" s="1212" t="s">
        <v>728</v>
      </c>
      <c r="D74" s="335">
        <v>5272408.2723992141</v>
      </c>
      <c r="E74" s="335">
        <v>4800868.1938447123</v>
      </c>
    </row>
    <row r="75" spans="1:6">
      <c r="A75" s="1212" t="s">
        <v>65</v>
      </c>
      <c r="B75" s="1212" t="s">
        <v>725</v>
      </c>
      <c r="C75" s="1212" t="s">
        <v>729</v>
      </c>
      <c r="D75" s="335">
        <v>8934039</v>
      </c>
      <c r="E75" s="335">
        <v>7855341.371868005</v>
      </c>
    </row>
    <row r="76" spans="1:6">
      <c r="A76" s="1212" t="s">
        <v>65</v>
      </c>
      <c r="B76" s="1212" t="s">
        <v>727</v>
      </c>
      <c r="C76" s="1212" t="s">
        <v>730</v>
      </c>
      <c r="D76" s="335">
        <v>699980.27239921421</v>
      </c>
      <c r="E76" s="335">
        <v>615629.16735088651</v>
      </c>
    </row>
    <row r="77" spans="1:6">
      <c r="A77" s="1212" t="s">
        <v>66</v>
      </c>
      <c r="B77" s="1212" t="s">
        <v>725</v>
      </c>
      <c r="C77" s="1212" t="s">
        <v>731</v>
      </c>
      <c r="D77" s="335">
        <v>93877096</v>
      </c>
      <c r="E77" s="335">
        <v>113966807.54507591</v>
      </c>
    </row>
    <row r="78" spans="1:6">
      <c r="A78" s="1208" t="s">
        <v>66</v>
      </c>
      <c r="B78" s="1208" t="s">
        <v>727</v>
      </c>
      <c r="C78" s="1208" t="s">
        <v>732</v>
      </c>
      <c r="D78" s="1208">
        <v>22753157</v>
      </c>
      <c r="E78" s="1208">
        <v>27296883.599749487</v>
      </c>
      <c r="F78" s="338"/>
    </row>
    <row r="79" spans="1:6">
      <c r="A79" s="1222"/>
      <c r="B79" s="1222"/>
    </row>
    <row r="80" spans="1:6" ht="15.75" thickBot="1">
      <c r="A80" s="1222"/>
      <c r="B80" s="1222"/>
    </row>
    <row r="81" spans="1:6" ht="20.25" thickBot="1">
      <c r="A81" s="1205" t="s">
        <v>334</v>
      </c>
      <c r="B81" s="1223" t="s">
        <v>395</v>
      </c>
      <c r="C81" s="336" t="s">
        <v>769</v>
      </c>
      <c r="D81" s="336"/>
      <c r="E81" s="336"/>
      <c r="F81" s="340"/>
    </row>
    <row r="82" spans="1:6" ht="16.5" thickTop="1" thickBot="1">
      <c r="A82" s="1209" t="s">
        <v>335</v>
      </c>
      <c r="B82" s="1221">
        <v>2013</v>
      </c>
      <c r="C82" s="1221">
        <v>2020</v>
      </c>
      <c r="D82" s="1210"/>
      <c r="E82" s="1210"/>
      <c r="F82" s="1211"/>
    </row>
    <row r="83" spans="1:6">
      <c r="A83" s="1212" t="s">
        <v>336</v>
      </c>
      <c r="B83" s="335">
        <v>379527.45520157163</v>
      </c>
      <c r="C83" s="335">
        <v>381791.72117529763</v>
      </c>
    </row>
    <row r="84" spans="1:6">
      <c r="A84" s="1208" t="s">
        <v>337</v>
      </c>
      <c r="B84" s="338">
        <v>0</v>
      </c>
      <c r="C84" s="338">
        <v>0</v>
      </c>
      <c r="D84" s="338"/>
      <c r="E84" s="338"/>
      <c r="F84" s="338"/>
    </row>
    <row r="85" spans="1:6">
      <c r="A85" s="1222"/>
      <c r="B85" s="1224"/>
    </row>
    <row r="86" spans="1:6" ht="15.75" thickBot="1">
      <c r="A86" s="339"/>
    </row>
    <row r="87" spans="1:6" ht="20.25" thickBot="1">
      <c r="A87" s="1205" t="s">
        <v>67</v>
      </c>
      <c r="B87" s="336" t="s">
        <v>395</v>
      </c>
      <c r="C87" s="336" t="s">
        <v>838</v>
      </c>
      <c r="D87" s="336"/>
      <c r="E87" s="336"/>
      <c r="F87" s="340"/>
    </row>
    <row r="88" spans="1:6" ht="16.5" thickTop="1" thickBot="1">
      <c r="A88" s="1209" t="s">
        <v>4</v>
      </c>
      <c r="B88" s="1210" t="s">
        <v>170</v>
      </c>
      <c r="C88" s="1210"/>
      <c r="D88" s="1210"/>
      <c r="E88" s="1210"/>
      <c r="F88" s="1211"/>
    </row>
    <row r="89" spans="1:6">
      <c r="A89" s="1212" t="s">
        <v>561</v>
      </c>
      <c r="B89" s="335">
        <v>0</v>
      </c>
    </row>
    <row r="90" spans="1:6">
      <c r="A90" s="1212" t="s">
        <v>562</v>
      </c>
      <c r="B90" s="1225">
        <v>25394.132829872113</v>
      </c>
    </row>
    <row r="91" spans="1:6">
      <c r="A91" s="1212" t="s">
        <v>68</v>
      </c>
      <c r="B91" s="335">
        <v>2331.2659144940553</v>
      </c>
    </row>
    <row r="92" spans="1:6">
      <c r="A92" s="1208" t="s">
        <v>69</v>
      </c>
      <c r="B92" s="338">
        <v>2374.3097064961953</v>
      </c>
      <c r="C92" s="338"/>
      <c r="D92" s="338"/>
      <c r="E92" s="338"/>
      <c r="F92" s="338"/>
    </row>
    <row r="93" spans="1:6">
      <c r="A93" s="339"/>
    </row>
    <row r="94" spans="1:6" ht="15.75" thickBot="1">
      <c r="A94" s="339"/>
    </row>
    <row r="95" spans="1:6" ht="20.25" thickBot="1">
      <c r="A95" s="1205" t="s">
        <v>70</v>
      </c>
      <c r="B95" s="336" t="s">
        <v>395</v>
      </c>
      <c r="C95" s="336" t="s">
        <v>414</v>
      </c>
      <c r="D95" s="336"/>
      <c r="E95" s="336"/>
      <c r="F95" s="340"/>
    </row>
    <row r="96" spans="1:6" ht="16.5" thickTop="1" thickBot="1">
      <c r="A96" s="1209" t="s">
        <v>4</v>
      </c>
      <c r="B96" s="1210" t="s">
        <v>5</v>
      </c>
      <c r="C96" s="1210"/>
      <c r="D96" s="1210"/>
      <c r="E96" s="1210"/>
      <c r="F96" s="1211"/>
    </row>
    <row r="97" spans="1:6">
      <c r="A97" s="1212" t="s">
        <v>71</v>
      </c>
      <c r="B97" s="335">
        <v>2525</v>
      </c>
    </row>
    <row r="98" spans="1:6">
      <c r="A98" s="1212" t="s">
        <v>72</v>
      </c>
      <c r="B98" s="335">
        <v>2</v>
      </c>
    </row>
    <row r="99" spans="1:6">
      <c r="A99" s="1212" t="s">
        <v>73</v>
      </c>
      <c r="B99" s="335">
        <v>56</v>
      </c>
    </row>
    <row r="100" spans="1:6">
      <c r="A100" s="1212" t="s">
        <v>74</v>
      </c>
      <c r="B100" s="335">
        <v>449</v>
      </c>
    </row>
    <row r="101" spans="1:6">
      <c r="A101" s="1212" t="s">
        <v>75</v>
      </c>
      <c r="B101" s="335">
        <v>96</v>
      </c>
    </row>
    <row r="102" spans="1:6">
      <c r="A102" s="1212" t="s">
        <v>76</v>
      </c>
      <c r="B102" s="335">
        <v>58</v>
      </c>
    </row>
    <row r="103" spans="1:6">
      <c r="A103" s="1212" t="s">
        <v>77</v>
      </c>
      <c r="B103" s="335">
        <v>129</v>
      </c>
    </row>
    <row r="104" spans="1:6">
      <c r="A104" s="1212" t="s">
        <v>78</v>
      </c>
      <c r="B104" s="335">
        <v>902</v>
      </c>
    </row>
    <row r="105" spans="1:6">
      <c r="A105" s="1208" t="s">
        <v>79</v>
      </c>
      <c r="B105" s="1208">
        <v>6</v>
      </c>
      <c r="C105" s="338"/>
      <c r="D105" s="338"/>
      <c r="E105" s="338"/>
      <c r="F105" s="338"/>
    </row>
    <row r="106" spans="1:6">
      <c r="A106" s="339"/>
    </row>
    <row r="107" spans="1:6" ht="15.75" thickBot="1">
      <c r="A107" s="339"/>
    </row>
    <row r="108" spans="1:6" ht="20.25" thickBot="1">
      <c r="A108" s="1205" t="s">
        <v>669</v>
      </c>
      <c r="B108" s="336" t="s">
        <v>395</v>
      </c>
      <c r="C108" s="336" t="s">
        <v>679</v>
      </c>
      <c r="D108" s="336"/>
      <c r="E108" s="336"/>
      <c r="F108" s="340"/>
    </row>
    <row r="109" spans="1:6" ht="16.5" thickTop="1" thickBot="1">
      <c r="A109" s="1209" t="s">
        <v>4</v>
      </c>
      <c r="B109" s="1210" t="s">
        <v>5</v>
      </c>
      <c r="C109" s="1210"/>
      <c r="D109" s="1210"/>
      <c r="E109" s="1210"/>
      <c r="F109" s="1211"/>
    </row>
    <row r="110" spans="1:6">
      <c r="A110" s="1212" t="s">
        <v>670</v>
      </c>
      <c r="B110" s="335">
        <v>0</v>
      </c>
    </row>
    <row r="111" spans="1:6">
      <c r="A111" s="1226" t="s">
        <v>671</v>
      </c>
      <c r="B111" s="1227">
        <v>1</v>
      </c>
      <c r="C111" s="1227"/>
      <c r="D111" s="1227"/>
      <c r="E111" s="1227"/>
      <c r="F111" s="1227"/>
    </row>
    <row r="112" spans="1:6">
      <c r="A112" s="1212"/>
    </row>
    <row r="113" spans="1:6" ht="15.75" thickBot="1">
      <c r="A113" s="1208"/>
      <c r="B113" s="338"/>
      <c r="C113" s="338"/>
      <c r="D113" s="338"/>
      <c r="E113" s="338"/>
      <c r="F113" s="338"/>
    </row>
    <row r="114" spans="1:6" ht="20.25" thickBot="1">
      <c r="A114" s="1205" t="s">
        <v>80</v>
      </c>
      <c r="B114" s="336" t="s">
        <v>395</v>
      </c>
      <c r="C114" s="336" t="s">
        <v>839</v>
      </c>
      <c r="D114" s="336"/>
      <c r="E114" s="336"/>
      <c r="F114" s="340"/>
    </row>
    <row r="115" spans="1:6" ht="16.5" thickTop="1" thickBot="1">
      <c r="A115" s="345"/>
      <c r="B115" s="346" t="s">
        <v>81</v>
      </c>
      <c r="C115" s="346" t="s">
        <v>82</v>
      </c>
      <c r="D115" s="346"/>
      <c r="E115" s="346"/>
      <c r="F115" s="347"/>
    </row>
    <row r="116" spans="1:6" ht="16.5" thickTop="1" thickBot="1">
      <c r="A116" s="1209" t="s">
        <v>4</v>
      </c>
      <c r="B116" s="1210" t="s">
        <v>5</v>
      </c>
      <c r="C116" s="1210" t="s">
        <v>5</v>
      </c>
      <c r="D116" s="1210"/>
      <c r="E116" s="1210"/>
      <c r="F116" s="1211"/>
    </row>
    <row r="117" spans="1:6">
      <c r="A117" s="1212" t="s">
        <v>83</v>
      </c>
      <c r="B117" s="335">
        <v>0</v>
      </c>
      <c r="C117" s="335">
        <v>0</v>
      </c>
    </row>
    <row r="118" spans="1:6">
      <c r="A118" s="1212" t="s">
        <v>84</v>
      </c>
      <c r="B118" s="335">
        <v>0</v>
      </c>
      <c r="C118" s="335">
        <v>0</v>
      </c>
    </row>
    <row r="119" spans="1:6">
      <c r="A119" s="1212" t="s">
        <v>32</v>
      </c>
      <c r="B119" s="335">
        <v>0</v>
      </c>
      <c r="C119" s="335">
        <v>0</v>
      </c>
    </row>
    <row r="120" spans="1:6">
      <c r="A120" s="1212" t="s">
        <v>85</v>
      </c>
      <c r="B120" s="335">
        <v>0</v>
      </c>
      <c r="C120" s="335">
        <v>0</v>
      </c>
    </row>
    <row r="121" spans="1:6">
      <c r="A121" s="1212" t="s">
        <v>86</v>
      </c>
      <c r="B121" s="335">
        <v>0</v>
      </c>
      <c r="C121" s="335">
        <v>0</v>
      </c>
    </row>
    <row r="122" spans="1:6">
      <c r="A122" s="1212" t="s">
        <v>87</v>
      </c>
      <c r="B122" s="335">
        <v>0</v>
      </c>
      <c r="C122" s="335">
        <v>0</v>
      </c>
    </row>
    <row r="123" spans="1:6">
      <c r="A123" s="1212" t="s">
        <v>88</v>
      </c>
      <c r="B123" s="335">
        <v>13</v>
      </c>
      <c r="C123" s="335">
        <v>13</v>
      </c>
    </row>
    <row r="124" spans="1:6">
      <c r="A124" s="1208" t="s">
        <v>89</v>
      </c>
      <c r="B124" s="335">
        <v>0</v>
      </c>
      <c r="C124" s="335">
        <v>0</v>
      </c>
      <c r="D124" s="338"/>
      <c r="E124" s="338"/>
      <c r="F124" s="338"/>
    </row>
    <row r="125" spans="1:6">
      <c r="A125" s="1222"/>
    </row>
    <row r="126" spans="1:6" ht="15.75" thickBot="1">
      <c r="A126" s="1222"/>
    </row>
    <row r="127" spans="1:6" ht="20.25" thickBot="1">
      <c r="A127" s="1205" t="s">
        <v>293</v>
      </c>
      <c r="B127" s="336" t="s">
        <v>395</v>
      </c>
      <c r="C127" s="336" t="s">
        <v>679</v>
      </c>
      <c r="D127" s="336"/>
      <c r="E127" s="336"/>
      <c r="F127" s="340"/>
    </row>
    <row r="128" spans="1:6" ht="16.5" thickTop="1" thickBot="1">
      <c r="A128" s="1209" t="s">
        <v>4</v>
      </c>
      <c r="B128" s="1210" t="s">
        <v>5</v>
      </c>
      <c r="C128" s="1210"/>
      <c r="D128" s="1210"/>
      <c r="E128" s="1210"/>
      <c r="F128" s="1211"/>
    </row>
    <row r="129" spans="1:6">
      <c r="A129" s="1212" t="s">
        <v>294</v>
      </c>
      <c r="B129" s="335">
        <v>124</v>
      </c>
    </row>
    <row r="130" spans="1:6">
      <c r="A130" s="1212" t="s">
        <v>295</v>
      </c>
      <c r="B130" s="335">
        <v>1</v>
      </c>
    </row>
    <row r="131" spans="1:6">
      <c r="A131" s="1212" t="s">
        <v>296</v>
      </c>
      <c r="B131" s="335">
        <v>0</v>
      </c>
    </row>
    <row r="132" spans="1:6">
      <c r="A132" s="1208" t="s">
        <v>297</v>
      </c>
      <c r="B132" s="338">
        <v>4</v>
      </c>
      <c r="C132" s="338"/>
      <c r="D132" s="338"/>
      <c r="E132" s="338"/>
      <c r="F132" s="338"/>
    </row>
    <row r="134" spans="1:6">
      <c r="A134" s="122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42386.814831296884</v>
      </c>
      <c r="C3" s="43" t="s">
        <v>170</v>
      </c>
      <c r="D3" s="43"/>
      <c r="E3" s="156"/>
      <c r="F3" s="43"/>
      <c r="G3" s="43"/>
      <c r="H3" s="43"/>
      <c r="I3" s="43"/>
      <c r="J3" s="43"/>
      <c r="K3" s="96"/>
    </row>
    <row r="4" spans="1:11">
      <c r="A4" s="366" t="s">
        <v>171</v>
      </c>
      <c r="B4" s="49">
        <f>IF(ISERROR('SEAP template'!B69),0,'SEAP template'!B69)</f>
        <v>31043.470950862364</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804</v>
      </c>
      <c r="G6" s="43" t="s">
        <v>807</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5.9142896383076203E-2</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769.66071428571422</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07">
        <v>2013</v>
      </c>
      <c r="B1" s="110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09"/>
      <c r="B2" s="111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09"/>
      <c r="B3" s="111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11"/>
      <c r="B4" s="111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13" t="s">
        <v>480</v>
      </c>
      <c r="B2" s="1114"/>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15" t="s">
        <v>194</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1052.6400000000001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1052.6400000000001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5.9142896383076203E-2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62.256178448681339</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15" t="s">
        <v>155</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19537.364000000001</v>
      </c>
      <c r="C5" s="17">
        <f>IF(ISERROR('Eigen informatie GS &amp; warmtenet'!B57),0,'Eigen informatie GS &amp; warmtenet'!B57)</f>
        <v>0</v>
      </c>
      <c r="D5" s="30">
        <f>(SUM(HH_hh_gas_kWh,HH_rest_gas_kWh)/1000)*0.902</f>
        <v>52212.221292000002</v>
      </c>
      <c r="E5" s="17">
        <f>B46*B57</f>
        <v>2572.253235186985</v>
      </c>
      <c r="F5" s="17">
        <f>B51*B62</f>
        <v>0</v>
      </c>
      <c r="G5" s="18"/>
      <c r="H5" s="17"/>
      <c r="I5" s="17"/>
      <c r="J5" s="17">
        <f>B50*B61+C50*C61</f>
        <v>1350.6780750263792</v>
      </c>
      <c r="K5" s="17"/>
      <c r="L5" s="17"/>
      <c r="M5" s="17"/>
      <c r="N5" s="17">
        <f>B48*B59+C48*C59</f>
        <v>16531.18382376487</v>
      </c>
      <c r="O5" s="17">
        <f>B69*B70*B71</f>
        <v>214.17666666666668</v>
      </c>
      <c r="P5" s="17">
        <f>B77*B78*B79/1000-B77*B78*B79/1000/B80</f>
        <v>324.13333333333333</v>
      </c>
    </row>
    <row r="6" spans="1:16">
      <c r="A6" s="16" t="s">
        <v>634</v>
      </c>
      <c r="B6" s="831">
        <f>kWh_PV_kleiner_dan_10kW</f>
        <v>2331.2659144940553</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21868.629914494057</v>
      </c>
      <c r="C8" s="21">
        <f>C5</f>
        <v>0</v>
      </c>
      <c r="D8" s="21">
        <f>D5</f>
        <v>52212.221292000002</v>
      </c>
      <c r="E8" s="21">
        <f>E5</f>
        <v>2572.253235186985</v>
      </c>
      <c r="F8" s="21">
        <f>F5</f>
        <v>0</v>
      </c>
      <c r="G8" s="21"/>
      <c r="H8" s="21"/>
      <c r="I8" s="21"/>
      <c r="J8" s="21">
        <f>J5</f>
        <v>1350.6780750263792</v>
      </c>
      <c r="K8" s="21"/>
      <c r="L8" s="21">
        <f>L5</f>
        <v>0</v>
      </c>
      <c r="M8" s="21">
        <f>M5</f>
        <v>0</v>
      </c>
      <c r="N8" s="21">
        <f>N5</f>
        <v>16531.18382376487</v>
      </c>
      <c r="O8" s="21">
        <f>O5</f>
        <v>214.17666666666668</v>
      </c>
      <c r="P8" s="21">
        <f>P5</f>
        <v>324.13333333333333</v>
      </c>
    </row>
    <row r="9" spans="1:16">
      <c r="B9" s="19"/>
      <c r="C9" s="19"/>
      <c r="D9" s="261"/>
      <c r="E9" s="19"/>
      <c r="F9" s="19"/>
      <c r="G9" s="19"/>
      <c r="H9" s="19"/>
      <c r="I9" s="19"/>
      <c r="J9" s="19"/>
      <c r="K9" s="19"/>
      <c r="L9" s="19"/>
      <c r="M9" s="19"/>
      <c r="N9" s="19"/>
      <c r="O9" s="19"/>
      <c r="P9" s="19"/>
    </row>
    <row r="10" spans="1:16">
      <c r="A10" s="24" t="s">
        <v>214</v>
      </c>
      <c r="B10" s="25">
        <f ca="1">'EF ele_warmte'!B12</f>
        <v>5.9142896383076203E-2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1293.3741130727626</v>
      </c>
      <c r="C12" s="23">
        <f ca="1">C10*C8</f>
        <v>0</v>
      </c>
      <c r="D12" s="23">
        <f>D8*D10</f>
        <v>10546.868700984001</v>
      </c>
      <c r="E12" s="23">
        <f>E10*E8</f>
        <v>583.90148438744563</v>
      </c>
      <c r="F12" s="23">
        <f>F10*F8</f>
        <v>0</v>
      </c>
      <c r="G12" s="23"/>
      <c r="H12" s="23"/>
      <c r="I12" s="23"/>
      <c r="J12" s="23">
        <f>J10*J8</f>
        <v>478.14003855933822</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2525</v>
      </c>
      <c r="C18" s="168" t="s">
        <v>111</v>
      </c>
      <c r="D18" s="230"/>
      <c r="E18" s="15"/>
    </row>
    <row r="19" spans="1:7">
      <c r="A19" s="173" t="s">
        <v>72</v>
      </c>
      <c r="B19" s="37">
        <f>aantalw2001_ander</f>
        <v>2</v>
      </c>
      <c r="C19" s="168" t="s">
        <v>111</v>
      </c>
      <c r="D19" s="231"/>
      <c r="E19" s="15"/>
    </row>
    <row r="20" spans="1:7">
      <c r="A20" s="173" t="s">
        <v>73</v>
      </c>
      <c r="B20" s="37">
        <f>aantalw2001_propaan</f>
        <v>56</v>
      </c>
      <c r="C20" s="169">
        <f>IF(ISERROR(B20/SUM($B$20,$B$21,$B$22)*100),0,B20/SUM($B$20,$B$21,$B$22)*100)</f>
        <v>9.3178036605657244</v>
      </c>
      <c r="D20" s="231"/>
      <c r="E20" s="15"/>
    </row>
    <row r="21" spans="1:7">
      <c r="A21" s="173" t="s">
        <v>74</v>
      </c>
      <c r="B21" s="37">
        <f>aantalw2001_elektriciteit</f>
        <v>449</v>
      </c>
      <c r="C21" s="169">
        <f>IF(ISERROR(B21/SUM($B$20,$B$21,$B$22)*100),0,B21/SUM($B$20,$B$21,$B$22)*100)</f>
        <v>74.708818635607315</v>
      </c>
      <c r="D21" s="231"/>
      <c r="E21" s="15"/>
    </row>
    <row r="22" spans="1:7">
      <c r="A22" s="173" t="s">
        <v>75</v>
      </c>
      <c r="B22" s="37">
        <f>aantalw2001_hout</f>
        <v>96</v>
      </c>
      <c r="C22" s="169">
        <f>IF(ISERROR(B22/SUM($B$20,$B$21,$B$22)*100),0,B22/SUM($B$20,$B$21,$B$22)*100)</f>
        <v>15.973377703826955</v>
      </c>
      <c r="D22" s="231"/>
      <c r="E22" s="15"/>
    </row>
    <row r="23" spans="1:7">
      <c r="A23" s="173" t="s">
        <v>76</v>
      </c>
      <c r="B23" s="37">
        <f>aantalw2001_niet_gespec</f>
        <v>58</v>
      </c>
      <c r="C23" s="168" t="s">
        <v>111</v>
      </c>
      <c r="D23" s="230"/>
      <c r="E23" s="15"/>
    </row>
    <row r="24" spans="1:7">
      <c r="A24" s="173" t="s">
        <v>77</v>
      </c>
      <c r="B24" s="37">
        <f>aantalw2001_steenkool</f>
        <v>129</v>
      </c>
      <c r="C24" s="168" t="s">
        <v>111</v>
      </c>
      <c r="D24" s="231"/>
      <c r="E24" s="15"/>
    </row>
    <row r="25" spans="1:7">
      <c r="A25" s="173" t="s">
        <v>78</v>
      </c>
      <c r="B25" s="37">
        <f>aantalw2001_stookolie</f>
        <v>902</v>
      </c>
      <c r="C25" s="168" t="s">
        <v>111</v>
      </c>
      <c r="D25" s="230"/>
      <c r="E25" s="52"/>
    </row>
    <row r="26" spans="1:7">
      <c r="A26" s="173" t="s">
        <v>79</v>
      </c>
      <c r="B26" s="37">
        <f>aantalw2001_WP</f>
        <v>6</v>
      </c>
      <c r="C26" s="168" t="s">
        <v>111</v>
      </c>
      <c r="D26" s="230"/>
      <c r="E26" s="15"/>
    </row>
    <row r="27" spans="1:7" s="15" customFormat="1">
      <c r="A27" s="173"/>
      <c r="B27" s="29"/>
      <c r="C27" s="36"/>
      <c r="D27" s="230"/>
    </row>
    <row r="28" spans="1:7" s="15" customFormat="1">
      <c r="A28" s="232" t="s">
        <v>745</v>
      </c>
      <c r="B28" s="37">
        <f>aantalHuishoudens2011</f>
        <v>4858</v>
      </c>
      <c r="C28" s="36"/>
      <c r="D28" s="230"/>
    </row>
    <row r="29" spans="1:7" s="15" customFormat="1">
      <c r="A29" s="232" t="s">
        <v>746</v>
      </c>
      <c r="B29" s="37">
        <f>SUM(HH_hh_gas_aantal,HH_rest_gas_aantal)</f>
        <v>3483</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3483</v>
      </c>
      <c r="C32" s="169">
        <f>IF(ISERROR(B32/SUM($B$32,$B$34,$B$35,$B$36,$B$38,$B$39)*100),0,B32/SUM($B$32,$B$34,$B$35,$B$36,$B$38,$B$39)*100)</f>
        <v>71.947944639537283</v>
      </c>
      <c r="D32" s="235"/>
      <c r="G32" s="15"/>
    </row>
    <row r="33" spans="1:7">
      <c r="A33" s="173" t="s">
        <v>72</v>
      </c>
      <c r="B33" s="34" t="s">
        <v>111</v>
      </c>
      <c r="C33" s="169"/>
      <c r="D33" s="235"/>
      <c r="G33" s="15"/>
    </row>
    <row r="34" spans="1:7">
      <c r="A34" s="173" t="s">
        <v>73</v>
      </c>
      <c r="B34" s="33">
        <f>IF((($B$28-$B$32-$B$39-$B$77-$B$38)*C20/100)&lt;0,0,($B$28-$B$32-$B$39-$B$77-$B$38)*C20/100)</f>
        <v>123.44226289517472</v>
      </c>
      <c r="C34" s="169">
        <f>IF(ISERROR(B34/SUM($B$32,$B$34,$B$35,$B$36,$B$38,$B$39)*100),0,B34/SUM($B$32,$B$34,$B$35,$B$36,$B$38,$B$39)*100)</f>
        <v>2.5499331314847082</v>
      </c>
      <c r="D34" s="235"/>
      <c r="G34" s="15"/>
    </row>
    <row r="35" spans="1:7">
      <c r="A35" s="173" t="s">
        <v>74</v>
      </c>
      <c r="B35" s="33">
        <f>IF((($B$28-$B$32-$B$39-$B$77-$B$38)*C21/100)&lt;0,0,($B$28-$B$32-$B$39-$B$77-$B$38)*C21/100)</f>
        <v>989.74242928452577</v>
      </c>
      <c r="C35" s="169">
        <f>IF(ISERROR(B35/SUM($B$32,$B$34,$B$35,$B$36,$B$38,$B$39)*100),0,B35/SUM($B$32,$B$34,$B$35,$B$36,$B$38,$B$39)*100)</f>
        <v>20.444999572082747</v>
      </c>
      <c r="D35" s="235"/>
      <c r="G35" s="15"/>
    </row>
    <row r="36" spans="1:7">
      <c r="A36" s="173" t="s">
        <v>75</v>
      </c>
      <c r="B36" s="33">
        <f>IF((($B$28-$B$32-$B$39-$B$77-$B$38)*C22/100)&lt;0,0,($B$28-$B$32-$B$39-$B$77-$B$38)*C22/100)</f>
        <v>211.61530782029951</v>
      </c>
      <c r="C36" s="169">
        <f>IF(ISERROR(B36/SUM($B$32,$B$34,$B$35,$B$36,$B$38,$B$39)*100),0,B36/SUM($B$32,$B$34,$B$35,$B$36,$B$38,$B$39)*100)</f>
        <v>4.3713139396880702</v>
      </c>
      <c r="D36" s="235"/>
      <c r="G36" s="15"/>
    </row>
    <row r="37" spans="1:7">
      <c r="A37" s="173" t="s">
        <v>76</v>
      </c>
      <c r="B37" s="34" t="s">
        <v>111</v>
      </c>
      <c r="C37" s="169"/>
      <c r="D37" s="175"/>
      <c r="G37" s="15"/>
    </row>
    <row r="38" spans="1:7">
      <c r="A38" s="173" t="s">
        <v>77</v>
      </c>
      <c r="B38" s="33">
        <f>IF((B24-(B29-B18)*0.1)&lt;0,0,B24-(B29-B18)*0.1)</f>
        <v>33.199999999999989</v>
      </c>
      <c r="C38" s="169">
        <f>IF(ISERROR(B38/SUM($B$32,$B$34,$B$35,$B$36,$B$38,$B$39)*100),0,B38/SUM($B$32,$B$34,$B$35,$B$36,$B$38,$B$39)*100)</f>
        <v>0.68580871720718828</v>
      </c>
      <c r="D38" s="236"/>
      <c r="G38" s="15"/>
    </row>
    <row r="39" spans="1:7">
      <c r="A39" s="173" t="s">
        <v>78</v>
      </c>
      <c r="B39" s="33">
        <f>IF((B25-(B29-B18))&lt;0,0,B25-(B29-B18)*0.9)</f>
        <v>0</v>
      </c>
      <c r="C39" s="169">
        <f>IF(ISERROR(B39/SUM($B$32,$B$34,$B$35,$B$36,$B$38,$B$39)*100),0,B39/SUM($B$32,$B$34,$B$35,$B$36,$B$38,$B$39)*100)</f>
        <v>0</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3483</v>
      </c>
      <c r="C44" s="34" t="s">
        <v>111</v>
      </c>
      <c r="D44" s="176"/>
    </row>
    <row r="45" spans="1:7">
      <c r="A45" s="173" t="s">
        <v>72</v>
      </c>
      <c r="B45" s="33" t="str">
        <f t="shared" si="0"/>
        <v>-</v>
      </c>
      <c r="C45" s="34" t="s">
        <v>111</v>
      </c>
      <c r="D45" s="176"/>
    </row>
    <row r="46" spans="1:7">
      <c r="A46" s="173" t="s">
        <v>73</v>
      </c>
      <c r="B46" s="33">
        <f t="shared" si="0"/>
        <v>123.44226289517472</v>
      </c>
      <c r="C46" s="34" t="s">
        <v>111</v>
      </c>
      <c r="D46" s="176"/>
    </row>
    <row r="47" spans="1:7">
      <c r="A47" s="173" t="s">
        <v>74</v>
      </c>
      <c r="B47" s="33">
        <f t="shared" si="0"/>
        <v>989.74242928452577</v>
      </c>
      <c r="C47" s="34" t="s">
        <v>111</v>
      </c>
      <c r="D47" s="176"/>
    </row>
    <row r="48" spans="1:7">
      <c r="A48" s="173" t="s">
        <v>75</v>
      </c>
      <c r="B48" s="33">
        <f t="shared" si="0"/>
        <v>211.61530782029951</v>
      </c>
      <c r="C48" s="33">
        <f>B48*10</f>
        <v>2116.1530782029949</v>
      </c>
      <c r="D48" s="236"/>
    </row>
    <row r="49" spans="1:6">
      <c r="A49" s="173" t="s">
        <v>76</v>
      </c>
      <c r="B49" s="33" t="str">
        <f t="shared" si="0"/>
        <v>-</v>
      </c>
      <c r="C49" s="34" t="s">
        <v>111</v>
      </c>
      <c r="D49" s="236"/>
    </row>
    <row r="50" spans="1:6">
      <c r="A50" s="173" t="s">
        <v>77</v>
      </c>
      <c r="B50" s="33">
        <f t="shared" si="0"/>
        <v>33.199999999999989</v>
      </c>
      <c r="C50" s="33">
        <f>B50*2</f>
        <v>66.399999999999977</v>
      </c>
      <c r="D50" s="236"/>
    </row>
    <row r="51" spans="1:6">
      <c r="A51" s="173" t="s">
        <v>78</v>
      </c>
      <c r="B51" s="33">
        <f t="shared" si="0"/>
        <v>0</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137</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17</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156</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11536.619999999999</v>
      </c>
      <c r="C5" s="17">
        <f>IF(ISERROR('Eigen informatie GS &amp; warmtenet'!B58),0,'Eigen informatie GS &amp; warmtenet'!B58)</f>
        <v>0</v>
      </c>
      <c r="D5" s="30">
        <f>SUM(D6:D12)</f>
        <v>11813.521962000001</v>
      </c>
      <c r="E5" s="17">
        <f>SUM(E6:E12)</f>
        <v>131.35194053171261</v>
      </c>
      <c r="F5" s="17">
        <f>SUM(F6:F12)</f>
        <v>2456.1993387971261</v>
      </c>
      <c r="G5" s="18"/>
      <c r="H5" s="17"/>
      <c r="I5" s="17"/>
      <c r="J5" s="17">
        <f>SUM(J6:J12)</f>
        <v>0</v>
      </c>
      <c r="K5" s="17"/>
      <c r="L5" s="17"/>
      <c r="M5" s="17"/>
      <c r="N5" s="17">
        <f>SUM(N6:N12)</f>
        <v>1970.0971219059084</v>
      </c>
      <c r="O5" s="17">
        <f>B38*B39*B40</f>
        <v>1.5633333333333335</v>
      </c>
      <c r="P5" s="17">
        <f>B46*B47*B48/1000-B46*B47*B48/1000/B49</f>
        <v>0</v>
      </c>
      <c r="R5" s="32"/>
    </row>
    <row r="6" spans="1:18">
      <c r="A6" s="32" t="s">
        <v>54</v>
      </c>
      <c r="B6" s="37">
        <f>B26</f>
        <v>2280.654</v>
      </c>
      <c r="C6" s="33"/>
      <c r="D6" s="37">
        <f>IF(ISERROR(TER_kantoor_gas_kWh/1000),0,TER_kantoor_gas_kWh/1000)*0.902</f>
        <v>3255.24584</v>
      </c>
      <c r="E6" s="33">
        <f>$C$26*'E Balans VL '!I12/100/3.6*1000000</f>
        <v>8.8608236325845464</v>
      </c>
      <c r="F6" s="33">
        <f>$C$26*('E Balans VL '!L12+'E Balans VL '!N12)/100/3.6*1000000</f>
        <v>346.86672110311667</v>
      </c>
      <c r="G6" s="34"/>
      <c r="H6" s="33"/>
      <c r="I6" s="33"/>
      <c r="J6" s="33">
        <f>$C$26*('E Balans VL '!D12+'E Balans VL '!E12)/100/3.6*1000000</f>
        <v>0</v>
      </c>
      <c r="K6" s="33"/>
      <c r="L6" s="33"/>
      <c r="M6" s="33"/>
      <c r="N6" s="33">
        <f>$C$26*'E Balans VL '!Y12/100/3.6*1000000</f>
        <v>1.2569135696207345</v>
      </c>
      <c r="O6" s="33"/>
      <c r="P6" s="33"/>
      <c r="R6" s="32"/>
    </row>
    <row r="7" spans="1:18">
      <c r="A7" s="32" t="s">
        <v>53</v>
      </c>
      <c r="B7" s="37">
        <f t="shared" ref="B7:B12" si="0">B27</f>
        <v>701.82899999999995</v>
      </c>
      <c r="C7" s="33"/>
      <c r="D7" s="37">
        <f>IF(ISERROR(TER_horeca_gas_kWh/1000),0,TER_horeca_gas_kWh/1000)*0.902</f>
        <v>997.66161000000011</v>
      </c>
      <c r="E7" s="33">
        <f>$C$27*'E Balans VL '!I9/100/3.6*1000000</f>
        <v>39.534215207986271</v>
      </c>
      <c r="F7" s="33">
        <f>$C$27*('E Balans VL '!L9+'E Balans VL '!N9)/100/3.6*1000000</f>
        <v>202.36546595551806</v>
      </c>
      <c r="G7" s="34"/>
      <c r="H7" s="33"/>
      <c r="I7" s="33"/>
      <c r="J7" s="33">
        <f>$C$27*('E Balans VL '!D9+'E Balans VL '!E9)/100/3.6*1000000</f>
        <v>0</v>
      </c>
      <c r="K7" s="33"/>
      <c r="L7" s="33"/>
      <c r="M7" s="33"/>
      <c r="N7" s="33">
        <f>$C$27*'E Balans VL '!Y9/100/3.6*1000000</f>
        <v>0.19377133985337661</v>
      </c>
      <c r="O7" s="33"/>
      <c r="P7" s="33"/>
      <c r="R7" s="32"/>
    </row>
    <row r="8" spans="1:18">
      <c r="A8" s="6" t="s">
        <v>52</v>
      </c>
      <c r="B8" s="37">
        <f t="shared" si="0"/>
        <v>4795.25</v>
      </c>
      <c r="C8" s="33"/>
      <c r="D8" s="37">
        <f>IF(ISERROR(TER_handel_gas_kWh/1000),0,TER_handel_gas_kWh/1000)*0.902</f>
        <v>2691.4254840000003</v>
      </c>
      <c r="E8" s="33">
        <f>$C$28*'E Balans VL '!I13/100/3.6*1000000</f>
        <v>69.115821164913555</v>
      </c>
      <c r="F8" s="33">
        <f>$C$28*('E Balans VL '!L13+'E Balans VL '!N13)/100/3.6*1000000</f>
        <v>833.04659883687748</v>
      </c>
      <c r="G8" s="34"/>
      <c r="H8" s="33"/>
      <c r="I8" s="33"/>
      <c r="J8" s="33">
        <f>$C$28*('E Balans VL '!D13+'E Balans VL '!E13)/100/3.6*1000000</f>
        <v>0</v>
      </c>
      <c r="K8" s="33"/>
      <c r="L8" s="33"/>
      <c r="M8" s="33"/>
      <c r="N8" s="33">
        <f>$C$28*'E Balans VL '!Y13/100/3.6*1000000</f>
        <v>14.367102818226735</v>
      </c>
      <c r="O8" s="33"/>
      <c r="P8" s="33"/>
      <c r="R8" s="32"/>
    </row>
    <row r="9" spans="1:18">
      <c r="A9" s="32" t="s">
        <v>51</v>
      </c>
      <c r="B9" s="37">
        <f t="shared" si="0"/>
        <v>543.11199999999997</v>
      </c>
      <c r="C9" s="33"/>
      <c r="D9" s="37">
        <f>IF(ISERROR(TER_gezond_gas_kWh/1000),0,TER_gezond_gas_kWh/1000)*0.902</f>
        <v>1799.5161580000001</v>
      </c>
      <c r="E9" s="33">
        <f>$C$29*'E Balans VL '!I10/100/3.6*1000000</f>
        <v>0.58018438546080542</v>
      </c>
      <c r="F9" s="33">
        <f>$C$29*('E Balans VL '!L10+'E Balans VL '!N10)/100/3.6*1000000</f>
        <v>88.598072993063838</v>
      </c>
      <c r="G9" s="34"/>
      <c r="H9" s="33"/>
      <c r="I9" s="33"/>
      <c r="J9" s="33">
        <f>$C$29*('E Balans VL '!D10+'E Balans VL '!E10)/100/3.6*1000000</f>
        <v>0</v>
      </c>
      <c r="K9" s="33"/>
      <c r="L9" s="33"/>
      <c r="M9" s="33"/>
      <c r="N9" s="33">
        <f>$C$29*'E Balans VL '!Y10/100/3.6*1000000</f>
        <v>5.5910281464752707</v>
      </c>
      <c r="O9" s="33"/>
      <c r="P9" s="33"/>
      <c r="R9" s="32"/>
    </row>
    <row r="10" spans="1:18">
      <c r="A10" s="32" t="s">
        <v>50</v>
      </c>
      <c r="B10" s="37">
        <f t="shared" si="0"/>
        <v>2799.5740000000001</v>
      </c>
      <c r="C10" s="33"/>
      <c r="D10" s="37">
        <f>IF(ISERROR(TER_ander_gas_kWh/1000),0,TER_ander_gas_kWh/1000)*0.902</f>
        <v>2602.4621260000004</v>
      </c>
      <c r="E10" s="33">
        <f>$C$30*'E Balans VL '!I14/100/3.6*1000000</f>
        <v>12.874814979182442</v>
      </c>
      <c r="F10" s="33">
        <f>$C$30*('E Balans VL '!L14+'E Balans VL '!N14)/100/3.6*1000000</f>
        <v>839.12063430079797</v>
      </c>
      <c r="G10" s="34"/>
      <c r="H10" s="33"/>
      <c r="I10" s="33"/>
      <c r="J10" s="33">
        <f>$C$30*('E Balans VL '!D14+'E Balans VL '!E14)/100/3.6*1000000</f>
        <v>0</v>
      </c>
      <c r="K10" s="33"/>
      <c r="L10" s="33"/>
      <c r="M10" s="33"/>
      <c r="N10" s="33">
        <f>$C$30*'E Balans VL '!Y14/100/3.6*1000000</f>
        <v>1948.6883060317323</v>
      </c>
      <c r="O10" s="33"/>
      <c r="P10" s="33"/>
      <c r="R10" s="32"/>
    </row>
    <row r="11" spans="1:18">
      <c r="A11" s="32" t="s">
        <v>55</v>
      </c>
      <c r="B11" s="37">
        <f t="shared" si="0"/>
        <v>416.20100000000002</v>
      </c>
      <c r="C11" s="33"/>
      <c r="D11" s="37">
        <f>IF(ISERROR(TER_onderwijs_gas_kWh/1000),0,TER_onderwijs_gas_kWh/1000)*0.902</f>
        <v>467.21074399999998</v>
      </c>
      <c r="E11" s="33">
        <f>$C$31*'E Balans VL '!I11/100/3.6*1000000</f>
        <v>0.38608116158500538</v>
      </c>
      <c r="F11" s="33">
        <f>$C$31*('E Balans VL '!L11+'E Balans VL '!N11)/100/3.6*1000000</f>
        <v>146.20184560775206</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497</v>
      </c>
      <c r="B13" s="249">
        <f ca="1">'lokale energieproductie'!N90+'lokale energieproductie'!N59</f>
        <v>498.75</v>
      </c>
      <c r="C13" s="249">
        <f ca="1">'lokale energieproductie'!O90+'lokale energieproductie'!O59</f>
        <v>712.5</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-1425</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12035.369999999999</v>
      </c>
      <c r="C16" s="21">
        <f t="shared" ca="1" si="1"/>
        <v>712.5</v>
      </c>
      <c r="D16" s="21">
        <f t="shared" ca="1" si="1"/>
        <v>11813.521962000001</v>
      </c>
      <c r="E16" s="21">
        <f t="shared" si="1"/>
        <v>131.35194053171261</v>
      </c>
      <c r="F16" s="21">
        <f t="shared" ca="1" si="1"/>
        <v>2456.1993387971261</v>
      </c>
      <c r="G16" s="21">
        <f t="shared" si="1"/>
        <v>0</v>
      </c>
      <c r="H16" s="21">
        <f t="shared" si="1"/>
        <v>0</v>
      </c>
      <c r="I16" s="21">
        <f t="shared" si="1"/>
        <v>0</v>
      </c>
      <c r="J16" s="21">
        <f t="shared" si="1"/>
        <v>0</v>
      </c>
      <c r="K16" s="21">
        <f t="shared" si="1"/>
        <v>0</v>
      </c>
      <c r="L16" s="21">
        <f t="shared" ca="1" si="1"/>
        <v>0</v>
      </c>
      <c r="M16" s="21">
        <f t="shared" si="1"/>
        <v>0</v>
      </c>
      <c r="N16" s="21">
        <f t="shared" ca="1" si="1"/>
        <v>545.09712190590835</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5.9142896383076203E-2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711.80664084198384</v>
      </c>
      <c r="C20" s="23">
        <f t="shared" ref="C20:P20" ca="1" si="2">C16*C18</f>
        <v>0</v>
      </c>
      <c r="D20" s="23">
        <f t="shared" ca="1" si="2"/>
        <v>2386.3314363240002</v>
      </c>
      <c r="E20" s="23">
        <f t="shared" si="2"/>
        <v>29.816890500698765</v>
      </c>
      <c r="F20" s="23">
        <f t="shared" ca="1" si="2"/>
        <v>655.80522345883264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2280.654</v>
      </c>
      <c r="C26" s="39">
        <f>IF(ISERROR(B26*3.6/1000000/'E Balans VL '!Z12*100),0,B26*3.6/1000000/'E Balans VL '!Z12*100)</f>
        <v>4.8442220649134018E-2</v>
      </c>
      <c r="D26" s="239" t="s">
        <v>692</v>
      </c>
      <c r="F26" s="6"/>
    </row>
    <row r="27" spans="1:18">
      <c r="A27" s="233" t="s">
        <v>53</v>
      </c>
      <c r="B27" s="33">
        <f>IF(ISERROR(TER_horeca_ele_kWh/1000),0,TER_horeca_ele_kWh/1000)</f>
        <v>701.82899999999995</v>
      </c>
      <c r="C27" s="39">
        <f>IF(ISERROR(B27*3.6/1000000/'E Balans VL '!Z9*100),0,B27*3.6/1000000/'E Balans VL '!Z9*100)</f>
        <v>5.457147894356025E-2</v>
      </c>
      <c r="D27" s="239" t="s">
        <v>692</v>
      </c>
      <c r="F27" s="6"/>
    </row>
    <row r="28" spans="1:18">
      <c r="A28" s="173" t="s">
        <v>52</v>
      </c>
      <c r="B28" s="33">
        <f>IF(ISERROR(TER_handel_ele_kWh/1000),0,TER_handel_ele_kWh/1000)</f>
        <v>4795.25</v>
      </c>
      <c r="C28" s="39">
        <f>IF(ISERROR(B28*3.6/1000000/'E Balans VL '!Z13*100),0,B28*3.6/1000000/'E Balans VL '!Z13*100)</f>
        <v>0.13719774594470754</v>
      </c>
      <c r="D28" s="239" t="s">
        <v>692</v>
      </c>
      <c r="F28" s="6"/>
    </row>
    <row r="29" spans="1:18">
      <c r="A29" s="233" t="s">
        <v>51</v>
      </c>
      <c r="B29" s="33">
        <f>IF(ISERROR(TER_gezond_ele_kWh/1000),0,TER_gezond_ele_kWh/1000)</f>
        <v>543.11199999999997</v>
      </c>
      <c r="C29" s="39">
        <f>IF(ISERROR(B29*3.6/1000000/'E Balans VL '!Z10*100),0,B29*3.6/1000000/'E Balans VL '!Z10*100)</f>
        <v>5.9211828409291269E-2</v>
      </c>
      <c r="D29" s="239" t="s">
        <v>692</v>
      </c>
      <c r="F29" s="6"/>
    </row>
    <row r="30" spans="1:18">
      <c r="A30" s="233" t="s">
        <v>50</v>
      </c>
      <c r="B30" s="33">
        <f>IF(ISERROR(TER_ander_ele_kWh/1000),0,TER_ander_ele_kWh/1000)</f>
        <v>2799.5740000000001</v>
      </c>
      <c r="C30" s="39">
        <f>IF(ISERROR(B30*3.6/1000000/'E Balans VL '!Z14*100),0,B30*3.6/1000000/'E Balans VL '!Z14*100)</f>
        <v>0.20486647463692681</v>
      </c>
      <c r="D30" s="239" t="s">
        <v>692</v>
      </c>
      <c r="F30" s="6"/>
    </row>
    <row r="31" spans="1:18">
      <c r="A31" s="233" t="s">
        <v>55</v>
      </c>
      <c r="B31" s="33">
        <f>IF(ISERROR(TER_onderwijs_ele_kWh/1000),0,TER_onderwijs_ele_kWh/1000)</f>
        <v>416.20100000000002</v>
      </c>
      <c r="C31" s="39">
        <f>IF(ISERROR(B31*3.6/1000000/'E Balans VL '!Z11*100),0,B31*3.6/1000000/'E Balans VL '!Z11*100)</f>
        <v>8.3594279912340239E-2</v>
      </c>
      <c r="D31" s="239" t="s">
        <v>692</v>
      </c>
    </row>
    <row r="32" spans="1:18">
      <c r="A32" s="233" t="s">
        <v>260</v>
      </c>
      <c r="B32" s="33">
        <f>IF(ISERROR(TER_rest_ele_kWh/1000),0,TER_rest_ele_kWh/1000)</f>
        <v>0</v>
      </c>
      <c r="C32" s="39">
        <f>IF(ISERROR(B32*3.6/1000000/'E Balans VL '!Z8*100),0,B32*3.6/1000000/'E Balans VL '!Z8*100)</f>
        <v>0</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1</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0</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O18" sqref="O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163</v>
      </c>
      <c r="B1" s="1116" t="s">
        <v>195</v>
      </c>
      <c r="C1" s="1117"/>
      <c r="D1" s="1117"/>
      <c r="E1" s="1117"/>
      <c r="F1" s="1117"/>
      <c r="G1" s="1117"/>
      <c r="H1" s="1117"/>
      <c r="I1" s="1117"/>
      <c r="J1" s="1117"/>
      <c r="K1" s="1117"/>
      <c r="L1" s="1117"/>
      <c r="M1" s="1117"/>
      <c r="N1" s="1117"/>
      <c r="O1" s="1117"/>
      <c r="P1" s="1117"/>
      <c r="R1" s="811"/>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c r="R2" s="811"/>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4860.4399999999996</v>
      </c>
      <c r="C5" s="17">
        <f>IF(ISERROR('Eigen informatie GS &amp; warmtenet'!B59),0,'Eigen informatie GS &amp; warmtenet'!B59)</f>
        <v>0</v>
      </c>
      <c r="D5" s="30">
        <f>SUM(D6:D15)</f>
        <v>5717.161032</v>
      </c>
      <c r="E5" s="17">
        <f>SUM(E6:E15)</f>
        <v>764.83440082136735</v>
      </c>
      <c r="F5" s="17">
        <f>SUM(F6:F15)</f>
        <v>2711.0252792645506</v>
      </c>
      <c r="G5" s="18"/>
      <c r="H5" s="17"/>
      <c r="I5" s="17"/>
      <c r="J5" s="17">
        <f>SUM(J6:J15)</f>
        <v>5.6579246102951934</v>
      </c>
      <c r="K5" s="17"/>
      <c r="L5" s="17"/>
      <c r="M5" s="17"/>
      <c r="N5" s="17">
        <f>SUM(N6:N15)</f>
        <v>1541.184473203896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447.46800000000002</v>
      </c>
      <c r="C8" s="33"/>
      <c r="D8" s="37">
        <f>IF( ISERROR(IND_metaal_Gas_kWH/1000),0,IND_metaal_Gas_kWH/1000)*0.902</f>
        <v>519.11362800000006</v>
      </c>
      <c r="E8" s="33">
        <f>C30*'E Balans VL '!I18/100/3.6*1000000</f>
        <v>12.852960548822466</v>
      </c>
      <c r="F8" s="33">
        <f>C30*'E Balans VL '!L18/100/3.6*1000000+C30*'E Balans VL '!N18/100/3.6*1000000</f>
        <v>114.76693595357403</v>
      </c>
      <c r="G8" s="34"/>
      <c r="H8" s="33"/>
      <c r="I8" s="33"/>
      <c r="J8" s="40">
        <f>C30*'E Balans VL '!D18/100/3.6*1000000+C30*'E Balans VL '!E18/100/3.6*1000000</f>
        <v>0</v>
      </c>
      <c r="K8" s="33"/>
      <c r="L8" s="33"/>
      <c r="M8" s="33"/>
      <c r="N8" s="33">
        <f>C30*'E Balans VL '!Y18/100/3.6*1000000</f>
        <v>12.149669611598075</v>
      </c>
      <c r="O8" s="33"/>
      <c r="P8" s="33"/>
      <c r="R8" s="32"/>
    </row>
    <row r="9" spans="1:18">
      <c r="A9" s="6" t="s">
        <v>33</v>
      </c>
      <c r="B9" s="37">
        <f t="shared" si="0"/>
        <v>2535.915</v>
      </c>
      <c r="C9" s="33"/>
      <c r="D9" s="37">
        <f>IF( ISERROR(IND_andere_gas_kWh/1000),0,IND_andere_gas_kWh/1000)*0.902</f>
        <v>4067.4526420000002</v>
      </c>
      <c r="E9" s="33">
        <f>C31*'E Balans VL '!I19/100/3.6*1000000</f>
        <v>686.40983985532773</v>
      </c>
      <c r="F9" s="33">
        <f>C31*'E Balans VL '!L19/100/3.6*1000000+C31*'E Balans VL '!N19/100/3.6*1000000</f>
        <v>1689.1877458639233</v>
      </c>
      <c r="G9" s="34"/>
      <c r="H9" s="33"/>
      <c r="I9" s="33"/>
      <c r="J9" s="40">
        <f>C31*'E Balans VL '!D19/100/3.6*1000000+C31*'E Balans VL '!E19/100/3.6*1000000</f>
        <v>0</v>
      </c>
      <c r="K9" s="33"/>
      <c r="L9" s="33"/>
      <c r="M9" s="33"/>
      <c r="N9" s="33">
        <f>C31*'E Balans VL '!Y19/100/3.6*1000000</f>
        <v>827.93412234547293</v>
      </c>
      <c r="O9" s="33"/>
      <c r="P9" s="33"/>
      <c r="R9" s="32"/>
    </row>
    <row r="10" spans="1:18">
      <c r="A10" s="6" t="s">
        <v>41</v>
      </c>
      <c r="B10" s="37">
        <f t="shared" si="0"/>
        <v>314.16500000000002</v>
      </c>
      <c r="C10" s="33"/>
      <c r="D10" s="37">
        <f>IF( ISERROR(IND_voed_gas_kWh/1000),0,IND_voed_gas_kWh/1000)*0.902</f>
        <v>332.33919400000002</v>
      </c>
      <c r="E10" s="33">
        <f>C32*'E Balans VL '!I20/100/3.6*1000000</f>
        <v>25.624019175305929</v>
      </c>
      <c r="F10" s="33">
        <f>C32*'E Balans VL '!L20/100/3.6*1000000+C32*'E Balans VL '!N20/100/3.6*1000000</f>
        <v>468.44851854631759</v>
      </c>
      <c r="G10" s="34"/>
      <c r="H10" s="33"/>
      <c r="I10" s="33"/>
      <c r="J10" s="40">
        <f>C32*'E Balans VL '!D20/100/3.6*1000000+C32*'E Balans VL '!E20/100/3.6*1000000</f>
        <v>4.156021604847686E-3</v>
      </c>
      <c r="K10" s="33"/>
      <c r="L10" s="33"/>
      <c r="M10" s="33"/>
      <c r="N10" s="33">
        <f>C32*'E Balans VL '!Y20/100/3.6*1000000</f>
        <v>92.290591312495962</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764.40099999999995</v>
      </c>
      <c r="C12" s="33"/>
      <c r="D12" s="37">
        <f>IF( ISERROR(IND_min_gas_kWh/1000),0,IND_min_gas_kWh/1000)*0.902</f>
        <v>555.989192</v>
      </c>
      <c r="E12" s="33">
        <f>C34*'E Balans VL '!I22/100/3.6*1000000</f>
        <v>5.9545172341116412</v>
      </c>
      <c r="F12" s="33">
        <f>C34*'E Balans VL '!L22/100/3.6*1000000+C34*'E Balans VL '!N22/100/3.6*1000000</f>
        <v>288.28508332386235</v>
      </c>
      <c r="G12" s="34"/>
      <c r="H12" s="33"/>
      <c r="I12" s="33"/>
      <c r="J12" s="40">
        <f>C34*'E Balans VL '!D22/100/3.6*1000000+C34*'E Balans VL '!E22/100/3.6*1000000</f>
        <v>4.2041386661828355</v>
      </c>
      <c r="K12" s="33"/>
      <c r="L12" s="33"/>
      <c r="M12" s="33"/>
      <c r="N12" s="33">
        <f>C34*'E Balans VL '!Y22/100/3.6*1000000</f>
        <v>0</v>
      </c>
      <c r="O12" s="33"/>
      <c r="P12" s="33"/>
      <c r="R12" s="32"/>
    </row>
    <row r="13" spans="1:18">
      <c r="A13" s="6" t="s">
        <v>39</v>
      </c>
      <c r="B13" s="37">
        <f t="shared" si="0"/>
        <v>232.90600000000001</v>
      </c>
      <c r="C13" s="33"/>
      <c r="D13" s="37">
        <f>IF( ISERROR(IND_papier_gas_kWh/1000),0,IND_papier_gas_kWh/1000)*0.902</f>
        <v>242.26637600000004</v>
      </c>
      <c r="E13" s="33">
        <f>C35*'E Balans VL '!I23/100/3.6*1000000</f>
        <v>2.4401146529499602</v>
      </c>
      <c r="F13" s="33">
        <f>C35*'E Balans VL '!L23/100/3.6*1000000+C35*'E Balans VL '!N23/100/3.6*1000000</f>
        <v>17.379487001664565</v>
      </c>
      <c r="G13" s="34"/>
      <c r="H13" s="33"/>
      <c r="I13" s="33"/>
      <c r="J13" s="40">
        <f>C35*'E Balans VL '!D23/100/3.6*1000000+C35*'E Balans VL '!E23/100/3.6*1000000</f>
        <v>0</v>
      </c>
      <c r="K13" s="33"/>
      <c r="L13" s="33"/>
      <c r="M13" s="33"/>
      <c r="N13" s="33">
        <f>C35*'E Balans VL '!Y23/100/3.6*1000000</f>
        <v>497.81226501035366</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565.58500000000004</v>
      </c>
      <c r="C15" s="33"/>
      <c r="D15" s="37">
        <f>IF( ISERROR(IND_rest_gas_kWh/1000),0,IND_rest_gas_kWh/1000)*0.902</f>
        <v>0</v>
      </c>
      <c r="E15" s="33">
        <f>C37*'E Balans VL '!I15/100/3.6*1000000</f>
        <v>31.552949354849588</v>
      </c>
      <c r="F15" s="33">
        <f>C37*'E Balans VL '!L15/100/3.6*1000000+C37*'E Balans VL '!N15/100/3.6*1000000</f>
        <v>132.95750857520918</v>
      </c>
      <c r="G15" s="34"/>
      <c r="H15" s="33"/>
      <c r="I15" s="33"/>
      <c r="J15" s="40">
        <f>C37*'E Balans VL '!D15/100/3.6*1000000+C37*'E Balans VL '!E15/100/3.6*1000000</f>
        <v>1.4496299225075107</v>
      </c>
      <c r="K15" s="33"/>
      <c r="L15" s="33"/>
      <c r="M15" s="33"/>
      <c r="N15" s="33">
        <f>C37*'E Balans VL '!Y15/100/3.6*1000000</f>
        <v>110.99782492397549</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4860.4399999999996</v>
      </c>
      <c r="C18" s="21">
        <f>C5+C16</f>
        <v>0</v>
      </c>
      <c r="D18" s="21">
        <f>MAX((D5+D16),0)</f>
        <v>5717.161032</v>
      </c>
      <c r="E18" s="21">
        <f>MAX((E5+E16),0)</f>
        <v>764.83440082136735</v>
      </c>
      <c r="F18" s="21">
        <f>MAX((F5+F16),0)</f>
        <v>2711.0252792645506</v>
      </c>
      <c r="G18" s="21"/>
      <c r="H18" s="21"/>
      <c r="I18" s="21"/>
      <c r="J18" s="21">
        <f>MAX((J5+J16),0)</f>
        <v>5.6579246102951934</v>
      </c>
      <c r="K18" s="21"/>
      <c r="L18" s="21">
        <f>MAX((L5+L16),0)</f>
        <v>0</v>
      </c>
      <c r="M18" s="21"/>
      <c r="N18" s="21">
        <f>MAX((N5+N16),0)</f>
        <v>1541.184473203896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5.9142896383076203E-2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287.4604992961589</v>
      </c>
      <c r="C22" s="23">
        <f ca="1">C18*C20</f>
        <v>0</v>
      </c>
      <c r="D22" s="23">
        <f>D18*D20</f>
        <v>1154.8665284640001</v>
      </c>
      <c r="E22" s="23">
        <f>E18*E20</f>
        <v>173.61740898645039</v>
      </c>
      <c r="F22" s="23">
        <f>F18*F20</f>
        <v>723.84374956363501</v>
      </c>
      <c r="G22" s="23"/>
      <c r="H22" s="23"/>
      <c r="I22" s="23"/>
      <c r="J22" s="23">
        <f>J18*J20</f>
        <v>2.0029053120444984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447.46800000000002</v>
      </c>
      <c r="C30" s="39">
        <f>IF(ISERROR(B30*3.6/1000000/'E Balans VL '!Z18*100),0,B30*3.6/1000000/'E Balans VL '!Z18*100)</f>
        <v>4.4029708935875753E-2</v>
      </c>
      <c r="D30" s="239" t="s">
        <v>692</v>
      </c>
    </row>
    <row r="31" spans="1:18">
      <c r="A31" s="6" t="s">
        <v>33</v>
      </c>
      <c r="B31" s="37">
        <f>IF( ISERROR(IND_ander_ele_kWh/1000),0,IND_ander_ele_kWh/1000)</f>
        <v>2535.915</v>
      </c>
      <c r="C31" s="39">
        <f>IF(ISERROR(B31*3.6/1000000/'E Balans VL '!Z19*100),0,B31*3.6/1000000/'E Balans VL '!Z19*100)</f>
        <v>0.11043707537053116</v>
      </c>
      <c r="D31" s="239" t="s">
        <v>692</v>
      </c>
    </row>
    <row r="32" spans="1:18">
      <c r="A32" s="173" t="s">
        <v>41</v>
      </c>
      <c r="B32" s="37">
        <f>IF( ISERROR(IND_voed_ele_kWh/1000),0,IND_voed_ele_kWh/1000)</f>
        <v>314.16500000000002</v>
      </c>
      <c r="C32" s="39">
        <f>IF(ISERROR(B32*3.6/1000000/'E Balans VL '!Z20*100),0,B32*3.6/1000000/'E Balans VL '!Z20*100)</f>
        <v>5.9608277997813063E-2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764.40099999999995</v>
      </c>
      <c r="C34" s="39">
        <f>IF(ISERROR(B34*3.6/1000000/'E Balans VL '!Z22*100),0,B34*3.6/1000000/'E Balans VL '!Z22*100)</f>
        <v>0.10748245647558777</v>
      </c>
      <c r="D34" s="239" t="s">
        <v>692</v>
      </c>
    </row>
    <row r="35" spans="1:5">
      <c r="A35" s="173" t="s">
        <v>39</v>
      </c>
      <c r="B35" s="37">
        <f>IF( ISERROR(IND_papier_ele_kWh/1000),0,IND_papier_ele_kWh/1000)</f>
        <v>232.90600000000001</v>
      </c>
      <c r="C35" s="39">
        <f>IF(ISERROR(B35*3.6/1000000/'E Balans VL '!Z22*100),0,B35*3.6/1000000/'E Balans VL '!Z22*100)</f>
        <v>3.274892236915343E-2</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565.58500000000004</v>
      </c>
      <c r="C37" s="39">
        <f>IF(ISERROR(B37*3.6/1000000/'E Balans VL '!Z15*100),0,B37*3.6/1000000/'E Balans VL '!Z15*100)</f>
        <v>4.358527106573703E-3</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271</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2561.527</v>
      </c>
      <c r="C5" s="17">
        <f>'Eigen informatie GS &amp; warmtenet'!B60</f>
        <v>0</v>
      </c>
      <c r="D5" s="30">
        <f>IF(ISERROR(SUM(LB_lb_gas_kWh,LB_rest_gas_kWh,onbekend_gas_kWh)/1000),0,SUM(LB_lb_gas_kWh,LB_rest_gas_kWh,onbekend_gas_kWh)/1000)*0.902</f>
        <v>1484.6018000000001</v>
      </c>
      <c r="E5" s="17">
        <f>B17*'E Balans VL '!I25/3.6*1000000/100</f>
        <v>32.278540117717178</v>
      </c>
      <c r="F5" s="17">
        <f>B17*('E Balans VL '!L25/3.6*1000000+'E Balans VL '!N25/3.6*1000000)/100</f>
        <v>8837.9098508566985</v>
      </c>
      <c r="G5" s="18"/>
      <c r="H5" s="17"/>
      <c r="I5" s="17"/>
      <c r="J5" s="17">
        <f>('E Balans VL '!D25+'E Balans VL '!E25)/3.6*1000000*landbouw!B17/100</f>
        <v>385.22454238874838</v>
      </c>
      <c r="K5" s="17"/>
      <c r="L5" s="17">
        <f>L6*(-1)</f>
        <v>1012.5</v>
      </c>
      <c r="M5" s="17"/>
      <c r="N5" s="17">
        <f>N6*(-1)</f>
        <v>114.32142857142857</v>
      </c>
      <c r="O5" s="17"/>
      <c r="P5" s="17"/>
      <c r="R5" s="32"/>
    </row>
    <row r="6" spans="1:18">
      <c r="A6" s="16" t="s">
        <v>497</v>
      </c>
      <c r="B6" s="17" t="s">
        <v>211</v>
      </c>
      <c r="C6" s="17">
        <f>'lokale energieproductie'!O91+'lokale energieproductie'!O60</f>
        <v>57.160714285714278</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-1012.5</v>
      </c>
      <c r="M6" s="250"/>
      <c r="N6" s="312">
        <f>('lokale energieproductie'!V60+'lokale energieproductie'!R60+'lokale energieproductie'!Q60+'lokale energieproductie'!Q91+'lokale energieproductie'!R91+'lokale energieproductie'!V91)*(-1)</f>
        <v>-114.32142857142857</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2561.527</v>
      </c>
      <c r="C8" s="21">
        <f>C5+C6</f>
        <v>57.160714285714278</v>
      </c>
      <c r="D8" s="21">
        <f>MAX((D5+D6),0)</f>
        <v>1484.6018000000001</v>
      </c>
      <c r="E8" s="21">
        <f>MAX((E5+E6),0)</f>
        <v>32.278540117717178</v>
      </c>
      <c r="F8" s="21">
        <f>MAX((F5+F6),0)</f>
        <v>8837.9098508566985</v>
      </c>
      <c r="G8" s="21"/>
      <c r="H8" s="21"/>
      <c r="I8" s="21"/>
      <c r="J8" s="21">
        <f>MAX((J5+J6),0)</f>
        <v>385.22454238874838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5.9142896383076203E-2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151.49612594345203</v>
      </c>
      <c r="C12" s="23">
        <f ca="1">C8*C10</f>
        <v>0</v>
      </c>
      <c r="D12" s="23">
        <f>D8*D10</f>
        <v>299.88956360000003</v>
      </c>
      <c r="E12" s="23">
        <f>E8*E10</f>
        <v>7.3272286067217998</v>
      </c>
      <c r="F12" s="23">
        <f>F8*F10</f>
        <v>2359.7219301787386</v>
      </c>
      <c r="G12" s="23"/>
      <c r="H12" s="23"/>
      <c r="I12" s="23"/>
      <c r="J12" s="23">
        <f>J8*J10</f>
        <v>136.36948800561692</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0.35725228185530744</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23" t="s">
        <v>303</v>
      </c>
      <c r="B22" s="1126" t="s">
        <v>304</v>
      </c>
      <c r="C22" s="1126" t="s">
        <v>502</v>
      </c>
    </row>
    <row r="23" spans="1:4">
      <c r="A23" s="1124"/>
      <c r="B23" s="1127"/>
      <c r="C23" s="1127"/>
    </row>
    <row r="24" spans="1:4" ht="15.75" thickBot="1">
      <c r="A24" s="1125"/>
      <c r="B24" s="1128"/>
      <c r="C24" s="1128"/>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494.20646019060598</v>
      </c>
      <c r="C26" s="249">
        <f>B26*'GWP N2O_CH4'!B5</f>
        <v>10378.335664002725</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201.88553718392836</v>
      </c>
      <c r="C27" s="249">
        <f>B27*'GWP N2O_CH4'!B5</f>
        <v>4239.5962808624954</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6.6130800084425978</v>
      </c>
      <c r="C28" s="249">
        <f>B28*'GWP N2O_CH4'!B4</f>
        <v>2050.0548026172055</v>
      </c>
      <c r="D28" s="50"/>
    </row>
    <row r="29" spans="1:4">
      <c r="A29" s="41" t="s">
        <v>277</v>
      </c>
      <c r="B29" s="249">
        <f>B34*'ha_N2O bodem landbouw'!B4</f>
        <v>18.787192587009951</v>
      </c>
      <c r="C29" s="249">
        <f>B29*'GWP N2O_CH4'!B4</f>
        <v>5824.0297019730851</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4.6909742621085585E-3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M14" sqref="M1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15" t="s">
        <v>506</v>
      </c>
      <c r="B1" s="1116" t="s">
        <v>559</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2.9548500490195615E-5</v>
      </c>
      <c r="C5" s="448" t="s">
        <v>211</v>
      </c>
      <c r="D5" s="433">
        <f>SUM(D6:D11)</f>
        <v>4.4943756147097789E-5</v>
      </c>
      <c r="E5" s="433">
        <f>SUM(E6:E11)</f>
        <v>1.6139141841602007E-3</v>
      </c>
      <c r="F5" s="446" t="s">
        <v>211</v>
      </c>
      <c r="G5" s="433">
        <f>SUM(G6:G11)</f>
        <v>0.53378535715202624</v>
      </c>
      <c r="H5" s="433">
        <f>SUM(H6:H11)</f>
        <v>6.9784969857355106E-2</v>
      </c>
      <c r="I5" s="448" t="s">
        <v>211</v>
      </c>
      <c r="J5" s="448" t="s">
        <v>211</v>
      </c>
      <c r="K5" s="448" t="s">
        <v>211</v>
      </c>
      <c r="L5" s="448" t="s">
        <v>211</v>
      </c>
      <c r="M5" s="433">
        <f>SUM(M6:M11)</f>
        <v>2.7067228160623385E-2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9.3384833031162855E-6</v>
      </c>
      <c r="C6" s="949"/>
      <c r="D6" s="949">
        <f>vkm_2011_GW_PW*SUMIFS(TableVerdeelsleutelVkm[CNG],TableVerdeelsleutelVkm[Voertuigtype],"Lichte voertuigen")*SUMIFS(TableECFTransport[EnergieConsumptieFactor (PJ per km)],TableECFTransport[Index],CONCATENATE($A6,"_CNG_CNG"))</f>
        <v>1.3225118783515076E-5</v>
      </c>
      <c r="E6" s="949">
        <f>vkm_2011_GW_PW*SUMIFS(TableVerdeelsleutelVkm[LPG],TableVerdeelsleutelVkm[Voertuigtype],"Lichte voertuigen")*SUMIFS(TableECFTransport[EnergieConsumptieFactor (PJ per km)],TableECFTransport[Index],CONCATENATE($A6,"_LPG_LPG"))</f>
        <v>4.1535744274975471E-4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7.4651105795925377E-2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2.005943126400864E-2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4.2264039043593011E-3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4.9770207377405791E-2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1.773240137748197E-5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2.2459223844480142E-3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1.7562016190175999E-6</v>
      </c>
      <c r="C8" s="949"/>
      <c r="D8" s="436">
        <f>vkm_2011_NGW_PW*SUMIFS(TableVerdeelsleutelVkm[CNG],TableVerdeelsleutelVkm[Voertuigtype],"Lichte voertuigen")*SUMIFS(TableECFTransport[EnergieConsumptieFactor (PJ per km)],TableECFTransport[Index],CONCATENATE($A8,"_CNG_CNG"))</f>
        <v>4.4308555450274822E-6</v>
      </c>
      <c r="E8" s="436">
        <f>vkm_2011_NGW_PW*SUMIFS(TableVerdeelsleutelVkm[LPG],TableVerdeelsleutelVkm[Voertuigtype],"Lichte voertuigen")*SUMIFS(TableECFTransport[EnergieConsumptieFactor (PJ per km)],TableECFTransport[Index],CONCATENATE($A8,"_LPG_LPG"))</f>
        <v>1.281746881855839E-4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2.1726852556971609E-2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6.4846966865000893E-3</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1.25775470835104E-3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8.4289318326655118E-3</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2.8418120149066274E-6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3.8035571826649861E-4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1.8453815568061728E-5</v>
      </c>
      <c r="C10" s="949"/>
      <c r="D10" s="436">
        <f>vkm_2011_SW_PW*SUMIFS(TableVerdeelsleutelVkm[CNG],TableVerdeelsleutelVkm[Voertuigtype],"Lichte voertuigen")*SUMIFS(TableECFTransport[EnergieConsumptieFactor (PJ per km)],TableECFTransport[Index],CONCATENATE($A10,"_CNG_CNG"))</f>
        <v>2.7287781818555233E-5</v>
      </c>
      <c r="E10" s="436">
        <f>vkm_2011_SW_PW*SUMIFS(TableVerdeelsleutelVkm[LPG],TableVerdeelsleutelVkm[Voertuigtype],"Lichte voertuigen")*SUMIFS(TableECFTransport[EnergieConsumptieFactor (PJ per km)],TableECFTransport[Index],CONCATENATE($A10,"_LPG_LPG"))</f>
        <v>1.0703820532248619E-3</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0.17422673096116142</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4.3141510132749854E-2</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9.7065827629855637E-3</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0.20498152862789654</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7.8757560704135985E-5</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9.250208682212966E-3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8.2079168028321163</v>
      </c>
      <c r="C14" s="21"/>
      <c r="D14" s="21">
        <f t="shared" ref="D14:M14" si="0">((D5)*10^9/3600)+D12</f>
        <v>12.484376707527163</v>
      </c>
      <c r="E14" s="21">
        <f t="shared" si="0"/>
        <v>448.30949560005575</v>
      </c>
      <c r="F14" s="21"/>
      <c r="G14" s="21">
        <f t="shared" si="0"/>
        <v>148273.71032000729</v>
      </c>
      <c r="H14" s="21">
        <f t="shared" si="0"/>
        <v>19384.713849265307</v>
      </c>
      <c r="I14" s="21"/>
      <c r="J14" s="21"/>
      <c r="K14" s="21"/>
      <c r="L14" s="21"/>
      <c r="M14" s="21">
        <f t="shared" si="0"/>
        <v>7518.6744890620521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5.9142896383076203E-2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0.48543997299080999</v>
      </c>
      <c r="C18" s="23"/>
      <c r="D18" s="23">
        <f t="shared" ref="D18:M18" si="1">D14*D16</f>
        <v>2.5218440949204872</v>
      </c>
      <c r="E18" s="23">
        <f t="shared" si="1"/>
        <v>101.76625550121265</v>
      </c>
      <c r="F18" s="23"/>
      <c r="G18" s="23">
        <f t="shared" si="1"/>
        <v>39589.080655441947</v>
      </c>
      <c r="H18" s="23">
        <f t="shared" si="1"/>
        <v>4826.7937484670611</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6.1100000000000002E-2</v>
      </c>
      <c r="D41" s="284"/>
      <c r="E41" s="333" t="s">
        <v>793</v>
      </c>
      <c r="F41" s="58"/>
      <c r="G41" s="58"/>
      <c r="H41" s="58"/>
      <c r="I41" s="58"/>
      <c r="J41" s="58"/>
      <c r="K41" s="58"/>
      <c r="L41" s="286"/>
    </row>
    <row r="42" spans="1:16">
      <c r="A42" s="280" t="s">
        <v>324</v>
      </c>
      <c r="B42" s="283"/>
      <c r="C42" s="285">
        <v>4.105733596957542E-2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29" t="s">
        <v>507</v>
      </c>
      <c r="B46" s="1130" t="s">
        <v>558</v>
      </c>
      <c r="C46" s="1131"/>
      <c r="D46" s="1131"/>
      <c r="E46" s="1131"/>
      <c r="F46" s="1131"/>
      <c r="G46" s="1131"/>
      <c r="H46" s="1131"/>
      <c r="I46" s="1131"/>
      <c r="J46" s="1131"/>
      <c r="K46" s="1131"/>
      <c r="L46" s="1131"/>
      <c r="M46" s="1131"/>
      <c r="N46" s="1131"/>
      <c r="O46" s="1131"/>
      <c r="P46" s="1131"/>
    </row>
    <row r="47" spans="1:16" s="15" customFormat="1" ht="15.75" thickTop="1">
      <c r="A47" s="1129"/>
      <c r="B47" s="1132" t="s">
        <v>21</v>
      </c>
      <c r="C47" s="1132" t="s">
        <v>196</v>
      </c>
      <c r="D47" s="1134" t="s">
        <v>197</v>
      </c>
      <c r="E47" s="1135"/>
      <c r="F47" s="1135"/>
      <c r="G47" s="1135"/>
      <c r="H47" s="1135"/>
      <c r="I47" s="1135"/>
      <c r="J47" s="1135"/>
      <c r="K47" s="1136"/>
      <c r="L47" s="1134" t="s">
        <v>198</v>
      </c>
      <c r="M47" s="1135"/>
      <c r="N47" s="1135"/>
      <c r="O47" s="1135"/>
      <c r="P47" s="1136"/>
    </row>
    <row r="48" spans="1:16" s="15" customFormat="1" ht="45">
      <c r="A48" s="1129"/>
      <c r="B48" s="1133"/>
      <c r="C48" s="113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4.9514853815261183E-3</v>
      </c>
      <c r="H50" s="323">
        <f t="shared" si="2"/>
        <v>0</v>
      </c>
      <c r="I50" s="323">
        <f t="shared" si="2"/>
        <v>0</v>
      </c>
      <c r="J50" s="323">
        <f t="shared" si="2"/>
        <v>0</v>
      </c>
      <c r="K50" s="323">
        <f t="shared" si="2"/>
        <v>0</v>
      </c>
      <c r="L50" s="323">
        <f t="shared" si="2"/>
        <v>0</v>
      </c>
      <c r="M50" s="323">
        <f t="shared" si="2"/>
        <v>2.2020466583565849E-4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4.9514853815261183E-3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2.2020466583565849E-4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1375.4126059794773</v>
      </c>
      <c r="H54" s="21">
        <f t="shared" si="3"/>
        <v>0</v>
      </c>
      <c r="I54" s="21">
        <f t="shared" si="3"/>
        <v>0</v>
      </c>
      <c r="J54" s="21">
        <f t="shared" si="3"/>
        <v>0</v>
      </c>
      <c r="K54" s="21">
        <f t="shared" si="3"/>
        <v>0</v>
      </c>
      <c r="L54" s="21">
        <f t="shared" si="3"/>
        <v>0</v>
      </c>
      <c r="M54" s="21">
        <f t="shared" si="3"/>
        <v>61.167962732127357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5.9142896383076203E-2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367.23516579652045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3"/>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155" t="s">
        <v>241</v>
      </c>
      <c r="B1" s="1155" t="s">
        <v>242</v>
      </c>
      <c r="C1" s="1162" t="s">
        <v>243</v>
      </c>
      <c r="D1" s="1163"/>
      <c r="E1" s="1163"/>
      <c r="F1" s="1163"/>
      <c r="G1" s="1163"/>
      <c r="H1" s="1163"/>
      <c r="I1" s="1163"/>
      <c r="J1" s="1163"/>
      <c r="K1" s="1163"/>
      <c r="L1" s="1164"/>
      <c r="M1" s="1159" t="s">
        <v>244</v>
      </c>
      <c r="N1" s="1176" t="s">
        <v>560</v>
      </c>
      <c r="O1" s="1159"/>
      <c r="Q1" s="1154"/>
      <c r="R1" s="1154"/>
      <c r="S1" s="1154"/>
    </row>
    <row r="2" spans="1:19" s="549" customFormat="1" ht="15.75" thickBot="1">
      <c r="A2" s="1156"/>
      <c r="B2" s="1156"/>
      <c r="C2" s="1165" t="s">
        <v>197</v>
      </c>
      <c r="D2" s="1166"/>
      <c r="E2" s="1166"/>
      <c r="F2" s="1166"/>
      <c r="G2" s="1167"/>
      <c r="H2" s="1168" t="s">
        <v>245</v>
      </c>
      <c r="I2" s="1170" t="s">
        <v>246</v>
      </c>
      <c r="J2" s="1170" t="s">
        <v>234</v>
      </c>
      <c r="K2" s="1170" t="s">
        <v>247</v>
      </c>
      <c r="L2" s="1152" t="s">
        <v>127</v>
      </c>
      <c r="M2" s="1160"/>
      <c r="N2" s="1177"/>
      <c r="O2" s="1160"/>
      <c r="Q2" s="1154"/>
      <c r="R2" s="1154"/>
      <c r="S2" s="1154"/>
    </row>
    <row r="3" spans="1:19" s="549" customFormat="1" ht="53.45" customHeight="1" thickBot="1">
      <c r="A3" s="1157"/>
      <c r="B3" s="1158"/>
      <c r="C3" s="550" t="s">
        <v>199</v>
      </c>
      <c r="D3" s="551" t="s">
        <v>200</v>
      </c>
      <c r="E3" s="552" t="s">
        <v>201</v>
      </c>
      <c r="F3" s="553" t="s">
        <v>203</v>
      </c>
      <c r="G3" s="554" t="s">
        <v>204</v>
      </c>
      <c r="H3" s="1169"/>
      <c r="I3" s="1171"/>
      <c r="J3" s="1171"/>
      <c r="K3" s="1171"/>
      <c r="L3" s="1153"/>
      <c r="M3" s="1161"/>
      <c r="N3" s="1158"/>
      <c r="O3" s="1161"/>
      <c r="Q3" s="1154"/>
      <c r="R3" s="1154"/>
      <c r="S3" s="1154"/>
    </row>
    <row r="4" spans="1:19" s="549" customFormat="1" ht="15.75" thickTop="1">
      <c r="A4" s="555" t="s">
        <v>249</v>
      </c>
      <c r="B4" s="556">
        <f>IF(ISERROR(kWh_wind_land),0,kWh_wind_land)</f>
        <v>25394.132829872113</v>
      </c>
      <c r="C4" s="1140"/>
      <c r="D4" s="1143"/>
      <c r="E4" s="1143"/>
      <c r="F4" s="1146"/>
      <c r="G4" s="1149"/>
      <c r="H4" s="1137"/>
      <c r="I4" s="1143"/>
      <c r="J4" s="1143"/>
      <c r="K4" s="557"/>
      <c r="L4" s="1173"/>
      <c r="M4" s="558"/>
      <c r="N4" s="1185"/>
      <c r="O4" s="1186"/>
      <c r="Q4" s="559"/>
      <c r="R4" s="1172"/>
      <c r="S4" s="1172"/>
    </row>
    <row r="5" spans="1:19" s="549" customFormat="1">
      <c r="A5" s="560" t="s">
        <v>250</v>
      </c>
      <c r="B5" s="556">
        <f>IF(ISERROR(kWh_waterkracht),0,kWh_waterkracht)</f>
        <v>0</v>
      </c>
      <c r="C5" s="1141"/>
      <c r="D5" s="1144"/>
      <c r="E5" s="1144"/>
      <c r="F5" s="1147"/>
      <c r="G5" s="1150"/>
      <c r="H5" s="1138"/>
      <c r="I5" s="1144"/>
      <c r="J5" s="1144"/>
      <c r="K5" s="1144"/>
      <c r="L5" s="1174"/>
      <c r="M5" s="561"/>
      <c r="N5" s="1187"/>
      <c r="O5" s="1188"/>
      <c r="Q5" s="559"/>
      <c r="R5" s="1172"/>
      <c r="S5" s="1172"/>
    </row>
    <row r="6" spans="1:19" s="549" customFormat="1">
      <c r="A6" s="560" t="s">
        <v>251</v>
      </c>
      <c r="B6" s="556">
        <f>IF(ISERROR((kWh_PV_kleiner_dan_10kW+kWh_PV_groter_dan_10kW)),0,(kWh_PV_kleiner_dan_10kW+kWh_PV_groter_dan_10kW))</f>
        <v>4705.5756209902502</v>
      </c>
      <c r="C6" s="1142"/>
      <c r="D6" s="1145"/>
      <c r="E6" s="1145"/>
      <c r="F6" s="1148"/>
      <c r="G6" s="1151"/>
      <c r="H6" s="1139"/>
      <c r="I6" s="1145"/>
      <c r="J6" s="1145"/>
      <c r="K6" s="1145"/>
      <c r="L6" s="1175"/>
      <c r="M6" s="561"/>
      <c r="N6" s="1187"/>
      <c r="O6" s="1188"/>
      <c r="Q6" s="559"/>
      <c r="R6" s="1172"/>
      <c r="S6" s="1172"/>
    </row>
    <row r="7" spans="1:19" s="549" customFormat="1">
      <c r="A7" s="562" t="s">
        <v>252</v>
      </c>
      <c r="B7" s="563">
        <f>N57</f>
        <v>538.76250000000005</v>
      </c>
      <c r="C7" s="564">
        <f>B100</f>
        <v>0</v>
      </c>
      <c r="D7" s="565"/>
      <c r="E7" s="565">
        <f>E100</f>
        <v>0</v>
      </c>
      <c r="F7" s="566"/>
      <c r="G7" s="567"/>
      <c r="H7" s="565">
        <f>I100</f>
        <v>0</v>
      </c>
      <c r="I7" s="565">
        <f>G100+F100</f>
        <v>0</v>
      </c>
      <c r="J7" s="565">
        <f>H100+D100+C100</f>
        <v>633.83823529411779</v>
      </c>
      <c r="K7" s="565"/>
      <c r="L7" s="568"/>
      <c r="M7" s="569">
        <f>C7*$C$11+D7*$D$11+E7*$E$11+F7*$F$11+G7*$G$11+H7*$H$11+I7*$I$11+J7*$J$11</f>
        <v>0</v>
      </c>
      <c r="N7" s="1187"/>
      <c r="O7" s="1188"/>
      <c r="Q7" s="559"/>
      <c r="R7" s="1172"/>
      <c r="S7" s="1172"/>
    </row>
    <row r="8" spans="1:19" s="549" customFormat="1" ht="17.45" customHeight="1" thickBot="1">
      <c r="A8" s="570" t="s">
        <v>248</v>
      </c>
      <c r="B8" s="571">
        <f>N88+'Eigen informatie GS &amp; warmtenet'!B12</f>
        <v>405</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1012.5</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189"/>
      <c r="O8" s="1190"/>
      <c r="P8" s="577"/>
      <c r="Q8" s="559"/>
      <c r="R8" s="1172"/>
      <c r="S8" s="1172"/>
    </row>
    <row r="9" spans="1:19" s="549" customFormat="1" ht="16.5" thickTop="1" thickBot="1">
      <c r="A9" s="578" t="s">
        <v>116</v>
      </c>
      <c r="B9" s="579">
        <f>SUM(B4:B8)</f>
        <v>31043.470950862364</v>
      </c>
      <c r="C9" s="580">
        <f t="shared" ref="C9:L9" si="0">SUM(C7:C8)</f>
        <v>0</v>
      </c>
      <c r="D9" s="580">
        <f t="shared" si="0"/>
        <v>0</v>
      </c>
      <c r="E9" s="580">
        <f t="shared" si="0"/>
        <v>0</v>
      </c>
      <c r="F9" s="580">
        <f t="shared" si="0"/>
        <v>0</v>
      </c>
      <c r="G9" s="580">
        <f t="shared" si="0"/>
        <v>0</v>
      </c>
      <c r="H9" s="580">
        <f t="shared" si="0"/>
        <v>0</v>
      </c>
      <c r="I9" s="580">
        <f t="shared" si="0"/>
        <v>1012.5</v>
      </c>
      <c r="J9" s="580">
        <f t="shared" si="0"/>
        <v>633.83823529411779</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155" t="s">
        <v>253</v>
      </c>
      <c r="B13" s="1155" t="s">
        <v>254</v>
      </c>
      <c r="C13" s="1162" t="s">
        <v>255</v>
      </c>
      <c r="D13" s="1163"/>
      <c r="E13" s="1163"/>
      <c r="F13" s="1163"/>
      <c r="G13" s="1163"/>
      <c r="H13" s="1163"/>
      <c r="I13" s="1163"/>
      <c r="J13" s="1163"/>
      <c r="K13" s="1163"/>
      <c r="L13" s="1164"/>
      <c r="M13" s="1159" t="s">
        <v>244</v>
      </c>
      <c r="N13" s="1176" t="s">
        <v>256</v>
      </c>
      <c r="O13" s="1159"/>
      <c r="P13" s="1154"/>
      <c r="Q13" s="1154"/>
      <c r="R13" s="1154"/>
    </row>
    <row r="14" spans="1:19" s="549" customFormat="1" ht="15.75" thickBot="1">
      <c r="A14" s="1156"/>
      <c r="B14" s="1156"/>
      <c r="C14" s="1178" t="s">
        <v>197</v>
      </c>
      <c r="D14" s="1179"/>
      <c r="E14" s="1179"/>
      <c r="F14" s="1179"/>
      <c r="G14" s="1180"/>
      <c r="H14" s="1181" t="s">
        <v>245</v>
      </c>
      <c r="I14" s="1181" t="s">
        <v>246</v>
      </c>
      <c r="J14" s="1182" t="s">
        <v>234</v>
      </c>
      <c r="K14" s="1170" t="s">
        <v>257</v>
      </c>
      <c r="L14" s="1152" t="s">
        <v>127</v>
      </c>
      <c r="M14" s="1160"/>
      <c r="N14" s="1177"/>
      <c r="O14" s="1160"/>
      <c r="P14" s="1154"/>
      <c r="Q14" s="1154"/>
      <c r="R14" s="1154"/>
    </row>
    <row r="15" spans="1:19" s="549" customFormat="1" ht="40.700000000000003" customHeight="1" thickBot="1">
      <c r="A15" s="1157"/>
      <c r="B15" s="1157"/>
      <c r="C15" s="591" t="s">
        <v>199</v>
      </c>
      <c r="D15" s="551" t="s">
        <v>200</v>
      </c>
      <c r="E15" s="592" t="s">
        <v>201</v>
      </c>
      <c r="F15" s="551" t="s">
        <v>203</v>
      </c>
      <c r="G15" s="593" t="s">
        <v>204</v>
      </c>
      <c r="H15" s="1169"/>
      <c r="I15" s="1169"/>
      <c r="J15" s="1183"/>
      <c r="K15" s="1171"/>
      <c r="L15" s="1184"/>
      <c r="M15" s="1161"/>
      <c r="N15" s="1158"/>
      <c r="O15" s="1161"/>
      <c r="P15" s="1154"/>
      <c r="Q15" s="1154"/>
      <c r="R15" s="1154"/>
    </row>
    <row r="16" spans="1:19" s="549" customFormat="1" ht="15.75" thickTop="1">
      <c r="A16" s="594" t="s">
        <v>252</v>
      </c>
      <c r="B16" s="595">
        <f>O57</f>
        <v>769.66071428571422</v>
      </c>
      <c r="C16" s="596">
        <f>B101</f>
        <v>0</v>
      </c>
      <c r="D16" s="597"/>
      <c r="E16" s="597">
        <f>E101</f>
        <v>0</v>
      </c>
      <c r="F16" s="598"/>
      <c r="G16" s="599"/>
      <c r="H16" s="596">
        <f>I101</f>
        <v>0</v>
      </c>
      <c r="I16" s="597">
        <f>G101+F101</f>
        <v>0</v>
      </c>
      <c r="J16" s="597">
        <f>H101+D101+C101</f>
        <v>905.48319327731087</v>
      </c>
      <c r="K16" s="597"/>
      <c r="L16" s="600"/>
      <c r="M16" s="601">
        <f>C16*$C$21+E16*$E$21+H16*$H$21+I16*$I$21+J16*$J$21+D16*$D$21+F16*$F$21+G16*$G$21+K16*$K$21+L16*$L$21</f>
        <v>0</v>
      </c>
      <c r="N16" s="1194"/>
      <c r="O16" s="1195"/>
      <c r="P16" s="602"/>
      <c r="Q16" s="1196"/>
      <c r="R16" s="1196"/>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197"/>
      <c r="O17" s="1198"/>
      <c r="P17" s="559"/>
      <c r="Q17" s="1172"/>
      <c r="R17" s="117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199"/>
      <c r="O18" s="1200"/>
      <c r="P18" s="559"/>
      <c r="Q18" s="1172"/>
      <c r="R18" s="1172"/>
    </row>
    <row r="19" spans="1:26" s="549" customFormat="1" ht="16.5" thickTop="1" thickBot="1">
      <c r="A19" s="578" t="s">
        <v>116</v>
      </c>
      <c r="B19" s="579">
        <f>SUM(B16:B18)</f>
        <v>769.66071428571422</v>
      </c>
      <c r="C19" s="579">
        <f>SUM(C16:C18)</f>
        <v>0</v>
      </c>
      <c r="D19" s="579">
        <f t="shared" ref="D19:M19" si="1">SUM(D16:D18)</f>
        <v>0</v>
      </c>
      <c r="E19" s="579">
        <f t="shared" si="1"/>
        <v>0</v>
      </c>
      <c r="F19" s="579">
        <f t="shared" si="1"/>
        <v>0</v>
      </c>
      <c r="G19" s="579">
        <f t="shared" si="1"/>
        <v>0</v>
      </c>
      <c r="H19" s="579">
        <f t="shared" si="1"/>
        <v>0</v>
      </c>
      <c r="I19" s="579">
        <f t="shared" si="1"/>
        <v>0</v>
      </c>
      <c r="J19" s="579">
        <f t="shared" si="1"/>
        <v>905.48319327731087</v>
      </c>
      <c r="K19" s="579">
        <f t="shared" si="1"/>
        <v>0</v>
      </c>
      <c r="L19" s="579">
        <f t="shared" si="1"/>
        <v>0</v>
      </c>
      <c r="M19" s="606">
        <f t="shared" si="1"/>
        <v>0</v>
      </c>
      <c r="N19" s="1191"/>
      <c r="O19" s="1192"/>
      <c r="P19" s="559"/>
      <c r="Q19" s="1193"/>
      <c r="R19" s="1193"/>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25.5">
      <c r="A27" s="610"/>
      <c r="B27" s="839">
        <v>35005</v>
      </c>
      <c r="C27" s="839">
        <v>8470</v>
      </c>
      <c r="D27" s="658" t="s">
        <v>840</v>
      </c>
      <c r="E27" s="657" t="s">
        <v>841</v>
      </c>
      <c r="F27" s="657" t="s">
        <v>842</v>
      </c>
      <c r="G27" s="657" t="s">
        <v>843</v>
      </c>
      <c r="H27" s="657" t="s">
        <v>844</v>
      </c>
      <c r="I27" s="657" t="s">
        <v>841</v>
      </c>
      <c r="J27" s="838">
        <v>41117</v>
      </c>
      <c r="K27" s="838">
        <v>41275</v>
      </c>
      <c r="L27" s="657" t="s">
        <v>845</v>
      </c>
      <c r="M27" s="657">
        <v>9.6999999999999993</v>
      </c>
      <c r="N27" s="657">
        <v>40.012499999999996</v>
      </c>
      <c r="O27" s="657">
        <v>57.160714285714278</v>
      </c>
      <c r="P27" s="657">
        <v>0</v>
      </c>
      <c r="Q27" s="657">
        <v>114.32142857142857</v>
      </c>
      <c r="R27" s="657">
        <v>0</v>
      </c>
      <c r="S27" s="657">
        <v>0</v>
      </c>
      <c r="T27" s="657">
        <v>0</v>
      </c>
      <c r="U27" s="657">
        <v>0</v>
      </c>
      <c r="V27" s="657">
        <v>0</v>
      </c>
      <c r="W27" s="657">
        <v>0</v>
      </c>
      <c r="X27" s="657">
        <v>10</v>
      </c>
      <c r="Y27" s="657" t="s">
        <v>112</v>
      </c>
      <c r="Z27" s="659" t="s">
        <v>112</v>
      </c>
    </row>
    <row r="28" spans="1:26" s="611" customFormat="1" ht="25.5">
      <c r="A28" s="610"/>
      <c r="B28" s="839">
        <v>35005</v>
      </c>
      <c r="C28" s="839">
        <v>8470</v>
      </c>
      <c r="D28" s="658" t="s">
        <v>846</v>
      </c>
      <c r="E28" s="657" t="s">
        <v>847</v>
      </c>
      <c r="F28" s="657" t="s">
        <v>848</v>
      </c>
      <c r="G28" s="657" t="s">
        <v>843</v>
      </c>
      <c r="H28" s="657" t="s">
        <v>844</v>
      </c>
      <c r="I28" s="657" t="s">
        <v>849</v>
      </c>
      <c r="J28" s="838">
        <v>41400</v>
      </c>
      <c r="K28" s="838">
        <v>41400</v>
      </c>
      <c r="L28" s="657" t="s">
        <v>845</v>
      </c>
      <c r="M28" s="657">
        <v>190</v>
      </c>
      <c r="N28" s="657">
        <v>498.75</v>
      </c>
      <c r="O28" s="657">
        <v>712.5</v>
      </c>
      <c r="P28" s="657">
        <v>0</v>
      </c>
      <c r="Q28" s="657">
        <v>1425</v>
      </c>
      <c r="R28" s="657">
        <v>0</v>
      </c>
      <c r="S28" s="657">
        <v>0</v>
      </c>
      <c r="T28" s="657">
        <v>0</v>
      </c>
      <c r="U28" s="657">
        <v>0</v>
      </c>
      <c r="V28" s="657">
        <v>0</v>
      </c>
      <c r="W28" s="657">
        <v>0</v>
      </c>
      <c r="X28" s="657">
        <v>1600</v>
      </c>
      <c r="Y28" s="657" t="s">
        <v>54</v>
      </c>
      <c r="Z28" s="659" t="s">
        <v>156</v>
      </c>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199.7</v>
      </c>
      <c r="N57" s="615">
        <f>SUM(N27:N56)</f>
        <v>538.76250000000005</v>
      </c>
      <c r="O57" s="615">
        <f t="shared" ref="O57:W57" si="2">SUM(O27:O56)</f>
        <v>769.66071428571422</v>
      </c>
      <c r="P57" s="615">
        <f t="shared" si="2"/>
        <v>0</v>
      </c>
      <c r="Q57" s="615">
        <f t="shared" si="2"/>
        <v>1539.3214285714287</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190</v>
      </c>
      <c r="N59" s="615">
        <f ca="1">SUMIF($Z$27:AB56,"tertiair",N27:N56)</f>
        <v>498.75</v>
      </c>
      <c r="O59" s="615">
        <f ca="1">SUMIF($Z$27:AC56,"tertiair",O27:O56)</f>
        <v>712.5</v>
      </c>
      <c r="P59" s="615">
        <f ca="1">SUMIF($Z$27:AD56,"tertiair",P27:P56)</f>
        <v>0</v>
      </c>
      <c r="Q59" s="615">
        <f ca="1">SUMIF($Z$27:AE56,"tertiair",Q27:Q56)</f>
        <v>1425</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9.6999999999999993</v>
      </c>
      <c r="N60" s="620">
        <f t="shared" ref="N60:W60" si="4">SUMIF($Z$27:$Z$56,"landbouw",N27:N56)</f>
        <v>40.012499999999996</v>
      </c>
      <c r="O60" s="620">
        <f t="shared" si="4"/>
        <v>57.160714285714278</v>
      </c>
      <c r="P60" s="620">
        <f t="shared" si="4"/>
        <v>0</v>
      </c>
      <c r="Q60" s="620">
        <f t="shared" si="4"/>
        <v>114.32142857142857</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38.25">
      <c r="A63" s="612"/>
      <c r="B63" s="839">
        <v>35005</v>
      </c>
      <c r="C63" s="839">
        <v>8470</v>
      </c>
      <c r="D63" s="660" t="s">
        <v>850</v>
      </c>
      <c r="E63" s="660" t="s">
        <v>851</v>
      </c>
      <c r="F63" s="660" t="s">
        <v>852</v>
      </c>
      <c r="G63" s="660" t="s">
        <v>853</v>
      </c>
      <c r="H63" s="660" t="s">
        <v>854</v>
      </c>
      <c r="I63" s="660" t="s">
        <v>851</v>
      </c>
      <c r="J63" s="838">
        <v>38944</v>
      </c>
      <c r="K63" s="838">
        <v>39239</v>
      </c>
      <c r="L63" s="660" t="s">
        <v>845</v>
      </c>
      <c r="M63" s="660">
        <v>90</v>
      </c>
      <c r="N63" s="660">
        <v>405</v>
      </c>
      <c r="O63" s="660">
        <v>0</v>
      </c>
      <c r="P63" s="660">
        <v>0</v>
      </c>
      <c r="Q63" s="660">
        <v>0</v>
      </c>
      <c r="R63" s="660">
        <v>0</v>
      </c>
      <c r="S63" s="660">
        <v>0</v>
      </c>
      <c r="T63" s="660">
        <v>0</v>
      </c>
      <c r="U63" s="660">
        <v>1012.5</v>
      </c>
      <c r="V63" s="660">
        <v>0</v>
      </c>
      <c r="W63" s="660">
        <v>0</v>
      </c>
      <c r="X63" s="660">
        <v>10</v>
      </c>
      <c r="Y63" s="660" t="s">
        <v>112</v>
      </c>
      <c r="Z63" s="661" t="s">
        <v>112</v>
      </c>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90</v>
      </c>
      <c r="N88" s="615">
        <f t="shared" ref="N88:W88" si="5">SUM(N63:N87)</f>
        <v>405</v>
      </c>
      <c r="O88" s="615">
        <f t="shared" si="5"/>
        <v>0</v>
      </c>
      <c r="P88" s="615">
        <f t="shared" si="5"/>
        <v>0</v>
      </c>
      <c r="Q88" s="615">
        <f t="shared" si="5"/>
        <v>0</v>
      </c>
      <c r="R88" s="615">
        <f t="shared" si="5"/>
        <v>0</v>
      </c>
      <c r="S88" s="615">
        <f t="shared" si="5"/>
        <v>0</v>
      </c>
      <c r="T88" s="615">
        <f t="shared" si="5"/>
        <v>0</v>
      </c>
      <c r="U88" s="615">
        <f t="shared" si="5"/>
        <v>1012.5</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90</v>
      </c>
      <c r="N91" s="620">
        <f t="shared" si="8"/>
        <v>405</v>
      </c>
      <c r="O91" s="620">
        <f t="shared" si="8"/>
        <v>0</v>
      </c>
      <c r="P91" s="620">
        <f t="shared" si="8"/>
        <v>0</v>
      </c>
      <c r="Q91" s="620">
        <f t="shared" si="8"/>
        <v>0</v>
      </c>
      <c r="R91" s="620">
        <f t="shared" si="8"/>
        <v>0</v>
      </c>
      <c r="S91" s="620">
        <f t="shared" si="8"/>
        <v>0</v>
      </c>
      <c r="T91" s="620">
        <f t="shared" si="8"/>
        <v>0</v>
      </c>
      <c r="U91" s="620">
        <f t="shared" si="8"/>
        <v>1012.5</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0.58823529411764697</v>
      </c>
      <c r="C97" s="640">
        <f>IF(ISERROR(N57/(O57+N57)),0,N57/(N57+O57))</f>
        <v>0.41176470588235298</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633.83823529411779</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905.48319327731087</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808</v>
      </c>
      <c r="B10" s="847" t="s">
        <v>809</v>
      </c>
      <c r="C10" s="355" t="s">
        <v>810</v>
      </c>
      <c r="D10" s="355" t="s">
        <v>806</v>
      </c>
      <c r="E10" s="358" t="s">
        <v>805</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820</v>
      </c>
      <c r="G16" s="353" t="s">
        <v>821</v>
      </c>
      <c r="H16" s="354" t="s">
        <v>822</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814</v>
      </c>
      <c r="C18" s="958" t="s">
        <v>816</v>
      </c>
      <c r="D18" s="960" t="s">
        <v>817</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814</v>
      </c>
      <c r="C22" s="355" t="s">
        <v>413</v>
      </c>
      <c r="D22" s="355" t="s">
        <v>818</v>
      </c>
      <c r="E22" s="352"/>
      <c r="F22" s="353" t="s">
        <v>823</v>
      </c>
      <c r="G22" s="353" t="s">
        <v>824</v>
      </c>
      <c r="H22" s="354" t="s">
        <v>825</v>
      </c>
    </row>
    <row r="23" spans="1:8" s="946" customFormat="1">
      <c r="A23" s="355" t="s">
        <v>413</v>
      </c>
      <c r="B23" s="847" t="s">
        <v>815</v>
      </c>
      <c r="C23" s="355" t="s">
        <v>413</v>
      </c>
      <c r="D23" s="355" t="s">
        <v>819</v>
      </c>
      <c r="E23" s="352"/>
      <c r="F23" s="353" t="s">
        <v>826</v>
      </c>
      <c r="G23" s="353" t="s">
        <v>827</v>
      </c>
      <c r="H23" s="354" t="s">
        <v>828</v>
      </c>
    </row>
    <row r="24" spans="1:8">
      <c r="A24" s="355" t="s">
        <v>411</v>
      </c>
      <c r="B24" s="351" t="s">
        <v>652</v>
      </c>
      <c r="C24" s="355" t="s">
        <v>411</v>
      </c>
      <c r="D24" s="355" t="s">
        <v>688</v>
      </c>
      <c r="E24" s="352" t="s">
        <v>689</v>
      </c>
      <c r="F24" s="353" t="s">
        <v>829</v>
      </c>
      <c r="G24" s="353" t="s">
        <v>830</v>
      </c>
      <c r="H24" s="354" t="s">
        <v>831</v>
      </c>
    </row>
    <row r="25" spans="1:8">
      <c r="A25" s="350" t="s">
        <v>411</v>
      </c>
      <c r="B25" s="953" t="s">
        <v>652</v>
      </c>
      <c r="C25" s="350" t="s">
        <v>411</v>
      </c>
      <c r="D25" s="360" t="s">
        <v>653</v>
      </c>
      <c r="E25" s="352" t="s">
        <v>428</v>
      </c>
      <c r="F25" s="353" t="s">
        <v>829</v>
      </c>
      <c r="G25" s="353" t="s">
        <v>830</v>
      </c>
      <c r="H25" s="354" t="s">
        <v>831</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34"/>
  <sheetViews>
    <sheetView workbookViewId="0">
      <selection activeCell="C25" sqref="C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811</v>
      </c>
      <c r="D18" s="951" t="s">
        <v>706</v>
      </c>
    </row>
    <row r="19" spans="1:4" s="7" customFormat="1">
      <c r="A19" s="954" t="s">
        <v>754</v>
      </c>
      <c r="B19" s="820">
        <v>42877</v>
      </c>
      <c r="C19" s="946" t="s">
        <v>812</v>
      </c>
      <c r="D19" s="988" t="s">
        <v>755</v>
      </c>
    </row>
    <row r="20" spans="1:4" s="7" customFormat="1">
      <c r="A20" s="954" t="s">
        <v>754</v>
      </c>
      <c r="B20" s="820">
        <v>42877</v>
      </c>
      <c r="C20" s="946" t="s">
        <v>813</v>
      </c>
      <c r="D20" s="951" t="s">
        <v>756</v>
      </c>
    </row>
    <row r="21" spans="1:4" s="7" customFormat="1">
      <c r="A21" s="954" t="s">
        <v>795</v>
      </c>
      <c r="B21" s="973">
        <v>43167</v>
      </c>
      <c r="C21" s="973" t="s">
        <v>796</v>
      </c>
      <c r="D21" s="988" t="s">
        <v>797</v>
      </c>
    </row>
    <row r="22" spans="1:4" s="7" customFormat="1">
      <c r="A22" s="954" t="s">
        <v>795</v>
      </c>
      <c r="B22" s="973">
        <v>43167</v>
      </c>
      <c r="C22" s="973" t="s">
        <v>798</v>
      </c>
      <c r="D22" s="951" t="s">
        <v>799</v>
      </c>
    </row>
    <row r="23" spans="1:4">
      <c r="A23" s="954" t="s">
        <v>795</v>
      </c>
      <c r="B23" s="973">
        <v>43167</v>
      </c>
      <c r="C23" s="973" t="s">
        <v>800</v>
      </c>
      <c r="D23" s="951" t="s">
        <v>801</v>
      </c>
    </row>
    <row r="24" spans="1:4">
      <c r="A24" s="954" t="s">
        <v>795</v>
      </c>
      <c r="B24" s="973">
        <v>43167</v>
      </c>
      <c r="C24" s="973" t="s">
        <v>802</v>
      </c>
      <c r="D24" s="951" t="s">
        <v>803</v>
      </c>
    </row>
    <row r="25" spans="1:4">
      <c r="A25" s="954" t="s">
        <v>795</v>
      </c>
      <c r="B25" s="973">
        <v>43278</v>
      </c>
      <c r="C25" s="973" t="s">
        <v>832</v>
      </c>
      <c r="D25" s="988"/>
    </row>
    <row r="26" spans="1:4">
      <c r="A26" s="954"/>
      <c r="B26" s="820"/>
      <c r="C26" s="946"/>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215</vt:i4>
      </vt:variant>
    </vt:vector>
  </HeadingPairs>
  <TitlesOfParts>
    <vt:vector size="248" baseType="lpstr">
      <vt:lpstr>LEGENDE</vt:lpstr>
      <vt:lpstr>OUTPUT--&gt;</vt:lpstr>
      <vt:lpstr>SEAP template</vt:lpstr>
      <vt:lpstr>Inventaris 2013</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2018-06-27T09:31:09Z</dcterms:modified>
</cp:coreProperties>
</file>