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<sst xmlns="http://schemas.openxmlformats.org/spreadsheetml/2006/main" count="1970" uniqueCount="847">
  <si>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</si>
  <si>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</si>
  <si>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</si>
  <si>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</si>
  <si>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</si>
  <si>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</si>
  <si>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</si>
  <si>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</si>
  <si>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</si>
  <si>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</si>
  <si>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</si>
  <si>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</si>
  <si>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</si>
  <si>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</si>
  <si>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</si>
  <si>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</si>
  <si>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</si>
  <si>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</si>
  <si>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</si>
  <si>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</si>
  <si>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</si>
  <si>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</si>
  <si>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</si>
  <si>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</si>
  <si>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</si>
  <si>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</si>
  <si>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</si>
  <si>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</si>
  <si>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</si>
  <si>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</si>
  <si>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</si>
  <si>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</si>
  <si>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</si>
  <si>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</si>
  <si>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</si>
  <si>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</si>
  <si>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</si>
  <si>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</si>
  <si>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</si>
  <si>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</si>
  <si>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</si>
  <si>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</si>
  <si>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</si>
  <si>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</si>
  <si>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</si>
  <si>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</si>
  <si>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</si>
  <si>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</si>
  <si>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</si>
  <si>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</si>
  <si>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</si>
  <si>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</si>
  <si>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</si>
  <si>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</si>
  <si>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</si>
  <si>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</si>
  <si>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</si>
  <si>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</si>
  <si>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</si>
  <si>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</si>
  <si>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</si>
  <si>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</si>
  <si>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</si>
  <si>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</si>
  <si>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</si>
  <si>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</si>
  <si>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</si>
  <si>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</si>
  <si>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</si>
  <si>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</si>
  <si>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</si>
  <si>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</si>
  <si>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</si>
  <si>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</si>
  <si>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</si>
  <si>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</si>
  <si>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</si>
  <si>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</si>
  <si>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</si>
  <si>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</si>
  <si>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</si>
  <si>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</si>
  <si>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</si>
  <si>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</si>
  <si>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</si>
  <si>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</si>
  <si>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</si>
  <si>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</si>
  <si>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</si>
  <si>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</si>
  <si>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</si>
  <si>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</si>
  <si>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</si>
  <si>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</si>
  <si>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</si>
  <si>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</si>
  <si>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</si>
  <si>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</si>
  <si>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</si>
  <si>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</si>
  <si>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</si>
  <si>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</si>
  <si>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</si>
  <si>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</si>
  <si>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</si>
  <si>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</si>
  <si>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</si>
  <si>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</si>
  <si>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</si>
  <si>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</si>
  <si>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</si>
  <si>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</si>
  <si>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</si>
  <si>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</si>
  <si>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</si>
  <si>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</si>
  <si>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</si>
  <si>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</si>
  <si>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</si>
  <si>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</si>
  <si>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</si>
  <si>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</si>
  <si>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</si>
  <si>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</si>
  <si>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</si>
  <si>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</si>
  <si>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</si>
  <si>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</si>
  <si>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</si>
  <si>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</si>
  <si>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</si>
  <si>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</si>
  <si>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</si>
  <si>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</si>
  <si>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</si>
  <si>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</si>
  <si>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</si>
  <si>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</si>
  <si>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</si>
  <si>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</si>
  <si>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</si>
  <si>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</si>
  <si>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</si>
  <si>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</si>
  <si>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</si>
  <si>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</si>
  <si>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</si>
  <si>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</si>
  <si>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</si>
  <si>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</si>
  <si>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</si>
  <si>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</si>
  <si>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</si>
  <si>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</si>
  <si>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</si>
  <si>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</si>
  <si>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</si>
  <si>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</si>
  <si>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</si>
  <si>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</si>
  <si>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</si>
  <si>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</si>
  <si>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</si>
  <si>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</si>
  <si>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</si>
  <si>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</si>
  <si>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</si>
  <si>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</si>
  <si>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</si>
  <si>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</si>
  <si>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</si>
  <si>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</si>
  <si>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</si>
  <si>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</si>
  <si>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</si>
  <si>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</si>
  <si>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</si>
  <si>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</si>
  <si>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</si>
  <si>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</si>
  <si>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</si>
  <si>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</si>
  <si>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</si>
  <si>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</si>
  <si>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</si>
  <si>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</si>
  <si>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</si>
  <si>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</si>
  <si>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</si>
  <si>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</si>
  <si>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</si>
  <si>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</si>
  <si>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</si>
  <si>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</si>
  <si>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</si>
  <si>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</si>
  <si>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</si>
  <si>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</si>
  <si>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</si>
  <si>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</si>
  <si>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</si>
  <si>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</si>
  <si>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</si>
  <si>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</si>
  <si>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</si>
  <si>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</si>
  <si>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</si>
  <si>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</si>
  <si>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</si>
  <si>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</si>
  <si>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</si>
  <si>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</si>
  <si>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</si>
  <si>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</si>
  <si>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</si>
  <si>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</si>
  <si>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</si>
  <si>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</si>
  <si>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</si>
  <si>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</si>
  <si>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</si>
  <si>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</si>
  <si>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</si>
  <si>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</si>
  <si>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</si>
  <si>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</si>
  <si>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</si>
  <si>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</si>
  <si>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</si>
  <si>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</si>
  <si>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</si>
  <si>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</si>
  <si>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</si>
  <si>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</si>
  <si>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</si>
  <si>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</si>
  <si>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</si>
  <si>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</si>
  <si>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</si>
  <si>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</si>
  <si>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</si>
  <si>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</si>
  <si>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</si>
  <si>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</si>
  <si>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</si>
  <si>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</si>
  <si>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</si>
  <si>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</si>
  <si>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</si>
  <si>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</si>
  <si>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</si>
  <si>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</si>
  <si>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</si>
  <si>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</si>
  <si>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</si>
  <si>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</si>
  <si>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</si>
  <si>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</si>
  <si>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</si>
  <si>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</si>
  <si>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</si>
  <si>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</si>
  <si>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</si>
  <si>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</si>
  <si>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</si>
  <si>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</si>
  <si>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</si>
  <si>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</si>
  <si>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</si>
  <si>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</si>
  <si>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</si>
  <si>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</si>
  <si>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</si>
  <si>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</si>
  <si>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</si>
  <si>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</si>
  <si>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</si>
  <si>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</si>
  <si>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</si>
  <si>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</si>
  <si>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</si>
  <si>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</si>
  <si>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</si>
  <si>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</si>
  <si>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</si>
  <si>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</si>
  <si>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</si>
  <si>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</si>
  <si>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</si>
  <si>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</si>
  <si>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</si>
  <si>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</si>
  <si>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</si>
  <si>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</si>
  <si>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</si>
  <si>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</si>
  <si>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</si>
  <si>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</si>
  <si>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</si>
  <si>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</si>
  <si>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</si>
  <si>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</si>
  <si>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</si>
  <si>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</si>
  <si>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</si>
  <si>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</si>
  <si>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</si>
  <si>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</si>
  <si>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</si>
  <si>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</si>
  <si>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</si>
  <si>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</si>
  <si>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</si>
  <si>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</si>
  <si>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</si>
  <si>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</si>
  <si>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</si>
  <si>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</si>
  <si>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</si>
  <si>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</si>
  <si>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</si>
  <si>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</si>
  <si>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</si>
  <si>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</si>
  <si>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</si>
  <si>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</si>
  <si>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</si>
  <si>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</si>
  <si>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</si>
  <si>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</si>
  <si>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</si>
  <si>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</si>
  <si>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</si>
  <si>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</si>
  <si>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</si>
  <si>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</si>
  <si>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</si>
  <si>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</si>
  <si>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</si>
  <si>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</si>
  <si>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</si>
  <si>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</si>
  <si>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</si>
  <si>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</si>
  <si>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</si>
  <si>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</si>
  <si>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</si>
  <si>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</si>
  <si>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</si>
  <si>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</si>
  <si>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</si>
  <si>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</si>
  <si>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</si>
  <si>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</si>
  <si>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</si>
  <si>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</si>
  <si>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</si>
  <si>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</si>
  <si>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</si>
  <si>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</si>
  <si>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</si>
  <si>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</si>
  <si>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</si>
  <si>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</si>
  <si>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</si>
  <si>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</si>
  <si>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</si>
  <si>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</si>
  <si>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</si>
  <si>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</si>
  <si>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</si>
  <si>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</si>
  <si>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</si>
  <si>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</si>
  <si>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</si>
  <si>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</si>
  <si>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</si>
  <si>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</si>
  <si>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</si>
  <si>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</si>
  <si>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</si>
  <si>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</si>
  <si>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</si>
  <si>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</si>
  <si>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</si>
  <si>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</si>
  <si>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</si>
  <si>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</si>
  <si>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</si>
  <si>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</si>
  <si>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</si>
  <si>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</si>
  <si>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</si>
  <si>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</si>
  <si>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</si>
  <si>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</si>
  <si>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</si>
  <si>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</si>
  <si>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</si>
  <si>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</si>
  <si>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</si>
  <si>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</si>
  <si>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</si>
  <si>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</si>
  <si>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</si>
  <si>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</si>
  <si>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</si>
  <si>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</si>
  <si>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</si>
  <si>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</si>
  <si>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</si>
  <si>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</si>
  <si>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</si>
  <si>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</si>
  <si>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</si>
  <si>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</si>
  <si>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</si>
  <si>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</si>
  <si>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</si>
  <si>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</si>
  <si>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</si>
  <si>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</si>
  <si>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</si>
  <si>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</si>
  <si>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</si>
  <si>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</si>
  <si>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</si>
  <si>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</si>
  <si>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</si>
  <si>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</si>
  <si>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</si>
  <si>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</si>
  <si>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</si>
  <si>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</si>
  <si>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</si>
  <si>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</si>
  <si>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</si>
  <si>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</si>
  <si>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</si>
  <si>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</si>
  <si>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</si>
  <si>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</si>
  <si>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</si>
  <si>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</si>
  <si>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</si>
  <si>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</si>
  <si>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</si>
  <si>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</si>
  <si>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</si>
  <si>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</si>
  <si>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</si>
  <si>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</si>
  <si>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</si>
  <si>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</si>
  <si>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</si>
  <si>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</si>
  <si>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</si>
  <si>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</si>
  <si>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</si>
  <si>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</si>
  <si>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</si>
  <si>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</si>
  <si>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</si>
  <si>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</si>
  <si>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</si>
  <si>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</si>
  <si>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</si>
  <si>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</si>
  <si>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</si>
  <si>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</si>
  <si>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</si>
  <si>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</si>
  <si>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</si>
  <si>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</si>
  <si>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</si>
  <si>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</si>
  <si>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</si>
  <si>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</si>
  <si>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</si>
  <si>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</si>
  <si>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</si>
  <si>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</si>
  <si>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</si>
  <si>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</si>
  <si>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</si>
  <si>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</si>
  <si>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</si>
  <si>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</si>
  <si>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</si>
  <si>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</si>
  <si>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</si>
  <si>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</si>
  <si>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</si>
  <si>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</si>
  <si>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</si>
  <si>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</si>
  <si>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</si>
  <si>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</si>
  <si>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</si>
  <si>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</si>
  <si>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</si>
  <si>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</si>
  <si>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</si>
  <si>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</si>
  <si>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</si>
  <si>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</si>
  <si>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</si>
  <si>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</si>
  <si>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</si>
  <si>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</si>
  <si>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</si>
  <si>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</si>
  <si>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</si>
  <si>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</si>
  <si>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</si>
  <si>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</si>
  <si>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</si>
  <si>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</si>
  <si>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</si>
  <si>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</si>
  <si>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</si>
  <si>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</si>
  <si>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</si>
  <si>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</si>
  <si>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</si>
  <si>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</si>
  <si>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</si>
  <si>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</si>
  <si>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</si>
  <si>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</si>
  <si>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</si>
  <si>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</si>
  <si>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</si>
  <si>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</si>
  <si>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</si>
  <si>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</si>
  <si>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</si>
  <si>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</si>
  <si>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</si>
  <si>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</si>
  <si>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</si>
  <si>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</si>
  <si>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</si>
  <si>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</si>
  <si>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</si>
  <si>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</si>
  <si>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</si>
  <si>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</si>
  <si>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</si>
  <si>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</si>
  <si>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</si>
  <si>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</si>
  <si>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</si>
  <si>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</si>
  <si>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</si>
  <si>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</si>
  <si>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</si>
  <si>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</si>
  <si>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</si>
  <si>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</si>
  <si>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</si>
  <si>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</si>
  <si>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</si>
  <si>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</si>
  <si>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</si>
  <si>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</si>
  <si>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</si>
  <si>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</si>
  <si>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</si>
  <si>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</si>
  <si>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</si>
  <si>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</si>
  <si>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</si>
  <si>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</si>
  <si>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</si>
  <si>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</si>
  <si>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</si>
  <si>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</si>
  <si>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</si>
  <si>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</si>
  <si>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</si>
  <si>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</si>
  <si>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</si>
  <si>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</si>
  <si>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</si>
  <si>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</si>
  <si>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</si>
  <si>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</si>
  <si>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</si>
  <si>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</si>
  <si>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</si>
  <si>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</si>
  <si>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</si>
  <si>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</si>
  <si>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</si>
  <si>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</si>
  <si>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</si>
  <si>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</si>
  <si>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</si>
  <si>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</si>
  <si>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</si>
  <si>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</si>
  <si>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</si>
  <si>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</si>
  <si>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</si>
  <si>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</si>
  <si>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</si>
  <si>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</si>
  <si>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</si>
  <si>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</si>
  <si>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</si>
  <si>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</si>
  <si>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</si>
  <si>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</si>
  <si>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</si>
  <si>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</si>
  <si>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</si>
  <si>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</si>
  <si>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</si>
  <si>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</si>
  <si>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</si>
  <si>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</si>
  <si>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</si>
  <si>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</si>
  <si>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</si>
  <si>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</si>
  <si>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</si>
  <si>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</si>
  <si>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</si>
  <si>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</si>
  <si>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</si>
  <si>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</si>
  <si>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</si>
  <si>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</si>
  <si>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</si>
  <si>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</si>
  <si>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</si>
  <si>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</si>
  <si>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</si>
  <si>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</si>
  <si>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</si>
  <si>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</si>
  <si>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</si>
  <si>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</si>
  <si>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</si>
  <si>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</si>
  <si>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</si>
  <si>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</si>
  <si>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</si>
  <si>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</si>
  <si>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</si>
  <si>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</si>
  <si>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</si>
  <si>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</si>
  <si>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</si>
  <si>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</si>
  <si>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</si>
  <si>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</si>
  <si>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</si>
  <si>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</si>
  <si>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</si>
  <si>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</si>
  <si>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</si>
  <si>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</si>
  <si>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</si>
  <si>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</si>
  <si>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</si>
  <si>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</si>
  <si>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</si>
  <si>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</si>
  <si>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</si>
  <si>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</si>
  <si>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</si>
  <si>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</si>
  <si>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</si>
  <si>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</si>
  <si>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</si>
  <si>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</si>
  <si>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</si>
  <si>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</si>
  <si>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</si>
  <si>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</si>
  <si>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</si>
  <si>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</si>
  <si>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</si>
  <si>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</si>
  <si>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</si>
  <si>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</si>
  <si>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</si>
  <si>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</si>
  <si>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</si>
  <si>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</si>
  <si>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</si>
  <si>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</si>
  <si>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</si>
  <si>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</si>
  <si>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</si>
  <si>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</si>
  <si>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</si>
  <si>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</si>
  <si>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</si>
  <si>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</si>
  <si>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</si>
  <si>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</si>
  <si>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</si>
  <si>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</si>
  <si>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</si>
  <si>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</si>
  <si>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</si>
  <si>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</si>
  <si>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</si>
  <si>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</si>
  <si>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</si>
  <si>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</si>
  <si>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</si>
  <si>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</si>
  <si>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</si>
  <si>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</si>
  <si>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</si>
  <si>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</si>
  <si>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</si>
  <si>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</si>
  <si>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</si>
  <si>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</si>
  <si>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</si>
  <si>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</si>
  <si>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</si>
  <si>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</si>
  <si>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</si>
  <si>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</si>
  <si>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</si>
  <si>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</si>
  <si>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</si>
  <si>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</si>
  <si>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</si>
  <si>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</si>
  <si>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</si>
  <si>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</si>
  <si>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</si>
  <si>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</si>
  <si>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</si>
  <si>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</si>
  <si>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</si>
  <si>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</si>
  <si>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</si>
  <si>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</si>
  <si>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</si>
  <si>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</si>
  <si>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</si>
  <si>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</si>
  <si>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</si>
  <si>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</si>
  <si>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</si>
  <si>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</si>
  <si>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</si>
  <si>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</si>
  <si>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</si>
  <si>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</si>
  <si>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</si>
  <si>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</si>
  <si>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</si>
  <si>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</si>
  <si>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</si>
  <si>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</si>
  <si>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</si>
  <si>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</si>
  <si>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</si>
  <si>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</si>
  <si>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</si>
  <si>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</si>
  <si>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</si>
  <si>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</si>
  <si>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</si>
  <si>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</si>
  <si>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</si>
  <si>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</si>
  <si>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</si>
  <si>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</si>
  <si>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</si>
  <si>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</si>
  <si>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</si>
  <si>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</si>
  <si>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</si>
  <si>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</si>
  <si>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</si>
  <si>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</si>
  <si>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</si>
  <si>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</si>
  <si>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</si>
  <si>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</si>
  <si>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</si>
  <si>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</si>
  <si>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</si>
  <si>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</si>
  <si>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</si>
  <si>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</si>
  <si>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</si>
  <si>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</si>
  <si>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</si>
  <si>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</si>
  <si>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</si>
  <si>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</si>
  <si>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</si>
  <si>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</si>
  <si>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</si>
  <si>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</si>
  <si>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</si>
  <si>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</si>
  <si>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</si>
  <si>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</si>
  <si>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</si>
  <si>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</si>
  <si>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</si>
  <si>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</si>
  <si>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</si>
  <si>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</si>
  <si>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</si>
  <si>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</si>
  <si>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</si>
  <si>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</si>
  <si>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</si>
  <si>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</si>
  <si>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</si>
  <si>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</si>
  <si>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</si>
  <si>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</si>
  <si>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</si>
  <si>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</si>
  <si>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</si>
  <si>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</si>
  <si>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</si>
  <si>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</si>
  <si>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</si>
  <si>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34040</t>
  </si>
  <si>
    <t>WAREGEM</t>
  </si>
  <si>
    <t>Cultuurgrond (ha)</t>
  </si>
  <si>
    <t>Paarden&amp;pony's 200 - 600 kg</t>
  </si>
  <si>
    <t>Paarden&amp;pony's &lt; 200 kg</t>
  </si>
  <si>
    <t>op basis van VEA (maart 2018) en Inventaris Hernieuwbare Energiebronnen (juni 2018)</t>
  </si>
  <si>
    <t>VEA (juni 2018)</t>
  </si>
  <si>
    <t>Electrabel NV</t>
  </si>
  <si>
    <t>Gewijde Boomstraat 46, 1050 Elsene</t>
  </si>
  <si>
    <t>BGS-0039 Primeur biogas</t>
  </si>
  <si>
    <t>biogas - overig</t>
  </si>
  <si>
    <t>niet WKK interne verbrandingsmotor (gas)</t>
  </si>
  <si>
    <t>Schoendalestraat 212, 8793 Sint-Eloois-Vijve</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</si>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</sst>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316525.29768570652</c:v>
                </c:pt>
                <c:pt idx="1">
                  <c:v>211371.31818623058</c:v>
                </c:pt>
                <c:pt idx="2">
                  <c:v>2838.4520000000002</c:v>
                </c:pt>
                <c:pt idx="3">
                  <c:v>15453.010853755068</c:v>
                </c:pt>
                <c:pt idx="4">
                  <c:v>554177.57794290688</c:v>
                </c:pt>
                <c:pt idx="5">
                  <c:v>345359.38859851286</c:v>
                </c:pt>
                <c:pt idx="6">
                  <c:v>2051.2687846133849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316525.29768570652</c:v>
                </c:pt>
                <c:pt idx="1">
                  <c:v>211371.31818623058</c:v>
                </c:pt>
                <c:pt idx="2">
                  <c:v>2838.4520000000002</c:v>
                </c:pt>
                <c:pt idx="3">
                  <c:v>15453.010853755068</c:v>
                </c:pt>
                <c:pt idx="4">
                  <c:v>554177.57794290688</c:v>
                </c:pt>
                <c:pt idx="5">
                  <c:v>345359.38859851286</c:v>
                </c:pt>
                <c:pt idx="6">
                  <c:v>2051.2687846133849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62261.42325017447</c:v>
                </c:pt>
                <c:pt idx="1">
                  <c:v>42834.600453405736</c:v>
                </c:pt>
                <c:pt idx="2">
                  <c:v>573.67174365142512</c:v>
                </c:pt>
                <c:pt idx="3">
                  <c:v>3522.2476378468491</c:v>
                </c:pt>
                <c:pt idx="4">
                  <c:v>110024.89733426232</c:v>
                </c:pt>
                <c:pt idx="5">
                  <c:v>87530.999165374262</c:v>
                </c:pt>
                <c:pt idx="6">
                  <c:v>524.36880229162341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62261.42325017447</c:v>
                </c:pt>
                <c:pt idx="1">
                  <c:v>42834.600453405736</c:v>
                </c:pt>
                <c:pt idx="2">
                  <c:v>573.67174365142512</c:v>
                </c:pt>
                <c:pt idx="3">
                  <c:v>3522.2476378468491</c:v>
                </c:pt>
                <c:pt idx="4">
                  <c:v>110024.89733426232</c:v>
                </c:pt>
                <c:pt idx="5">
                  <c:v>87530.999165374262</c:v>
                </c:pt>
                <c:pt idx="6">
                  <c:v>524.36880229162341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34040</v>
      </c>
      <c r="B6" s="398"/>
      <c r="C6" s="399"/>
    </row>
    <row r="7" spans="1:7" s="396" customFormat="1" ht="15.75" customHeight="1">
      <c r="A7" s="400" t="str">
        <f>txtMunicipality</f>
        <v>WAREGEM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75915.970245879274</v>
      </c>
      <c r="D10" s="704">
        <f ca="1">tertiair!C16</f>
        <v>0</v>
      </c>
      <c r="E10" s="704">
        <f ca="1">tertiair!D16</f>
        <v>119395.39231481442</v>
      </c>
      <c r="F10" s="704">
        <f>tertiair!E16</f>
        <v>1018.9748211802388</v>
      </c>
      <c r="G10" s="704">
        <f ca="1">tertiair!F16</f>
        <v>13917.330593105115</v>
      </c>
      <c r="H10" s="704">
        <f>tertiair!G16</f>
        <v>0</v>
      </c>
      <c r="I10" s="704">
        <f>tertiair!H16</f>
        <v>0</v>
      </c>
      <c r="J10" s="704">
        <f>tertiair!I16</f>
        <v>0</v>
      </c>
      <c r="K10" s="704">
        <f>tertiair!J16</f>
        <v>0</v>
      </c>
      <c r="L10" s="704">
        <f>tertiair!K16</f>
        <v>0</v>
      </c>
      <c r="M10" s="704">
        <f ca="1">tertiair!L16</f>
        <v>0</v>
      </c>
      <c r="N10" s="704">
        <f>tertiair!M16</f>
        <v>0</v>
      </c>
      <c r="O10" s="704">
        <f ca="1">tertiair!N16</f>
        <v>3728.6122112515091</v>
      </c>
      <c r="P10" s="704">
        <f>tertiair!O16</f>
        <v>4.6900000000000004</v>
      </c>
      <c r="Q10" s="705">
        <f>tertiair!P16</f>
        <v>228.8</v>
      </c>
      <c r="R10" s="707">
        <f ca="1">SUM(C10:Q10)</f>
        <v>214209.77018623057</v>
      </c>
      <c r="S10" s="67"/>
    </row>
    <row r="11" spans="1:19" s="459" customFormat="1">
      <c r="A11" s="858" t="s">
        <v>225</v>
      </c>
      <c r="B11" s="863"/>
      <c r="C11" s="704">
        <f>huishoudens!B8</f>
        <v>69223.178956697142</v>
      </c>
      <c r="D11" s="704">
        <f>huishoudens!C8</f>
        <v>0</v>
      </c>
      <c r="E11" s="704">
        <f>huishoudens!D8</f>
        <v>137089.36519454073</v>
      </c>
      <c r="F11" s="704">
        <f>huishoudens!E8</f>
        <v>7197.7277926486713</v>
      </c>
      <c r="G11" s="704">
        <f>huishoudens!F8</f>
        <v>70954.983350141018</v>
      </c>
      <c r="H11" s="704">
        <f>huishoudens!G8</f>
        <v>0</v>
      </c>
      <c r="I11" s="704">
        <f>huishoudens!H8</f>
        <v>0</v>
      </c>
      <c r="J11" s="704">
        <f>huishoudens!I8</f>
        <v>0</v>
      </c>
      <c r="K11" s="704">
        <f>huishoudens!J8</f>
        <v>0</v>
      </c>
      <c r="L11" s="704">
        <f>huishoudens!K8</f>
        <v>0</v>
      </c>
      <c r="M11" s="704">
        <f>huishoudens!L8</f>
        <v>0</v>
      </c>
      <c r="N11" s="704">
        <f>huishoudens!M8</f>
        <v>0</v>
      </c>
      <c r="O11" s="704">
        <f>huishoudens!N8</f>
        <v>30764.92239167896</v>
      </c>
      <c r="P11" s="704">
        <f>huishoudens!O8</f>
        <v>475.25333333333333</v>
      </c>
      <c r="Q11" s="705">
        <f>huishoudens!P8</f>
        <v>819.86666666666667</v>
      </c>
      <c r="R11" s="707">
        <f>SUM(C11:Q11)</f>
        <v>316525.29768570652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257294.39718385367</v>
      </c>
      <c r="D13" s="704">
        <f>industrie!C18</f>
        <v>0</v>
      </c>
      <c r="E13" s="704">
        <f>industrie!D18</f>
        <v>201981.71935047337</v>
      </c>
      <c r="F13" s="704">
        <f>industrie!E18</f>
        <v>13153.768170422081</v>
      </c>
      <c r="G13" s="704">
        <f>industrie!F18</f>
        <v>52800.945224676558</v>
      </c>
      <c r="H13" s="704">
        <f>industrie!G18</f>
        <v>0</v>
      </c>
      <c r="I13" s="704">
        <f>industrie!H18</f>
        <v>0</v>
      </c>
      <c r="J13" s="704">
        <f>industrie!I18</f>
        <v>0</v>
      </c>
      <c r="K13" s="704">
        <f>industrie!J18</f>
        <v>394.82429302674876</v>
      </c>
      <c r="L13" s="704">
        <f>industrie!K18</f>
        <v>0</v>
      </c>
      <c r="M13" s="704">
        <f>industrie!L18</f>
        <v>0</v>
      </c>
      <c r="N13" s="704">
        <f>industrie!M18</f>
        <v>0</v>
      </c>
      <c r="O13" s="704">
        <f>industrie!N18</f>
        <v>28551.923720454615</v>
      </c>
      <c r="P13" s="704">
        <f>industrie!O18</f>
        <v>0</v>
      </c>
      <c r="Q13" s="705">
        <f>industrie!P18</f>
        <v>0</v>
      </c>
      <c r="R13" s="707">
        <f>SUM(C13:Q13)</f>
        <v>554177.57794290688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402433.5463864301</v>
      </c>
      <c r="D15" s="709">
        <f t="shared" ref="D15:Q15" ca="1" si="0">SUM(D9:D14)</f>
        <v>0</v>
      </c>
      <c r="E15" s="709">
        <f t="shared" ca="1" si="0"/>
        <v>458466.47685982852</v>
      </c>
      <c r="F15" s="709">
        <f t="shared" si="0"/>
        <v>21370.470784250989</v>
      </c>
      <c r="G15" s="709">
        <f t="shared" ca="1" si="0"/>
        <v>137673.25916792269</v>
      </c>
      <c r="H15" s="709">
        <f t="shared" si="0"/>
        <v>0</v>
      </c>
      <c r="I15" s="709">
        <f t="shared" si="0"/>
        <v>0</v>
      </c>
      <c r="J15" s="709">
        <f t="shared" si="0"/>
        <v>0</v>
      </c>
      <c r="K15" s="709">
        <f t="shared" si="0"/>
        <v>394.82429302674876</v>
      </c>
      <c r="L15" s="709">
        <f t="shared" si="0"/>
        <v>0</v>
      </c>
      <c r="M15" s="709">
        <f t="shared" ca="1" si="0"/>
        <v>0</v>
      </c>
      <c r="N15" s="709">
        <f t="shared" si="0"/>
        <v>0</v>
      </c>
      <c r="O15" s="709">
        <f t="shared" ca="1" si="0"/>
        <v>63045.458323385086</v>
      </c>
      <c r="P15" s="709">
        <f t="shared" si="0"/>
        <v>479.94333333333333</v>
      </c>
      <c r="Q15" s="710">
        <f t="shared" si="0"/>
        <v>1048.6666666666667</v>
      </c>
      <c r="R15" s="711">
        <f ca="1">SUM(R9:R14)</f>
        <v>1084912.6458148439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1963.9280984704997</v>
      </c>
      <c r="I18" s="704">
        <f>transport!H54</f>
        <v>0</v>
      </c>
      <c r="J18" s="704">
        <f>transport!I54</f>
        <v>0</v>
      </c>
      <c r="K18" s="704">
        <f>transport!J54</f>
        <v>0</v>
      </c>
      <c r="L18" s="704">
        <f>transport!K54</f>
        <v>0</v>
      </c>
      <c r="M18" s="704">
        <f>transport!L54</f>
        <v>0</v>
      </c>
      <c r="N18" s="704">
        <f>transport!M54</f>
        <v>87.340686142885147</v>
      </c>
      <c r="O18" s="704">
        <f>transport!N54</f>
        <v>0</v>
      </c>
      <c r="P18" s="704">
        <f>transport!O54</f>
        <v>0</v>
      </c>
      <c r="Q18" s="705">
        <f>transport!P54</f>
        <v>0</v>
      </c>
      <c r="R18" s="707">
        <f>SUM(C18:Q18)</f>
        <v>2051.2687846133849</v>
      </c>
      <c r="S18" s="67"/>
    </row>
    <row r="19" spans="1:19" s="459" customFormat="1" ht="15" thickBot="1">
      <c r="A19" s="858" t="s">
        <v>307</v>
      </c>
      <c r="B19" s="863"/>
      <c r="C19" s="713">
        <f>transport!B14</f>
        <v>15.838894427938126</v>
      </c>
      <c r="D19" s="713">
        <f>transport!C14</f>
        <v>0</v>
      </c>
      <c r="E19" s="713">
        <f>transport!D14</f>
        <v>25.000989194404177</v>
      </c>
      <c r="F19" s="713">
        <f>transport!E14</f>
        <v>881.94165485850965</v>
      </c>
      <c r="G19" s="713">
        <f>transport!F14</f>
        <v>0</v>
      </c>
      <c r="H19" s="713">
        <f>transport!G14</f>
        <v>291034.04747681884</v>
      </c>
      <c r="I19" s="713">
        <f>transport!H14</f>
        <v>38620.306739398147</v>
      </c>
      <c r="J19" s="713">
        <f>transport!I14</f>
        <v>0</v>
      </c>
      <c r="K19" s="713">
        <f>transport!J14</f>
        <v>0</v>
      </c>
      <c r="L19" s="713">
        <f>transport!K14</f>
        <v>0</v>
      </c>
      <c r="M19" s="713">
        <f>transport!L14</f>
        <v>0</v>
      </c>
      <c r="N19" s="713">
        <f>transport!M14</f>
        <v>14782.252843815017</v>
      </c>
      <c r="O19" s="713">
        <f>transport!N14</f>
        <v>0</v>
      </c>
      <c r="P19" s="713">
        <f>transport!O14</f>
        <v>0</v>
      </c>
      <c r="Q19" s="714">
        <f>transport!P14</f>
        <v>0</v>
      </c>
      <c r="R19" s="715">
        <f>SUM(C19:Q19)</f>
        <v>345359.38859851286</v>
      </c>
      <c r="S19" s="67"/>
    </row>
    <row r="20" spans="1:19" s="459" customFormat="1" ht="15.75" thickBot="1">
      <c r="A20" s="716" t="s">
        <v>230</v>
      </c>
      <c r="B20" s="866"/>
      <c r="C20" s="861">
        <f>SUM(C17:C19)</f>
        <v>15.838894427938126</v>
      </c>
      <c r="D20" s="717">
        <f t="shared" ref="D20:R20" si="1">SUM(D17:D19)</f>
        <v>0</v>
      </c>
      <c r="E20" s="717">
        <f t="shared" si="1"/>
        <v>25.000989194404177</v>
      </c>
      <c r="F20" s="717">
        <f t="shared" si="1"/>
        <v>881.94165485850965</v>
      </c>
      <c r="G20" s="717">
        <f t="shared" si="1"/>
        <v>0</v>
      </c>
      <c r="H20" s="717">
        <f t="shared" si="1"/>
        <v>292997.97557528934</v>
      </c>
      <c r="I20" s="717">
        <f t="shared" si="1"/>
        <v>38620.306739398147</v>
      </c>
      <c r="J20" s="717">
        <f t="shared" si="1"/>
        <v>0</v>
      </c>
      <c r="K20" s="717">
        <f t="shared" si="1"/>
        <v>0</v>
      </c>
      <c r="L20" s="717">
        <f t="shared" si="1"/>
        <v>0</v>
      </c>
      <c r="M20" s="717">
        <f t="shared" si="1"/>
        <v>0</v>
      </c>
      <c r="N20" s="717">
        <f t="shared" si="1"/>
        <v>14869.593529957901</v>
      </c>
      <c r="O20" s="717">
        <f t="shared" si="1"/>
        <v>0</v>
      </c>
      <c r="P20" s="717">
        <f t="shared" si="1"/>
        <v>0</v>
      </c>
      <c r="Q20" s="718">
        <f t="shared" si="1"/>
        <v>0</v>
      </c>
      <c r="R20" s="719">
        <f t="shared" si="1"/>
        <v>347410.65738312626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1618.8376508173042</v>
      </c>
      <c r="D22" s="713">
        <f>+landbouw!C8</f>
        <v>0</v>
      </c>
      <c r="E22" s="713">
        <f>+landbouw!D8</f>
        <v>7984.9235442811414</v>
      </c>
      <c r="F22" s="713">
        <f>+landbouw!E8</f>
        <v>20.399439887214687</v>
      </c>
      <c r="G22" s="713">
        <f>+landbouw!F8</f>
        <v>5585.3954383834207</v>
      </c>
      <c r="H22" s="713">
        <f>+landbouw!G8</f>
        <v>0</v>
      </c>
      <c r="I22" s="713">
        <f>+landbouw!H8</f>
        <v>0</v>
      </c>
      <c r="J22" s="713">
        <f>+landbouw!I8</f>
        <v>0</v>
      </c>
      <c r="K22" s="713">
        <f>+landbouw!J8</f>
        <v>243.45478038598554</v>
      </c>
      <c r="L22" s="713">
        <f>+landbouw!K8</f>
        <v>0</v>
      </c>
      <c r="M22" s="713">
        <f>+landbouw!L8</f>
        <v>0</v>
      </c>
      <c r="N22" s="713">
        <f>+landbouw!M8</f>
        <v>0</v>
      </c>
      <c r="O22" s="713">
        <f>+landbouw!N8</f>
        <v>0</v>
      </c>
      <c r="P22" s="713">
        <f>+landbouw!O8</f>
        <v>0</v>
      </c>
      <c r="Q22" s="714">
        <f>+landbouw!P8</f>
        <v>0</v>
      </c>
      <c r="R22" s="715">
        <f>SUM(C22:Q22)</f>
        <v>15453.010853755068</v>
      </c>
      <c r="S22" s="67"/>
    </row>
    <row r="23" spans="1:19" s="459" customFormat="1" ht="17.25" thickTop="1" thickBot="1">
      <c r="A23" s="720" t="s">
        <v>116</v>
      </c>
      <c r="B23" s="852"/>
      <c r="C23" s="721">
        <f ca="1">C20+C15+C22</f>
        <v>404068.22293167532</v>
      </c>
      <c r="D23" s="721">
        <f t="shared" ref="D23:Q23" ca="1" si="2">D20+D15+D22</f>
        <v>0</v>
      </c>
      <c r="E23" s="721">
        <f t="shared" ca="1" si="2"/>
        <v>466476.40139330406</v>
      </c>
      <c r="F23" s="721">
        <f t="shared" si="2"/>
        <v>22272.811878996716</v>
      </c>
      <c r="G23" s="721">
        <f t="shared" ca="1" si="2"/>
        <v>143258.65460630611</v>
      </c>
      <c r="H23" s="721">
        <f t="shared" si="2"/>
        <v>292997.97557528934</v>
      </c>
      <c r="I23" s="721">
        <f t="shared" si="2"/>
        <v>38620.306739398147</v>
      </c>
      <c r="J23" s="721">
        <f t="shared" si="2"/>
        <v>0</v>
      </c>
      <c r="K23" s="721">
        <f t="shared" si="2"/>
        <v>638.27907341273431</v>
      </c>
      <c r="L23" s="721">
        <f t="shared" si="2"/>
        <v>0</v>
      </c>
      <c r="M23" s="721">
        <f t="shared" ca="1" si="2"/>
        <v>0</v>
      </c>
      <c r="N23" s="721">
        <f t="shared" si="2"/>
        <v>14869.593529957901</v>
      </c>
      <c r="O23" s="721">
        <f t="shared" ca="1" si="2"/>
        <v>63045.458323385086</v>
      </c>
      <c r="P23" s="721">
        <f t="shared" si="2"/>
        <v>479.94333333333333</v>
      </c>
      <c r="Q23" s="722">
        <f t="shared" si="2"/>
        <v>1048.6666666666667</v>
      </c>
      <c r="R23" s="723">
        <f ca="1">R20+R15+R22</f>
        <v>1447776.3140517252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15343.16839669766</v>
      </c>
      <c r="D36" s="704">
        <f ca="1">tertiair!C20</f>
        <v>0</v>
      </c>
      <c r="E36" s="704">
        <f ca="1">tertiair!D20</f>
        <v>24117.869247592516</v>
      </c>
      <c r="F36" s="704">
        <f>tertiair!E20</f>
        <v>231.30728440791421</v>
      </c>
      <c r="G36" s="704">
        <f ca="1">tertiair!F20</f>
        <v>3715.9272683590657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43408.272197057158</v>
      </c>
    </row>
    <row r="37" spans="1:18">
      <c r="A37" s="873" t="s">
        <v>225</v>
      </c>
      <c r="B37" s="880"/>
      <c r="C37" s="704">
        <f ca="1">huishoudens!B12</f>
        <v>13990.506717458349</v>
      </c>
      <c r="D37" s="704">
        <f ca="1">huishoudens!C12</f>
        <v>0</v>
      </c>
      <c r="E37" s="704">
        <f>huishoudens!D12</f>
        <v>27692.051769297228</v>
      </c>
      <c r="F37" s="704">
        <f>huishoudens!E12</f>
        <v>1633.8842089312484</v>
      </c>
      <c r="G37" s="704">
        <f>huishoudens!F12</f>
        <v>18944.980554487654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62261.42325017447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52001.064476060768</v>
      </c>
      <c r="D39" s="704">
        <f ca="1">industrie!C22</f>
        <v>0</v>
      </c>
      <c r="E39" s="704">
        <f>industrie!D22</f>
        <v>40800.307308795622</v>
      </c>
      <c r="F39" s="704">
        <f>industrie!E22</f>
        <v>2985.9053746858126</v>
      </c>
      <c r="G39" s="704">
        <f>industrie!F22</f>
        <v>14097.852374988641</v>
      </c>
      <c r="H39" s="704">
        <f>industrie!G22</f>
        <v>0</v>
      </c>
      <c r="I39" s="704">
        <f>industrie!H22</f>
        <v>0</v>
      </c>
      <c r="J39" s="704">
        <f>industrie!I22</f>
        <v>0</v>
      </c>
      <c r="K39" s="704">
        <f>industrie!J22</f>
        <v>139.76779973146907</v>
      </c>
      <c r="L39" s="704">
        <f>industrie!K22</f>
        <v>0</v>
      </c>
      <c r="M39" s="704">
        <f>industrie!L22</f>
        <v>0</v>
      </c>
      <c r="N39" s="704">
        <f>industrie!M22</f>
        <v>0</v>
      </c>
      <c r="O39" s="704">
        <f>industrie!N22</f>
        <v>0</v>
      </c>
      <c r="P39" s="704">
        <f>industrie!O22</f>
        <v>0</v>
      </c>
      <c r="Q39" s="814">
        <f>industrie!P22</f>
        <v>0</v>
      </c>
      <c r="R39" s="906">
        <f ca="1">SUM(C39:Q39)</f>
        <v>110024.89733426232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81334.739590216777</v>
      </c>
      <c r="D41" s="749">
        <f t="shared" ref="D41:R41" ca="1" si="4">SUM(D35:D40)</f>
        <v>0</v>
      </c>
      <c r="E41" s="749">
        <f t="shared" ca="1" si="4"/>
        <v>92610.22832568537</v>
      </c>
      <c r="F41" s="749">
        <f t="shared" si="4"/>
        <v>4851.0968680249753</v>
      </c>
      <c r="G41" s="749">
        <f t="shared" ca="1" si="4"/>
        <v>36758.760197835363</v>
      </c>
      <c r="H41" s="749">
        <f t="shared" si="4"/>
        <v>0</v>
      </c>
      <c r="I41" s="749">
        <f t="shared" si="4"/>
        <v>0</v>
      </c>
      <c r="J41" s="749">
        <f t="shared" si="4"/>
        <v>0</v>
      </c>
      <c r="K41" s="749">
        <f t="shared" si="4"/>
        <v>139.76779973146907</v>
      </c>
      <c r="L41" s="749">
        <f t="shared" si="4"/>
        <v>0</v>
      </c>
      <c r="M41" s="749">
        <f t="shared" ca="1" si="4"/>
        <v>0</v>
      </c>
      <c r="N41" s="749">
        <f t="shared" si="4"/>
        <v>0</v>
      </c>
      <c r="O41" s="749">
        <f t="shared" ca="1" si="4"/>
        <v>0</v>
      </c>
      <c r="P41" s="749">
        <f t="shared" si="4"/>
        <v>0</v>
      </c>
      <c r="Q41" s="750">
        <f t="shared" si="4"/>
        <v>0</v>
      </c>
      <c r="R41" s="751">
        <f t="shared" ca="1" si="4"/>
        <v>215694.59278149396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524.36880229162341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524.36880229162341</v>
      </c>
    </row>
    <row r="45" spans="1:18" ht="15" thickBot="1">
      <c r="A45" s="876" t="s">
        <v>307</v>
      </c>
      <c r="B45" s="886"/>
      <c r="C45" s="713">
        <f ca="1">transport!B18</f>
        <v>3.2011554833360245</v>
      </c>
      <c r="D45" s="713">
        <f>transport!C18</f>
        <v>0</v>
      </c>
      <c r="E45" s="713">
        <f>transport!D18</f>
        <v>5.0501998172696441</v>
      </c>
      <c r="F45" s="713">
        <f>transport!E18</f>
        <v>200.2007556528817</v>
      </c>
      <c r="G45" s="713">
        <f>transport!F18</f>
        <v>0</v>
      </c>
      <c r="H45" s="713">
        <f>transport!G18</f>
        <v>77706.090676310632</v>
      </c>
      <c r="I45" s="713">
        <f>transport!H18</f>
        <v>9616.4563781101388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87530.999165374262</v>
      </c>
    </row>
    <row r="46" spans="1:18" ht="15.75" thickBot="1">
      <c r="A46" s="874" t="s">
        <v>230</v>
      </c>
      <c r="B46" s="887"/>
      <c r="C46" s="749">
        <f t="shared" ref="C46:R46" ca="1" si="5">SUM(C43:C45)</f>
        <v>3.2011554833360245</v>
      </c>
      <c r="D46" s="749">
        <f t="shared" ca="1" si="5"/>
        <v>0</v>
      </c>
      <c r="E46" s="749">
        <f t="shared" si="5"/>
        <v>5.0501998172696441</v>
      </c>
      <c r="F46" s="749">
        <f t="shared" si="5"/>
        <v>200.2007556528817</v>
      </c>
      <c r="G46" s="749">
        <f t="shared" si="5"/>
        <v>0</v>
      </c>
      <c r="H46" s="749">
        <f t="shared" si="5"/>
        <v>78230.45947860225</v>
      </c>
      <c r="I46" s="749">
        <f t="shared" si="5"/>
        <v>9616.4563781101388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88055.367967665879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327.17883474264835</v>
      </c>
      <c r="D48" s="704">
        <f ca="1">+landbouw!C12</f>
        <v>0</v>
      </c>
      <c r="E48" s="704">
        <f>+landbouw!D12</f>
        <v>1612.9545559447906</v>
      </c>
      <c r="F48" s="704">
        <f>+landbouw!E12</f>
        <v>4.6306728543977345</v>
      </c>
      <c r="G48" s="704">
        <f>+landbouw!F12</f>
        <v>1491.3005820483734</v>
      </c>
      <c r="H48" s="704">
        <f>+landbouw!G12</f>
        <v>0</v>
      </c>
      <c r="I48" s="704">
        <f>+landbouw!H12</f>
        <v>0</v>
      </c>
      <c r="J48" s="704">
        <f>+landbouw!I12</f>
        <v>0</v>
      </c>
      <c r="K48" s="704">
        <f>+landbouw!J12</f>
        <v>86.182992256638883</v>
      </c>
      <c r="L48" s="704">
        <f>+landbouw!K12</f>
        <v>0</v>
      </c>
      <c r="M48" s="704">
        <f>+landbouw!L12</f>
        <v>0</v>
      </c>
      <c r="N48" s="704">
        <f>+landbouw!M12</f>
        <v>0</v>
      </c>
      <c r="O48" s="704">
        <f>+landbouw!N12</f>
        <v>0</v>
      </c>
      <c r="P48" s="704">
        <f>+landbouw!O12</f>
        <v>0</v>
      </c>
      <c r="Q48" s="705">
        <f>+landbouw!P12</f>
        <v>0</v>
      </c>
      <c r="R48" s="747">
        <f ca="1">SUM(C48:Q48)</f>
        <v>3522.2476378468491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81665.119580442755</v>
      </c>
      <c r="D53" s="759">
        <f t="shared" ref="D53:Q53" ca="1" si="6">D41+D46+D48</f>
        <v>0</v>
      </c>
      <c r="E53" s="759">
        <f t="shared" ca="1" si="6"/>
        <v>94228.233081447426</v>
      </c>
      <c r="F53" s="759">
        <f t="shared" si="6"/>
        <v>5055.9282965322545</v>
      </c>
      <c r="G53" s="759">
        <f t="shared" ca="1" si="6"/>
        <v>38250.060779883737</v>
      </c>
      <c r="H53" s="759">
        <f t="shared" si="6"/>
        <v>78230.45947860225</v>
      </c>
      <c r="I53" s="759">
        <f t="shared" si="6"/>
        <v>9616.4563781101388</v>
      </c>
      <c r="J53" s="759">
        <f t="shared" si="6"/>
        <v>0</v>
      </c>
      <c r="K53" s="759">
        <f t="shared" si="6"/>
        <v>225.95079198810794</v>
      </c>
      <c r="L53" s="759">
        <f t="shared" si="6"/>
        <v>0</v>
      </c>
      <c r="M53" s="759">
        <f t="shared" ca="1" si="6"/>
        <v>0</v>
      </c>
      <c r="N53" s="759">
        <f t="shared" si="6"/>
        <v>0</v>
      </c>
      <c r="O53" s="759">
        <f t="shared" ca="1" si="6"/>
        <v>0</v>
      </c>
      <c r="P53" s="759">
        <f>P41+P46+P48</f>
        <v>0</v>
      </c>
      <c r="Q53" s="760">
        <f t="shared" si="6"/>
        <v>0</v>
      </c>
      <c r="R53" s="761">
        <f ca="1">R41+R46+R48</f>
        <v>307272.20838700671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0.20210725552217371</v>
      </c>
      <c r="D55" s="824">
        <f t="shared" ca="1" si="7"/>
        <v>0</v>
      </c>
      <c r="E55" s="824">
        <f t="shared" ca="1" si="7"/>
        <v>0.20200000000000001</v>
      </c>
      <c r="F55" s="824">
        <f t="shared" si="7"/>
        <v>0.22700000000000001</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31316.294965870948</v>
      </c>
      <c r="C66" s="781">
        <f>'lokale energieproductie'!B6</f>
        <v>31316.294965870948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3226.5</v>
      </c>
      <c r="C68" s="780">
        <f>B68*IFERROR(SUM(J68:L68)/SUM(D68:M68),0)</f>
        <v>3226.5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9218.5714285714294</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34542.794965870948</v>
      </c>
      <c r="C69" s="789">
        <f>SUM(C64:C68)</f>
        <v>34542.794965870948</v>
      </c>
      <c r="D69" s="790">
        <f t="shared" ref="D69:M69" si="8">SUM(D67:D68)</f>
        <v>0</v>
      </c>
      <c r="E69" s="790">
        <f t="shared" si="8"/>
        <v>0</v>
      </c>
      <c r="F69" s="790">
        <f t="shared" si="8"/>
        <v>0</v>
      </c>
      <c r="G69" s="790">
        <f t="shared" si="8"/>
        <v>0</v>
      </c>
      <c r="H69" s="790">
        <f t="shared" si="8"/>
        <v>0</v>
      </c>
      <c r="I69" s="790">
        <f t="shared" si="8"/>
        <v>0</v>
      </c>
      <c r="J69" s="790">
        <f t="shared" si="8"/>
        <v>0</v>
      </c>
      <c r="K69" s="790">
        <f t="shared" si="8"/>
        <v>9218.5714285714294</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69223.178956697142</v>
      </c>
      <c r="C4" s="463">
        <f>huishoudens!C8</f>
        <v>0</v>
      </c>
      <c r="D4" s="463">
        <f>huishoudens!D8</f>
        <v>137089.36519454073</v>
      </c>
      <c r="E4" s="463">
        <f>huishoudens!E8</f>
        <v>7197.7277926486713</v>
      </c>
      <c r="F4" s="463">
        <f>huishoudens!F8</f>
        <v>70954.983350141018</v>
      </c>
      <c r="G4" s="463">
        <f>huishoudens!G8</f>
        <v>0</v>
      </c>
      <c r="H4" s="463">
        <f>huishoudens!H8</f>
        <v>0</v>
      </c>
      <c r="I4" s="463">
        <f>huishoudens!I8</f>
        <v>0</v>
      </c>
      <c r="J4" s="463">
        <f>huishoudens!J8</f>
        <v>0</v>
      </c>
      <c r="K4" s="463">
        <f>huishoudens!K8</f>
        <v>0</v>
      </c>
      <c r="L4" s="463">
        <f>huishoudens!L8</f>
        <v>0</v>
      </c>
      <c r="M4" s="463">
        <f>huishoudens!M8</f>
        <v>0</v>
      </c>
      <c r="N4" s="463">
        <f>huishoudens!N8</f>
        <v>30764.92239167896</v>
      </c>
      <c r="O4" s="463">
        <f>huishoudens!O8</f>
        <v>475.25333333333333</v>
      </c>
      <c r="P4" s="464">
        <f>huishoudens!P8</f>
        <v>819.86666666666667</v>
      </c>
      <c r="Q4" s="465">
        <f>SUM(B4:P4)</f>
        <v>316525.29768570652</v>
      </c>
    </row>
    <row r="5" spans="1:17">
      <c r="A5" s="462" t="s">
        <v>156</v>
      </c>
      <c r="B5" s="463">
        <f ca="1">tertiair!B16</f>
        <v>73077.51824587927</v>
      </c>
      <c r="C5" s="463">
        <f ca="1">tertiair!C16</f>
        <v>0</v>
      </c>
      <c r="D5" s="463">
        <f ca="1">tertiair!D16</f>
        <v>119395.39231481442</v>
      </c>
      <c r="E5" s="463">
        <f>tertiair!E16</f>
        <v>1018.9748211802388</v>
      </c>
      <c r="F5" s="463">
        <f ca="1">tertiair!F16</f>
        <v>13917.330593105115</v>
      </c>
      <c r="G5" s="463">
        <f>tertiair!G16</f>
        <v>0</v>
      </c>
      <c r="H5" s="463">
        <f>tertiair!H16</f>
        <v>0</v>
      </c>
      <c r="I5" s="463">
        <f>tertiair!I16</f>
        <v>0</v>
      </c>
      <c r="J5" s="463">
        <f>tertiair!J16</f>
        <v>0</v>
      </c>
      <c r="K5" s="463">
        <f>tertiair!K16</f>
        <v>0</v>
      </c>
      <c r="L5" s="463">
        <f ca="1">tertiair!L16</f>
        <v>0</v>
      </c>
      <c r="M5" s="463">
        <f>tertiair!M16</f>
        <v>0</v>
      </c>
      <c r="N5" s="463">
        <f ca="1">tertiair!N16</f>
        <v>3728.6122112515091</v>
      </c>
      <c r="O5" s="463">
        <f>tertiair!O16</f>
        <v>4.6900000000000004</v>
      </c>
      <c r="P5" s="464">
        <f>tertiair!P16</f>
        <v>228.8</v>
      </c>
      <c r="Q5" s="462">
        <f t="shared" ref="Q5:Q13" ca="1" si="0">SUM(B5:P5)</f>
        <v>211371.31818623058</v>
      </c>
    </row>
    <row r="6" spans="1:17">
      <c r="A6" s="462" t="s">
        <v>194</v>
      </c>
      <c r="B6" s="463">
        <f>'openbare verlichting'!B8</f>
        <v>2838.4520000000002</v>
      </c>
      <c r="C6" s="463"/>
      <c r="D6" s="463"/>
      <c r="E6" s="463"/>
      <c r="F6" s="463"/>
      <c r="G6" s="463"/>
      <c r="H6" s="463"/>
      <c r="I6" s="463"/>
      <c r="J6" s="463"/>
      <c r="K6" s="463"/>
      <c r="L6" s="463"/>
      <c r="M6" s="463"/>
      <c r="N6" s="463"/>
      <c r="O6" s="463"/>
      <c r="P6" s="464"/>
      <c r="Q6" s="462">
        <f t="shared" si="0"/>
        <v>2838.4520000000002</v>
      </c>
    </row>
    <row r="7" spans="1:17">
      <c r="A7" s="462" t="s">
        <v>112</v>
      </c>
      <c r="B7" s="463">
        <f>landbouw!B8</f>
        <v>1618.8376508173042</v>
      </c>
      <c r="C7" s="463">
        <f>landbouw!C8</f>
        <v>0</v>
      </c>
      <c r="D7" s="463">
        <f>landbouw!D8</f>
        <v>7984.9235442811414</v>
      </c>
      <c r="E7" s="463">
        <f>landbouw!E8</f>
        <v>20.399439887214687</v>
      </c>
      <c r="F7" s="463">
        <f>landbouw!F8</f>
        <v>5585.3954383834207</v>
      </c>
      <c r="G7" s="463">
        <f>landbouw!G8</f>
        <v>0</v>
      </c>
      <c r="H7" s="463">
        <f>landbouw!H8</f>
        <v>0</v>
      </c>
      <c r="I7" s="463">
        <f>landbouw!I8</f>
        <v>0</v>
      </c>
      <c r="J7" s="463">
        <f>landbouw!J8</f>
        <v>243.45478038598554</v>
      </c>
      <c r="K7" s="463">
        <f>landbouw!K8</f>
        <v>0</v>
      </c>
      <c r="L7" s="463">
        <f>landbouw!L8</f>
        <v>0</v>
      </c>
      <c r="M7" s="463">
        <f>landbouw!M8</f>
        <v>0</v>
      </c>
      <c r="N7" s="463">
        <f>landbouw!N8</f>
        <v>0</v>
      </c>
      <c r="O7" s="463">
        <f>landbouw!O8</f>
        <v>0</v>
      </c>
      <c r="P7" s="464">
        <f>landbouw!P8</f>
        <v>0</v>
      </c>
      <c r="Q7" s="462">
        <f t="shared" si="0"/>
        <v>15453.010853755068</v>
      </c>
    </row>
    <row r="8" spans="1:17">
      <c r="A8" s="462" t="s">
        <v>657</v>
      </c>
      <c r="B8" s="463">
        <f>industrie!B18</f>
        <v>257294.39718385367</v>
      </c>
      <c r="C8" s="463">
        <f>industrie!C18</f>
        <v>0</v>
      </c>
      <c r="D8" s="463">
        <f>industrie!D18</f>
        <v>201981.71935047337</v>
      </c>
      <c r="E8" s="463">
        <f>industrie!E18</f>
        <v>13153.768170422081</v>
      </c>
      <c r="F8" s="463">
        <f>industrie!F18</f>
        <v>52800.945224676558</v>
      </c>
      <c r="G8" s="463">
        <f>industrie!G18</f>
        <v>0</v>
      </c>
      <c r="H8" s="463">
        <f>industrie!H18</f>
        <v>0</v>
      </c>
      <c r="I8" s="463">
        <f>industrie!I18</f>
        <v>0</v>
      </c>
      <c r="J8" s="463">
        <f>industrie!J18</f>
        <v>394.82429302674876</v>
      </c>
      <c r="K8" s="463">
        <f>industrie!K18</f>
        <v>0</v>
      </c>
      <c r="L8" s="463">
        <f>industrie!L18</f>
        <v>0</v>
      </c>
      <c r="M8" s="463">
        <f>industrie!M18</f>
        <v>0</v>
      </c>
      <c r="N8" s="463">
        <f>industrie!N18</f>
        <v>28551.923720454615</v>
      </c>
      <c r="O8" s="463">
        <f>industrie!O18</f>
        <v>0</v>
      </c>
      <c r="P8" s="464">
        <f>industrie!P18</f>
        <v>0</v>
      </c>
      <c r="Q8" s="462">
        <f t="shared" si="0"/>
        <v>554177.57794290688</v>
      </c>
    </row>
    <row r="9" spans="1:17" s="468" customFormat="1">
      <c r="A9" s="466" t="s">
        <v>574</v>
      </c>
      <c r="B9" s="467">
        <f>transport!B14</f>
        <v>15.838894427938126</v>
      </c>
      <c r="C9" s="467">
        <f>transport!C14</f>
        <v>0</v>
      </c>
      <c r="D9" s="467">
        <f>transport!D14</f>
        <v>25.000989194404177</v>
      </c>
      <c r="E9" s="467">
        <f>transport!E14</f>
        <v>881.94165485850965</v>
      </c>
      <c r="F9" s="467">
        <f>transport!F14</f>
        <v>0</v>
      </c>
      <c r="G9" s="467">
        <f>transport!G14</f>
        <v>291034.04747681884</v>
      </c>
      <c r="H9" s="467">
        <f>transport!H14</f>
        <v>38620.306739398147</v>
      </c>
      <c r="I9" s="467">
        <f>transport!I14</f>
        <v>0</v>
      </c>
      <c r="J9" s="467">
        <f>transport!J14</f>
        <v>0</v>
      </c>
      <c r="K9" s="467">
        <f>transport!K14</f>
        <v>0</v>
      </c>
      <c r="L9" s="467">
        <f>transport!L14</f>
        <v>0</v>
      </c>
      <c r="M9" s="467">
        <f>transport!M14</f>
        <v>14782.252843815017</v>
      </c>
      <c r="N9" s="467">
        <f>transport!N14</f>
        <v>0</v>
      </c>
      <c r="O9" s="467">
        <f>transport!O14</f>
        <v>0</v>
      </c>
      <c r="P9" s="467">
        <f>transport!P14</f>
        <v>0</v>
      </c>
      <c r="Q9" s="466">
        <f>SUM(B9:P9)</f>
        <v>345359.38859851286</v>
      </c>
    </row>
    <row r="10" spans="1:17">
      <c r="A10" s="462" t="s">
        <v>564</v>
      </c>
      <c r="B10" s="463">
        <f>transport!B54</f>
        <v>0</v>
      </c>
      <c r="C10" s="463">
        <f>transport!C54</f>
        <v>0</v>
      </c>
      <c r="D10" s="463">
        <f>transport!D54</f>
        <v>0</v>
      </c>
      <c r="E10" s="463">
        <f>transport!E54</f>
        <v>0</v>
      </c>
      <c r="F10" s="463">
        <f>transport!F54</f>
        <v>0</v>
      </c>
      <c r="G10" s="463">
        <f>transport!G54</f>
        <v>1963.9280984704997</v>
      </c>
      <c r="H10" s="463">
        <f>transport!H54</f>
        <v>0</v>
      </c>
      <c r="I10" s="463">
        <f>transport!I54</f>
        <v>0</v>
      </c>
      <c r="J10" s="463">
        <f>transport!J54</f>
        <v>0</v>
      </c>
      <c r="K10" s="463">
        <f>transport!K54</f>
        <v>0</v>
      </c>
      <c r="L10" s="463">
        <f>transport!L54</f>
        <v>0</v>
      </c>
      <c r="M10" s="463">
        <f>transport!M54</f>
        <v>87.340686142885147</v>
      </c>
      <c r="N10" s="463">
        <f>transport!N54</f>
        <v>0</v>
      </c>
      <c r="O10" s="463">
        <f>transport!O54</f>
        <v>0</v>
      </c>
      <c r="P10" s="464">
        <f>transport!P54</f>
        <v>0</v>
      </c>
      <c r="Q10" s="462">
        <f t="shared" si="0"/>
        <v>2051.2687846133849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404068.22293167532</v>
      </c>
      <c r="C14" s="473">
        <f t="shared" ref="C14:Q14" ca="1" si="1">SUM(C4:C13)</f>
        <v>0</v>
      </c>
      <c r="D14" s="473">
        <f t="shared" ca="1" si="1"/>
        <v>466476.40139330406</v>
      </c>
      <c r="E14" s="473">
        <f t="shared" si="1"/>
        <v>22272.811878996716</v>
      </c>
      <c r="F14" s="473">
        <f t="shared" ca="1" si="1"/>
        <v>143258.65460630611</v>
      </c>
      <c r="G14" s="473">
        <f t="shared" si="1"/>
        <v>292997.97557528934</v>
      </c>
      <c r="H14" s="473">
        <f t="shared" si="1"/>
        <v>38620.306739398147</v>
      </c>
      <c r="I14" s="473">
        <f t="shared" si="1"/>
        <v>0</v>
      </c>
      <c r="J14" s="473">
        <f t="shared" si="1"/>
        <v>638.27907341273431</v>
      </c>
      <c r="K14" s="473">
        <f t="shared" si="1"/>
        <v>0</v>
      </c>
      <c r="L14" s="473">
        <f t="shared" ca="1" si="1"/>
        <v>0</v>
      </c>
      <c r="M14" s="473">
        <f t="shared" si="1"/>
        <v>14869.593529957901</v>
      </c>
      <c r="N14" s="473">
        <f t="shared" ca="1" si="1"/>
        <v>63045.458323385086</v>
      </c>
      <c r="O14" s="473">
        <f t="shared" si="1"/>
        <v>479.94333333333333</v>
      </c>
      <c r="P14" s="474">
        <f t="shared" si="1"/>
        <v>1048.6666666666667</v>
      </c>
      <c r="Q14" s="474">
        <f t="shared" ca="1" si="1"/>
        <v>1447776.3140517254</v>
      </c>
    </row>
    <row r="16" spans="1:17">
      <c r="A16" s="476" t="s">
        <v>569</v>
      </c>
      <c r="B16" s="829">
        <f ca="1">huishoudens!B10</f>
        <v>0.20210725552217373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13990.506717458349</v>
      </c>
      <c r="C21" s="463">
        <f t="shared" ref="C21:C30" ca="1" si="3">C4*$C$16</f>
        <v>0</v>
      </c>
      <c r="D21" s="463">
        <f t="shared" ref="D21:D30" si="4">D4*$D$16</f>
        <v>27692.051769297228</v>
      </c>
      <c r="E21" s="463">
        <f t="shared" ref="E21:E30" si="5">E4*$E$16</f>
        <v>1633.8842089312484</v>
      </c>
      <c r="F21" s="463">
        <f t="shared" ref="F21:F30" si="6">F4*$F$16</f>
        <v>18944.980554487654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62261.42325017447</v>
      </c>
    </row>
    <row r="22" spans="1:17">
      <c r="A22" s="462" t="s">
        <v>156</v>
      </c>
      <c r="B22" s="463">
        <f t="shared" ca="1" si="2"/>
        <v>14769.496653046235</v>
      </c>
      <c r="C22" s="463">
        <f t="shared" ca="1" si="3"/>
        <v>0</v>
      </c>
      <c r="D22" s="463">
        <f t="shared" ca="1" si="4"/>
        <v>24117.869247592516</v>
      </c>
      <c r="E22" s="463">
        <f t="shared" si="5"/>
        <v>231.30728440791421</v>
      </c>
      <c r="F22" s="463">
        <f t="shared" ca="1" si="6"/>
        <v>3715.9272683590657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42834.600453405736</v>
      </c>
    </row>
    <row r="23" spans="1:17">
      <c r="A23" s="462" t="s">
        <v>194</v>
      </c>
      <c r="B23" s="463">
        <f t="shared" ca="1" si="2"/>
        <v>573.67174365142512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573.67174365142512</v>
      </c>
    </row>
    <row r="24" spans="1:17">
      <c r="A24" s="462" t="s">
        <v>112</v>
      </c>
      <c r="B24" s="463">
        <f t="shared" ca="1" si="2"/>
        <v>327.17883474264835</v>
      </c>
      <c r="C24" s="463">
        <f t="shared" ca="1" si="3"/>
        <v>0</v>
      </c>
      <c r="D24" s="463">
        <f t="shared" si="4"/>
        <v>1612.9545559447906</v>
      </c>
      <c r="E24" s="463">
        <f t="shared" si="5"/>
        <v>4.6306728543977345</v>
      </c>
      <c r="F24" s="463">
        <f t="shared" si="6"/>
        <v>1491.3005820483734</v>
      </c>
      <c r="G24" s="463">
        <f t="shared" si="7"/>
        <v>0</v>
      </c>
      <c r="H24" s="463">
        <f t="shared" si="8"/>
        <v>0</v>
      </c>
      <c r="I24" s="463">
        <f t="shared" si="9"/>
        <v>0</v>
      </c>
      <c r="J24" s="463">
        <f t="shared" si="10"/>
        <v>86.182992256638883</v>
      </c>
      <c r="K24" s="463">
        <f t="shared" si="11"/>
        <v>0</v>
      </c>
      <c r="L24" s="463">
        <f t="shared" si="12"/>
        <v>0</v>
      </c>
      <c r="M24" s="463">
        <f t="shared" si="13"/>
        <v>0</v>
      </c>
      <c r="N24" s="463">
        <f t="shared" si="14"/>
        <v>0</v>
      </c>
      <c r="O24" s="463">
        <f t="shared" si="15"/>
        <v>0</v>
      </c>
      <c r="P24" s="464">
        <f t="shared" si="16"/>
        <v>0</v>
      </c>
      <c r="Q24" s="462">
        <f t="shared" ca="1" si="17"/>
        <v>3522.2476378468491</v>
      </c>
    </row>
    <row r="25" spans="1:17">
      <c r="A25" s="462" t="s">
        <v>657</v>
      </c>
      <c r="B25" s="463">
        <f t="shared" ca="1" si="2"/>
        <v>52001.064476060768</v>
      </c>
      <c r="C25" s="463">
        <f t="shared" ca="1" si="3"/>
        <v>0</v>
      </c>
      <c r="D25" s="463">
        <f t="shared" si="4"/>
        <v>40800.307308795622</v>
      </c>
      <c r="E25" s="463">
        <f t="shared" si="5"/>
        <v>2985.9053746858126</v>
      </c>
      <c r="F25" s="463">
        <f t="shared" si="6"/>
        <v>14097.852374988641</v>
      </c>
      <c r="G25" s="463">
        <f t="shared" si="7"/>
        <v>0</v>
      </c>
      <c r="H25" s="463">
        <f t="shared" si="8"/>
        <v>0</v>
      </c>
      <c r="I25" s="463">
        <f t="shared" si="9"/>
        <v>0</v>
      </c>
      <c r="J25" s="463">
        <f t="shared" si="10"/>
        <v>139.76779973146907</v>
      </c>
      <c r="K25" s="463">
        <f t="shared" si="11"/>
        <v>0</v>
      </c>
      <c r="L25" s="463">
        <f t="shared" si="12"/>
        <v>0</v>
      </c>
      <c r="M25" s="463">
        <f t="shared" si="13"/>
        <v>0</v>
      </c>
      <c r="N25" s="463">
        <f t="shared" si="14"/>
        <v>0</v>
      </c>
      <c r="O25" s="463">
        <f t="shared" si="15"/>
        <v>0</v>
      </c>
      <c r="P25" s="464">
        <f t="shared" si="16"/>
        <v>0</v>
      </c>
      <c r="Q25" s="462">
        <f t="shared" ca="1" si="17"/>
        <v>110024.89733426232</v>
      </c>
    </row>
    <row r="26" spans="1:17" s="468" customFormat="1">
      <c r="A26" s="466" t="s">
        <v>574</v>
      </c>
      <c r="B26" s="823">
        <f t="shared" ca="1" si="2"/>
        <v>3.2011554833360245</v>
      </c>
      <c r="C26" s="467">
        <f t="shared" ca="1" si="3"/>
        <v>0</v>
      </c>
      <c r="D26" s="467">
        <f t="shared" si="4"/>
        <v>5.0501998172696441</v>
      </c>
      <c r="E26" s="467">
        <f t="shared" si="5"/>
        <v>200.2007556528817</v>
      </c>
      <c r="F26" s="467">
        <f t="shared" si="6"/>
        <v>0</v>
      </c>
      <c r="G26" s="467">
        <f t="shared" si="7"/>
        <v>77706.090676310632</v>
      </c>
      <c r="H26" s="467">
        <f t="shared" si="8"/>
        <v>9616.4563781101388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87530.999165374262</v>
      </c>
    </row>
    <row r="27" spans="1:17">
      <c r="A27" s="462" t="s">
        <v>564</v>
      </c>
      <c r="B27" s="463">
        <f t="shared" ca="1" si="2"/>
        <v>0</v>
      </c>
      <c r="C27" s="463">
        <f t="shared" ca="1" si="3"/>
        <v>0</v>
      </c>
      <c r="D27" s="463">
        <f t="shared" si="4"/>
        <v>0</v>
      </c>
      <c r="E27" s="463">
        <f t="shared" si="5"/>
        <v>0</v>
      </c>
      <c r="F27" s="463">
        <f t="shared" si="6"/>
        <v>0</v>
      </c>
      <c r="G27" s="463">
        <f t="shared" si="7"/>
        <v>524.36880229162341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524.36880229162341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81665.119580442755</v>
      </c>
      <c r="C31" s="473">
        <f t="shared" ca="1" si="18"/>
        <v>0</v>
      </c>
      <c r="D31" s="473">
        <f t="shared" ca="1" si="18"/>
        <v>94228.233081447412</v>
      </c>
      <c r="E31" s="473">
        <f t="shared" si="18"/>
        <v>5055.9282965322545</v>
      </c>
      <c r="F31" s="473">
        <f t="shared" ca="1" si="18"/>
        <v>38250.06077988373</v>
      </c>
      <c r="G31" s="473">
        <f t="shared" si="18"/>
        <v>78230.45947860225</v>
      </c>
      <c r="H31" s="473">
        <f t="shared" si="18"/>
        <v>9616.4563781101388</v>
      </c>
      <c r="I31" s="473">
        <f t="shared" si="18"/>
        <v>0</v>
      </c>
      <c r="J31" s="473">
        <f t="shared" si="18"/>
        <v>225.95079198810794</v>
      </c>
      <c r="K31" s="473">
        <f t="shared" si="18"/>
        <v>0</v>
      </c>
      <c r="L31" s="473">
        <f t="shared" ca="1" si="18"/>
        <v>0</v>
      </c>
      <c r="M31" s="473">
        <f t="shared" si="18"/>
        <v>0</v>
      </c>
      <c r="N31" s="473">
        <f t="shared" ca="1" si="18"/>
        <v>0</v>
      </c>
      <c r="O31" s="473">
        <f t="shared" si="18"/>
        <v>0</v>
      </c>
      <c r="P31" s="474">
        <f t="shared" si="18"/>
        <v>0</v>
      </c>
      <c r="Q31" s="474">
        <f t="shared" ca="1" si="18"/>
        <v>307272.20838700671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0.20210725552217373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0.20210725552217373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0.20210725552217373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15353</v>
      </c>
      <c r="C9" s="338">
        <v>15588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1637</v>
      </c>
    </row>
    <row r="15" spans="1:6">
      <c r="A15" s="1212" t="s">
        <v>184</v>
      </c>
      <c r="B15" s="335">
        <v>19</v>
      </c>
    </row>
    <row r="16" spans="1:6">
      <c r="A16" s="1212" t="s">
        <v>6</v>
      </c>
      <c r="B16" s="335">
        <v>604</v>
      </c>
    </row>
    <row r="17" spans="1:6">
      <c r="A17" s="1212" t="s">
        <v>7</v>
      </c>
      <c r="B17" s="335">
        <v>551</v>
      </c>
    </row>
    <row r="18" spans="1:6">
      <c r="A18" s="1212" t="s">
        <v>8</v>
      </c>
      <c r="B18" s="335">
        <v>701</v>
      </c>
    </row>
    <row r="19" spans="1:6">
      <c r="A19" s="1212" t="s">
        <v>9</v>
      </c>
      <c r="B19" s="335">
        <v>639</v>
      </c>
    </row>
    <row r="20" spans="1:6">
      <c r="A20" s="1212" t="s">
        <v>10</v>
      </c>
      <c r="B20" s="335">
        <v>523</v>
      </c>
    </row>
    <row r="21" spans="1:6">
      <c r="A21" s="1212" t="s">
        <v>11</v>
      </c>
      <c r="B21" s="335">
        <v>1383</v>
      </c>
    </row>
    <row r="22" spans="1:6">
      <c r="A22" s="1212" t="s">
        <v>12</v>
      </c>
      <c r="B22" s="335">
        <v>5606</v>
      </c>
    </row>
    <row r="23" spans="1:6">
      <c r="A23" s="1212" t="s">
        <v>13</v>
      </c>
      <c r="B23" s="335">
        <v>25</v>
      </c>
    </row>
    <row r="24" spans="1:6">
      <c r="A24" s="1212" t="s">
        <v>14</v>
      </c>
      <c r="B24" s="335">
        <v>2</v>
      </c>
    </row>
    <row r="25" spans="1:6">
      <c r="A25" s="1212" t="s">
        <v>15</v>
      </c>
      <c r="B25" s="335">
        <v>343</v>
      </c>
    </row>
    <row r="26" spans="1:6">
      <c r="A26" s="1212" t="s">
        <v>16</v>
      </c>
      <c r="B26" s="335">
        <v>231</v>
      </c>
    </row>
    <row r="27" spans="1:6">
      <c r="A27" s="1212" t="s">
        <v>17</v>
      </c>
      <c r="B27" s="335">
        <v>15</v>
      </c>
    </row>
    <row r="28" spans="1:6" s="341" customFormat="1">
      <c r="A28" s="1213" t="s">
        <v>18</v>
      </c>
      <c r="B28" s="1213">
        <v>35314</v>
      </c>
    </row>
    <row r="29" spans="1:6">
      <c r="A29" s="1213" t="s">
        <v>836</v>
      </c>
      <c r="B29" s="1213">
        <v>69</v>
      </c>
      <c r="C29" s="341"/>
      <c r="D29" s="341"/>
      <c r="E29" s="341"/>
      <c r="F29" s="341"/>
    </row>
    <row r="30" spans="1:6">
      <c r="A30" s="1208" t="s">
        <v>837</v>
      </c>
      <c r="B30" s="1208">
        <v>50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4</v>
      </c>
      <c r="D36" s="335">
        <v>1129342.0031412099</v>
      </c>
      <c r="E36" s="335">
        <v>8</v>
      </c>
      <c r="F36" s="335">
        <v>83982.9495945534</v>
      </c>
    </row>
    <row r="37" spans="1:6">
      <c r="A37" s="1212" t="s">
        <v>25</v>
      </c>
      <c r="B37" s="1212" t="s">
        <v>28</v>
      </c>
      <c r="C37" s="335">
        <v>0</v>
      </c>
      <c r="D37" s="335">
        <v>0</v>
      </c>
      <c r="E37" s="335">
        <v>0</v>
      </c>
      <c r="F37" s="335">
        <v>0</v>
      </c>
    </row>
    <row r="38" spans="1:6">
      <c r="A38" s="1212" t="s">
        <v>25</v>
      </c>
      <c r="B38" s="1212" t="s">
        <v>29</v>
      </c>
      <c r="C38" s="335">
        <v>1</v>
      </c>
      <c r="D38" s="335">
        <v>10661.011556596301</v>
      </c>
      <c r="E38" s="335">
        <v>5</v>
      </c>
      <c r="F38" s="335">
        <v>14883.3568811201</v>
      </c>
    </row>
    <row r="39" spans="1:6">
      <c r="A39" s="1212" t="s">
        <v>30</v>
      </c>
      <c r="B39" s="1212" t="s">
        <v>31</v>
      </c>
      <c r="C39" s="335">
        <v>8764</v>
      </c>
      <c r="D39" s="335">
        <v>151899129.87244099</v>
      </c>
      <c r="E39" s="335">
        <v>14831</v>
      </c>
      <c r="F39" s="335">
        <v>63196860.662886202</v>
      </c>
    </row>
    <row r="40" spans="1:6">
      <c r="A40" s="1212" t="s">
        <v>30</v>
      </c>
      <c r="B40" s="1212" t="s">
        <v>29</v>
      </c>
      <c r="C40" s="335">
        <v>2</v>
      </c>
      <c r="D40" s="335">
        <v>84645.287803705301</v>
      </c>
      <c r="E40" s="335">
        <v>2</v>
      </c>
      <c r="F40" s="335">
        <v>13234.651166042</v>
      </c>
    </row>
    <row r="41" spans="1:6">
      <c r="A41" s="1212" t="s">
        <v>32</v>
      </c>
      <c r="B41" s="1212" t="s">
        <v>33</v>
      </c>
      <c r="C41" s="335">
        <v>171</v>
      </c>
      <c r="D41" s="335">
        <v>9779817.2368996907</v>
      </c>
      <c r="E41" s="335">
        <v>512</v>
      </c>
      <c r="F41" s="335">
        <v>16282842.3616347</v>
      </c>
    </row>
    <row r="42" spans="1:6">
      <c r="A42" s="1212" t="s">
        <v>32</v>
      </c>
      <c r="B42" s="1212" t="s">
        <v>34</v>
      </c>
      <c r="C42" s="335">
        <v>0</v>
      </c>
      <c r="D42" s="335">
        <v>0</v>
      </c>
      <c r="E42" s="335">
        <v>3</v>
      </c>
      <c r="F42" s="335">
        <v>1237364.6626825801</v>
      </c>
    </row>
    <row r="43" spans="1:6">
      <c r="A43" s="1212" t="s">
        <v>32</v>
      </c>
      <c r="B43" s="1212" t="s">
        <v>35</v>
      </c>
      <c r="C43" s="335">
        <v>0</v>
      </c>
      <c r="D43" s="335">
        <v>0</v>
      </c>
      <c r="E43" s="335">
        <v>0</v>
      </c>
      <c r="F43" s="335">
        <v>0</v>
      </c>
    </row>
    <row r="44" spans="1:6">
      <c r="A44" s="1212" t="s">
        <v>32</v>
      </c>
      <c r="B44" s="1212" t="s">
        <v>36</v>
      </c>
      <c r="C44" s="335">
        <v>18</v>
      </c>
      <c r="D44" s="335">
        <v>8731059.1577730794</v>
      </c>
      <c r="E44" s="335">
        <v>64</v>
      </c>
      <c r="F44" s="335">
        <v>6869421.0104858996</v>
      </c>
    </row>
    <row r="45" spans="1:6">
      <c r="A45" s="1212" t="s">
        <v>32</v>
      </c>
      <c r="B45" s="1212" t="s">
        <v>37</v>
      </c>
      <c r="C45" s="335">
        <v>0</v>
      </c>
      <c r="D45" s="335">
        <v>0</v>
      </c>
      <c r="E45" s="335">
        <v>13</v>
      </c>
      <c r="F45" s="335">
        <v>1293929.34563307</v>
      </c>
    </row>
    <row r="46" spans="1:6">
      <c r="A46" s="1212" t="s">
        <v>32</v>
      </c>
      <c r="B46" s="1212" t="s">
        <v>38</v>
      </c>
      <c r="C46" s="335">
        <v>0</v>
      </c>
      <c r="D46" s="335">
        <v>0</v>
      </c>
      <c r="E46" s="335">
        <v>0</v>
      </c>
      <c r="F46" s="335">
        <v>0</v>
      </c>
    </row>
    <row r="47" spans="1:6">
      <c r="A47" s="1212" t="s">
        <v>32</v>
      </c>
      <c r="B47" s="1212" t="s">
        <v>39</v>
      </c>
      <c r="C47" s="335">
        <v>0</v>
      </c>
      <c r="D47" s="335">
        <v>0</v>
      </c>
      <c r="E47" s="335">
        <v>11</v>
      </c>
      <c r="F47" s="335">
        <v>912141.02609596704</v>
      </c>
    </row>
    <row r="48" spans="1:6">
      <c r="A48" s="1212" t="s">
        <v>32</v>
      </c>
      <c r="B48" s="1212" t="s">
        <v>29</v>
      </c>
      <c r="C48" s="335">
        <v>106</v>
      </c>
      <c r="D48" s="335">
        <v>183267894.59415901</v>
      </c>
      <c r="E48" s="335">
        <v>150</v>
      </c>
      <c r="F48" s="335">
        <v>151262946.35766301</v>
      </c>
    </row>
    <row r="49" spans="1:6">
      <c r="A49" s="1212" t="s">
        <v>32</v>
      </c>
      <c r="B49" s="1212" t="s">
        <v>40</v>
      </c>
      <c r="C49" s="335">
        <v>16</v>
      </c>
      <c r="D49" s="335">
        <v>21145568.771433901</v>
      </c>
      <c r="E49" s="335">
        <v>89</v>
      </c>
      <c r="F49" s="335">
        <v>75351207.942350894</v>
      </c>
    </row>
    <row r="50" spans="1:6">
      <c r="A50" s="1212" t="s">
        <v>32</v>
      </c>
      <c r="B50" s="1212" t="s">
        <v>41</v>
      </c>
      <c r="C50" s="335">
        <v>9</v>
      </c>
      <c r="D50" s="335">
        <v>1002178.36664492</v>
      </c>
      <c r="E50" s="335">
        <v>19</v>
      </c>
      <c r="F50" s="335">
        <v>858044.47730757203</v>
      </c>
    </row>
    <row r="51" spans="1:6">
      <c r="A51" s="1212" t="s">
        <v>42</v>
      </c>
      <c r="B51" s="1212" t="s">
        <v>43</v>
      </c>
      <c r="C51" s="335">
        <v>9</v>
      </c>
      <c r="D51" s="335">
        <v>828015.27021687594</v>
      </c>
      <c r="E51" s="335">
        <v>67</v>
      </c>
      <c r="F51" s="335">
        <v>1233428.8189868701</v>
      </c>
    </row>
    <row r="52" spans="1:6">
      <c r="A52" s="1212" t="s">
        <v>42</v>
      </c>
      <c r="B52" s="1212" t="s">
        <v>29</v>
      </c>
      <c r="C52" s="335">
        <v>12</v>
      </c>
      <c r="D52" s="335">
        <v>1081731.84419669</v>
      </c>
      <c r="E52" s="335">
        <v>25</v>
      </c>
      <c r="F52" s="335">
        <v>385408.83183043398</v>
      </c>
    </row>
    <row r="53" spans="1:6">
      <c r="A53" s="1212" t="s">
        <v>44</v>
      </c>
      <c r="B53" s="1212" t="s">
        <v>45</v>
      </c>
      <c r="C53" s="335">
        <v>238</v>
      </c>
      <c r="D53" s="335">
        <v>6942718.0122839296</v>
      </c>
      <c r="E53" s="335">
        <v>511</v>
      </c>
      <c r="F53" s="335">
        <v>2483616.8636650299</v>
      </c>
    </row>
    <row r="54" spans="1:6">
      <c r="A54" s="1212" t="s">
        <v>46</v>
      </c>
      <c r="B54" s="1212" t="s">
        <v>47</v>
      </c>
      <c r="C54" s="335">
        <v>0</v>
      </c>
      <c r="D54" s="335">
        <v>0</v>
      </c>
      <c r="E54" s="335">
        <v>3</v>
      </c>
      <c r="F54" s="335">
        <v>2838452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83</v>
      </c>
      <c r="D57" s="335">
        <v>4043315.8142326199</v>
      </c>
      <c r="E57" s="335">
        <v>163</v>
      </c>
      <c r="F57" s="335">
        <v>3718563.0719672102</v>
      </c>
    </row>
    <row r="58" spans="1:6">
      <c r="A58" s="1212" t="s">
        <v>49</v>
      </c>
      <c r="B58" s="1212" t="s">
        <v>51</v>
      </c>
      <c r="C58" s="335">
        <v>49</v>
      </c>
      <c r="D58" s="335">
        <v>1757810.6605696001</v>
      </c>
      <c r="E58" s="335">
        <v>90</v>
      </c>
      <c r="F58" s="335">
        <v>4959190.9671409</v>
      </c>
    </row>
    <row r="59" spans="1:6">
      <c r="A59" s="1212" t="s">
        <v>49</v>
      </c>
      <c r="B59" s="1212" t="s">
        <v>52</v>
      </c>
      <c r="C59" s="335">
        <v>254</v>
      </c>
      <c r="D59" s="335">
        <v>17349953.745556999</v>
      </c>
      <c r="E59" s="335">
        <v>633</v>
      </c>
      <c r="F59" s="335">
        <v>29683453.433435101</v>
      </c>
    </row>
    <row r="60" spans="1:6">
      <c r="A60" s="1212" t="s">
        <v>49</v>
      </c>
      <c r="B60" s="1212" t="s">
        <v>53</v>
      </c>
      <c r="C60" s="335">
        <v>115</v>
      </c>
      <c r="D60" s="335">
        <v>9831974.3386153094</v>
      </c>
      <c r="E60" s="335">
        <v>166</v>
      </c>
      <c r="F60" s="335">
        <v>6346230.1286340496</v>
      </c>
    </row>
    <row r="61" spans="1:6">
      <c r="A61" s="1212" t="s">
        <v>49</v>
      </c>
      <c r="B61" s="1212" t="s">
        <v>54</v>
      </c>
      <c r="C61" s="335">
        <v>370</v>
      </c>
      <c r="D61" s="335">
        <v>79071612.894590199</v>
      </c>
      <c r="E61" s="335">
        <v>959</v>
      </c>
      <c r="F61" s="335">
        <v>15288826.9409423</v>
      </c>
    </row>
    <row r="62" spans="1:6">
      <c r="A62" s="1212" t="s">
        <v>49</v>
      </c>
      <c r="B62" s="1212" t="s">
        <v>55</v>
      </c>
      <c r="C62" s="335">
        <v>12</v>
      </c>
      <c r="D62" s="335">
        <v>1091122.7796265299</v>
      </c>
      <c r="E62" s="335">
        <v>25</v>
      </c>
      <c r="F62" s="335">
        <v>608606.30113160994</v>
      </c>
    </row>
    <row r="63" spans="1:6">
      <c r="A63" s="1212" t="s">
        <v>49</v>
      </c>
      <c r="B63" s="1212" t="s">
        <v>29</v>
      </c>
      <c r="C63" s="335">
        <v>278</v>
      </c>
      <c r="D63" s="335">
        <v>19221607.011614099</v>
      </c>
      <c r="E63" s="335">
        <v>312</v>
      </c>
      <c r="F63" s="335">
        <v>12472647.4026281</v>
      </c>
    </row>
    <row r="64" spans="1:6">
      <c r="A64" s="1212" t="s">
        <v>56</v>
      </c>
      <c r="B64" s="1212" t="s">
        <v>57</v>
      </c>
      <c r="C64" s="335">
        <v>0</v>
      </c>
      <c r="D64" s="335">
        <v>0</v>
      </c>
      <c r="E64" s="335">
        <v>0</v>
      </c>
      <c r="F64" s="335">
        <v>0</v>
      </c>
    </row>
    <row r="65" spans="1:6">
      <c r="A65" s="1212" t="s">
        <v>56</v>
      </c>
      <c r="B65" s="1212" t="s">
        <v>29</v>
      </c>
      <c r="C65" s="335">
        <v>4</v>
      </c>
      <c r="D65" s="335">
        <v>75978.887186835593</v>
      </c>
      <c r="E65" s="335">
        <v>4</v>
      </c>
      <c r="F65" s="335">
        <v>117227.780901009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6</v>
      </c>
      <c r="D68" s="335">
        <v>147233.63448157301</v>
      </c>
      <c r="E68" s="335">
        <v>30</v>
      </c>
      <c r="F68" s="335">
        <v>231140.409148559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86186502</v>
      </c>
      <c r="E73" s="335">
        <v>96167027.366195381</v>
      </c>
    </row>
    <row r="74" spans="1:6">
      <c r="A74" s="1212" t="s">
        <v>64</v>
      </c>
      <c r="B74" s="1212" t="s">
        <v>727</v>
      </c>
      <c r="C74" s="1212" t="s">
        <v>728</v>
      </c>
      <c r="D74" s="335">
        <v>9459710.6241204403</v>
      </c>
      <c r="E74" s="335">
        <v>10604762.89954049</v>
      </c>
    </row>
    <row r="75" spans="1:6">
      <c r="A75" s="1212" t="s">
        <v>65</v>
      </c>
      <c r="B75" s="1212" t="s">
        <v>725</v>
      </c>
      <c r="C75" s="1212" t="s">
        <v>729</v>
      </c>
      <c r="D75" s="335">
        <v>32866592</v>
      </c>
      <c r="E75" s="335">
        <v>35396982.851065367</v>
      </c>
    </row>
    <row r="76" spans="1:6">
      <c r="A76" s="1212" t="s">
        <v>65</v>
      </c>
      <c r="B76" s="1212" t="s">
        <v>727</v>
      </c>
      <c r="C76" s="1212" t="s">
        <v>730</v>
      </c>
      <c r="D76" s="335">
        <v>1976819.6241204394</v>
      </c>
      <c r="E76" s="335">
        <v>2161847.8433216871</v>
      </c>
    </row>
    <row r="77" spans="1:6">
      <c r="A77" s="1212" t="s">
        <v>66</v>
      </c>
      <c r="B77" s="1212" t="s">
        <v>725</v>
      </c>
      <c r="C77" s="1212" t="s">
        <v>731</v>
      </c>
      <c r="D77" s="335">
        <v>171015584</v>
      </c>
      <c r="E77" s="335">
        <v>205685150.72418639</v>
      </c>
    </row>
    <row r="78" spans="1:6">
      <c r="A78" s="1208" t="s">
        <v>66</v>
      </c>
      <c r="B78" s="1208" t="s">
        <v>727</v>
      </c>
      <c r="C78" s="1208" t="s">
        <v>732</v>
      </c>
      <c r="D78" s="1208">
        <v>44608043</v>
      </c>
      <c r="E78" s="1208">
        <v>50350056.22741469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541920.75175912119</v>
      </c>
      <c r="C83" s="335">
        <v>545153.85835482844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6013.0836426449014</v>
      </c>
    </row>
    <row r="92" spans="1:6">
      <c r="A92" s="1208" t="s">
        <v>69</v>
      </c>
      <c r="B92" s="338">
        <v>25303.211323226045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5216</v>
      </c>
    </row>
    <row r="98" spans="1:6">
      <c r="A98" s="1212" t="s">
        <v>72</v>
      </c>
      <c r="B98" s="335">
        <v>2</v>
      </c>
    </row>
    <row r="99" spans="1:6">
      <c r="A99" s="1212" t="s">
        <v>73</v>
      </c>
      <c r="B99" s="335">
        <v>157</v>
      </c>
    </row>
    <row r="100" spans="1:6">
      <c r="A100" s="1212" t="s">
        <v>74</v>
      </c>
      <c r="B100" s="335">
        <v>1363</v>
      </c>
    </row>
    <row r="101" spans="1:6">
      <c r="A101" s="1212" t="s">
        <v>75</v>
      </c>
      <c r="B101" s="335">
        <v>179</v>
      </c>
    </row>
    <row r="102" spans="1:6">
      <c r="A102" s="1212" t="s">
        <v>76</v>
      </c>
      <c r="B102" s="335">
        <v>330</v>
      </c>
    </row>
    <row r="103" spans="1:6">
      <c r="A103" s="1212" t="s">
        <v>77</v>
      </c>
      <c r="B103" s="335">
        <v>222</v>
      </c>
    </row>
    <row r="104" spans="1:6">
      <c r="A104" s="1212" t="s">
        <v>78</v>
      </c>
      <c r="B104" s="335">
        <v>6001</v>
      </c>
    </row>
    <row r="105" spans="1:6">
      <c r="A105" s="1208" t="s">
        <v>79</v>
      </c>
      <c r="B105" s="1208">
        <v>20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22</v>
      </c>
      <c r="C123" s="335">
        <v>22</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278</v>
      </c>
    </row>
    <row r="130" spans="1:6">
      <c r="A130" s="1212" t="s">
        <v>295</v>
      </c>
      <c r="B130" s="335">
        <v>3</v>
      </c>
    </row>
    <row r="131" spans="1:6">
      <c r="A131" s="1212" t="s">
        <v>296</v>
      </c>
      <c r="B131" s="335">
        <v>12</v>
      </c>
    </row>
    <row r="132" spans="1:6">
      <c r="A132" s="1208" t="s">
        <v>297</v>
      </c>
      <c r="B132" s="338">
        <v>17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404068.22293167532</v>
      </c>
      <c r="C3" s="43" t="s">
        <v>170</v>
      </c>
      <c r="D3" s="43"/>
      <c r="E3" s="156"/>
      <c r="F3" s="43"/>
      <c r="G3" s="43"/>
      <c r="H3" s="43"/>
      <c r="I3" s="43"/>
      <c r="J3" s="43"/>
      <c r="K3" s="96"/>
    </row>
    <row r="4" spans="1:11">
      <c r="A4" s="366" t="s">
        <v>171</v>
      </c>
      <c r="B4" s="49">
        <f>IF(ISERROR('SEAP template'!B69),0,'SEAP template'!B69)</f>
        <v>34542.794965870948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0.20210725552217373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2838.4520000000002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2838.4520000000002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0.20210725552217373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573.67174365142512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63210.095314052247</v>
      </c>
      <c r="C5" s="17">
        <f>IF(ISERROR('Eigen informatie GS &amp; warmtenet'!B57),0,'Eigen informatie GS &amp; warmtenet'!B57)</f>
        <v>0</v>
      </c>
      <c r="D5" s="30">
        <f>(SUM(HH_hh_gas_kWh,HH_rest_gas_kWh)/1000)*0.902</f>
        <v>137089.36519454073</v>
      </c>
      <c r="E5" s="17">
        <f>B46*B57</f>
        <v>7197.7277926486713</v>
      </c>
      <c r="F5" s="17">
        <f>B51*B62</f>
        <v>70954.983350141018</v>
      </c>
      <c r="G5" s="18"/>
      <c r="H5" s="17"/>
      <c r="I5" s="17"/>
      <c r="J5" s="17">
        <f>B50*B61+C50*C61</f>
        <v>0</v>
      </c>
      <c r="K5" s="17"/>
      <c r="L5" s="17"/>
      <c r="M5" s="17"/>
      <c r="N5" s="17">
        <f>B48*B59+C48*C59</f>
        <v>30764.92239167896</v>
      </c>
      <c r="O5" s="17">
        <f>B69*B70*B71</f>
        <v>475.25333333333333</v>
      </c>
      <c r="P5" s="17">
        <f>B77*B78*B79/1000-B77*B78*B79/1000/B80</f>
        <v>819.86666666666667</v>
      </c>
    </row>
    <row r="6" spans="1:16">
      <c r="A6" s="16" t="s">
        <v>634</v>
      </c>
      <c r="B6" s="831">
        <f>kWh_PV_kleiner_dan_10kW</f>
        <v>6013.0836426449014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69223.178956697142</v>
      </c>
      <c r="C8" s="21">
        <f>C5</f>
        <v>0</v>
      </c>
      <c r="D8" s="21">
        <f>D5</f>
        <v>137089.36519454073</v>
      </c>
      <c r="E8" s="21">
        <f>E5</f>
        <v>7197.7277926486713</v>
      </c>
      <c r="F8" s="21">
        <f>F5</f>
        <v>70954.983350141018</v>
      </c>
      <c r="G8" s="21"/>
      <c r="H8" s="21"/>
      <c r="I8" s="21"/>
      <c r="J8" s="21">
        <f>J5</f>
        <v>0</v>
      </c>
      <c r="K8" s="21"/>
      <c r="L8" s="21">
        <f>L5</f>
        <v>0</v>
      </c>
      <c r="M8" s="21">
        <f>M5</f>
        <v>0</v>
      </c>
      <c r="N8" s="21">
        <f>N5</f>
        <v>30764.92239167896</v>
      </c>
      <c r="O8" s="21">
        <f>O5</f>
        <v>475.25333333333333</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0.20210725552217373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13990.506717458349</v>
      </c>
      <c r="C12" s="23">
        <f ca="1">C10*C8</f>
        <v>0</v>
      </c>
      <c r="D12" s="23">
        <f>D8*D10</f>
        <v>27692.051769297228</v>
      </c>
      <c r="E12" s="23">
        <f>E10*E8</f>
        <v>1633.8842089312484</v>
      </c>
      <c r="F12" s="23">
        <f>F10*F8</f>
        <v>18944.980554487654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5216</v>
      </c>
      <c r="C18" s="168" t="s">
        <v>111</v>
      </c>
      <c r="D18" s="230"/>
      <c r="E18" s="15"/>
    </row>
    <row r="19" spans="1:7">
      <c r="A19" s="173" t="s">
        <v>72</v>
      </c>
      <c r="B19" s="37">
        <f>aantalw2001_ander</f>
        <v>2</v>
      </c>
      <c r="C19" s="168" t="s">
        <v>111</v>
      </c>
      <c r="D19" s="231"/>
      <c r="E19" s="15"/>
    </row>
    <row r="20" spans="1:7">
      <c r="A20" s="173" t="s">
        <v>73</v>
      </c>
      <c r="B20" s="37">
        <f>aantalw2001_propaan</f>
        <v>157</v>
      </c>
      <c r="C20" s="169">
        <f>IF(ISERROR(B20/SUM($B$20,$B$21,$B$22)*100),0,B20/SUM($B$20,$B$21,$B$22)*100)</f>
        <v>9.2407298410829899</v>
      </c>
      <c r="D20" s="231"/>
      <c r="E20" s="15"/>
    </row>
    <row r="21" spans="1:7">
      <c r="A21" s="173" t="s">
        <v>74</v>
      </c>
      <c r="B21" s="37">
        <f>aantalw2001_elektriciteit</f>
        <v>1363</v>
      </c>
      <c r="C21" s="169">
        <f>IF(ISERROR(B21/SUM($B$20,$B$21,$B$22)*100),0,B21/SUM($B$20,$B$21,$B$22)*100)</f>
        <v>80.223660977045313</v>
      </c>
      <c r="D21" s="231"/>
      <c r="E21" s="15"/>
    </row>
    <row r="22" spans="1:7">
      <c r="A22" s="173" t="s">
        <v>75</v>
      </c>
      <c r="B22" s="37">
        <f>aantalw2001_hout</f>
        <v>179</v>
      </c>
      <c r="C22" s="169">
        <f>IF(ISERROR(B22/SUM($B$20,$B$21,$B$22)*100),0,B22/SUM($B$20,$B$21,$B$22)*100)</f>
        <v>10.53560918187169</v>
      </c>
      <c r="D22" s="231"/>
      <c r="E22" s="15"/>
    </row>
    <row r="23" spans="1:7">
      <c r="A23" s="173" t="s">
        <v>76</v>
      </c>
      <c r="B23" s="37">
        <f>aantalw2001_niet_gespec</f>
        <v>330</v>
      </c>
      <c r="C23" s="168" t="s">
        <v>111</v>
      </c>
      <c r="D23" s="230"/>
      <c r="E23" s="15"/>
    </row>
    <row r="24" spans="1:7">
      <c r="A24" s="173" t="s">
        <v>77</v>
      </c>
      <c r="B24" s="37">
        <f>aantalw2001_steenkool</f>
        <v>222</v>
      </c>
      <c r="C24" s="168" t="s">
        <v>111</v>
      </c>
      <c r="D24" s="231"/>
      <c r="E24" s="15"/>
    </row>
    <row r="25" spans="1:7">
      <c r="A25" s="173" t="s">
        <v>78</v>
      </c>
      <c r="B25" s="37">
        <f>aantalw2001_stookolie</f>
        <v>6001</v>
      </c>
      <c r="C25" s="168" t="s">
        <v>111</v>
      </c>
      <c r="D25" s="230"/>
      <c r="E25" s="52"/>
    </row>
    <row r="26" spans="1:7">
      <c r="A26" s="173" t="s">
        <v>79</v>
      </c>
      <c r="B26" s="37">
        <f>aantalw2001_WP</f>
        <v>20</v>
      </c>
      <c r="C26" s="168" t="s">
        <v>111</v>
      </c>
      <c r="D26" s="230"/>
      <c r="E26" s="15"/>
    </row>
    <row r="27" spans="1:7" s="15" customFormat="1">
      <c r="A27" s="173"/>
      <c r="B27" s="29"/>
      <c r="C27" s="36"/>
      <c r="D27" s="230"/>
    </row>
    <row r="28" spans="1:7" s="15" customFormat="1">
      <c r="A28" s="232" t="s">
        <v>745</v>
      </c>
      <c r="B28" s="37">
        <f>aantalHuishoudens2011</f>
        <v>15353</v>
      </c>
      <c r="C28" s="36"/>
      <c r="D28" s="230"/>
    </row>
    <row r="29" spans="1:7" s="15" customFormat="1">
      <c r="A29" s="232" t="s">
        <v>746</v>
      </c>
      <c r="B29" s="37">
        <f>SUM(HH_hh_gas_aantal,HH_rest_gas_aantal)</f>
        <v>8766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8766</v>
      </c>
      <c r="C32" s="169">
        <f>IF(ISERROR(B32/SUM($B$32,$B$34,$B$35,$B$36,$B$38,$B$39)*100),0,B32/SUM($B$32,$B$34,$B$35,$B$36,$B$38,$B$39)*100)</f>
        <v>57.256694970607434</v>
      </c>
      <c r="D32" s="235"/>
      <c r="G32" s="15"/>
    </row>
    <row r="33" spans="1:7">
      <c r="A33" s="173" t="s">
        <v>72</v>
      </c>
      <c r="B33" s="34" t="s">
        <v>111</v>
      </c>
      <c r="C33" s="169"/>
      <c r="D33" s="235"/>
      <c r="G33" s="15"/>
    </row>
    <row r="34" spans="1:7">
      <c r="A34" s="173" t="s">
        <v>73</v>
      </c>
      <c r="B34" s="33">
        <f>IF((($B$28-$B$32-$B$39-$B$77-$B$38)*C20/100)&lt;0,0,($B$28-$B$32-$B$39-$B$77-$B$38)*C20/100)</f>
        <v>345.41848145968214</v>
      </c>
      <c r="C34" s="169">
        <f>IF(ISERROR(B34/SUM($B$32,$B$34,$B$35,$B$36,$B$38,$B$39)*100),0,B34/SUM($B$32,$B$34,$B$35,$B$36,$B$38,$B$39)*100)</f>
        <v>2.256162517698773</v>
      </c>
      <c r="D34" s="235"/>
      <c r="G34" s="15"/>
    </row>
    <row r="35" spans="1:7">
      <c r="A35" s="173" t="s">
        <v>74</v>
      </c>
      <c r="B35" s="33">
        <f>IF((($B$28-$B$32-$B$39-$B$77-$B$38)*C21/100)&lt;0,0,($B$28-$B$32-$B$39-$B$77-$B$38)*C21/100)</f>
        <v>2998.760447321954</v>
      </c>
      <c r="C35" s="169">
        <f>IF(ISERROR(B35/SUM($B$32,$B$34,$B$35,$B$36,$B$38,$B$39)*100),0,B35/SUM($B$32,$B$34,$B$35,$B$36,$B$38,$B$39)*100)</f>
        <v>19.586939564480428</v>
      </c>
      <c r="D35" s="235"/>
      <c r="G35" s="15"/>
    </row>
    <row r="36" spans="1:7">
      <c r="A36" s="173" t="s">
        <v>75</v>
      </c>
      <c r="B36" s="33">
        <f>IF((($B$28-$B$32-$B$39-$B$77-$B$38)*C22/100)&lt;0,0,($B$28-$B$32-$B$39-$B$77-$B$38)*C22/100)</f>
        <v>393.82107121836378</v>
      </c>
      <c r="C36" s="169">
        <f>IF(ISERROR(B36/SUM($B$32,$B$34,$B$35,$B$36,$B$38,$B$39)*100),0,B36/SUM($B$32,$B$34,$B$35,$B$36,$B$38,$B$39)*100)</f>
        <v>2.5723126794145248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2806</v>
      </c>
      <c r="C39" s="169">
        <f>IF(ISERROR(B39/SUM($B$32,$B$34,$B$35,$B$36,$B$38,$B$39)*100),0,B39/SUM($B$32,$B$34,$B$35,$B$36,$B$38,$B$39)*100)</f>
        <v>18.327890267798821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8766</v>
      </c>
      <c r="C44" s="34" t="s">
        <v>111</v>
      </c>
      <c r="D44" s="176"/>
    </row>
    <row r="45" spans="1:7">
      <c r="A45" s="173" t="s">
        <v>72</v>
      </c>
      <c r="B45" s="33" t="str">
        <f t="shared" si="0"/>
        <v>-</v>
      </c>
      <c r="C45" s="34" t="s">
        <v>111</v>
      </c>
      <c r="D45" s="176"/>
    </row>
    <row r="46" spans="1:7">
      <c r="A46" s="173" t="s">
        <v>73</v>
      </c>
      <c r="B46" s="33">
        <f t="shared" si="0"/>
        <v>345.41848145968214</v>
      </c>
      <c r="C46" s="34" t="s">
        <v>111</v>
      </c>
      <c r="D46" s="176"/>
    </row>
    <row r="47" spans="1:7">
      <c r="A47" s="173" t="s">
        <v>74</v>
      </c>
      <c r="B47" s="33">
        <f t="shared" si="0"/>
        <v>2998.760447321954</v>
      </c>
      <c r="C47" s="34" t="s">
        <v>111</v>
      </c>
      <c r="D47" s="176"/>
    </row>
    <row r="48" spans="1:7">
      <c r="A48" s="173" t="s">
        <v>75</v>
      </c>
      <c r="B48" s="33">
        <f t="shared" si="0"/>
        <v>393.82107121836378</v>
      </c>
      <c r="C48" s="33">
        <f>B48*10</f>
        <v>3938.210712183638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2806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304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73077.51824587927</v>
      </c>
      <c r="C5" s="17">
        <f>IF(ISERROR('Eigen informatie GS &amp; warmtenet'!B58),0,'Eigen informatie GS &amp; warmtenet'!B58)</f>
        <v>0</v>
      </c>
      <c r="D5" s="30">
        <f>SUM(D6:D12)</f>
        <v>119395.39231481442</v>
      </c>
      <c r="E5" s="17">
        <f>SUM(E6:E12)</f>
        <v>1018.9748211802388</v>
      </c>
      <c r="F5" s="17">
        <f>SUM(F6:F12)</f>
        <v>13917.330593105115</v>
      </c>
      <c r="G5" s="18"/>
      <c r="H5" s="17"/>
      <c r="I5" s="17"/>
      <c r="J5" s="17">
        <f>SUM(J6:J12)</f>
        <v>0</v>
      </c>
      <c r="K5" s="17"/>
      <c r="L5" s="17"/>
      <c r="M5" s="17"/>
      <c r="N5" s="17">
        <f>SUM(N6:N12)</f>
        <v>3728.6122112515091</v>
      </c>
      <c r="O5" s="17">
        <f>B38*B39*B40</f>
        <v>4.6900000000000004</v>
      </c>
      <c r="P5" s="17">
        <f>B46*B47*B48/1000-B46*B47*B48/1000/B49</f>
        <v>228.8</v>
      </c>
      <c r="R5" s="32"/>
    </row>
    <row r="6" spans="1:18">
      <c r="A6" s="32" t="s">
        <v>54</v>
      </c>
      <c r="B6" s="37">
        <f>B26</f>
        <v>15288.826940942301</v>
      </c>
      <c r="C6" s="33"/>
      <c r="D6" s="37">
        <f>IF(ISERROR(TER_kantoor_gas_kWh/1000),0,TER_kantoor_gas_kWh/1000)*0.902</f>
        <v>71322.594830920367</v>
      </c>
      <c r="E6" s="33">
        <f>$C$26*'E Balans VL '!I12/100/3.6*1000000</f>
        <v>59.400329498817825</v>
      </c>
      <c r="F6" s="33">
        <f>$C$26*('E Balans VL '!L12+'E Balans VL '!N12)/100/3.6*1000000</f>
        <v>2325.2914604835496</v>
      </c>
      <c r="G6" s="34"/>
      <c r="H6" s="33"/>
      <c r="I6" s="33"/>
      <c r="J6" s="33">
        <f>$C$26*('E Balans VL '!D12+'E Balans VL '!E12)/100/3.6*1000000</f>
        <v>0</v>
      </c>
      <c r="K6" s="33"/>
      <c r="L6" s="33"/>
      <c r="M6" s="33"/>
      <c r="N6" s="33">
        <f>$C$26*'E Balans VL '!Y12/100/3.6*1000000</f>
        <v>8.4259752008210977</v>
      </c>
      <c r="O6" s="33"/>
      <c r="P6" s="33"/>
      <c r="R6" s="32"/>
    </row>
    <row r="7" spans="1:18">
      <c r="A7" s="32" t="s">
        <v>53</v>
      </c>
      <c r="B7" s="37">
        <f t="shared" ref="B7:B12" si="0">B27</f>
        <v>6346.2301286340498</v>
      </c>
      <c r="C7" s="33"/>
      <c r="D7" s="37">
        <f>IF(ISERROR(TER_horeca_gas_kWh/1000),0,TER_horeca_gas_kWh/1000)*0.902</f>
        <v>8868.4408534310096</v>
      </c>
      <c r="E7" s="33">
        <f>$C$27*'E Balans VL '!I9/100/3.6*1000000</f>
        <v>357.48483984677881</v>
      </c>
      <c r="F7" s="33">
        <f>$C$27*('E Balans VL '!L9+'E Balans VL '!N9)/100/3.6*1000000</f>
        <v>1829.8728280563741</v>
      </c>
      <c r="G7" s="34"/>
      <c r="H7" s="33"/>
      <c r="I7" s="33"/>
      <c r="J7" s="33">
        <f>$C$27*('E Balans VL '!D9+'E Balans VL '!E9)/100/3.6*1000000</f>
        <v>0</v>
      </c>
      <c r="K7" s="33"/>
      <c r="L7" s="33"/>
      <c r="M7" s="33"/>
      <c r="N7" s="33">
        <f>$C$27*'E Balans VL '!Y9/100/3.6*1000000</f>
        <v>1.7521611604013032</v>
      </c>
      <c r="O7" s="33"/>
      <c r="P7" s="33"/>
      <c r="R7" s="32"/>
    </row>
    <row r="8" spans="1:18">
      <c r="A8" s="6" t="s">
        <v>52</v>
      </c>
      <c r="B8" s="37">
        <f t="shared" si="0"/>
        <v>29683.453433435101</v>
      </c>
      <c r="C8" s="33"/>
      <c r="D8" s="37">
        <f>IF(ISERROR(TER_handel_gas_kWh/1000),0,TER_handel_gas_kWh/1000)*0.902</f>
        <v>15649.658278492414</v>
      </c>
      <c r="E8" s="33">
        <f>$C$28*'E Balans VL '!I13/100/3.6*1000000</f>
        <v>427.83926991550811</v>
      </c>
      <c r="F8" s="33">
        <f>$C$28*('E Balans VL '!L13+'E Balans VL '!N13)/100/3.6*1000000</f>
        <v>5156.707142371295</v>
      </c>
      <c r="G8" s="34"/>
      <c r="H8" s="33"/>
      <c r="I8" s="33"/>
      <c r="J8" s="33">
        <f>$C$28*('E Balans VL '!D13+'E Balans VL '!E13)/100/3.6*1000000</f>
        <v>0</v>
      </c>
      <c r="K8" s="33"/>
      <c r="L8" s="33"/>
      <c r="M8" s="33"/>
      <c r="N8" s="33">
        <f>$C$28*'E Balans VL '!Y13/100/3.6*1000000</f>
        <v>88.934930916679562</v>
      </c>
      <c r="O8" s="33"/>
      <c r="P8" s="33"/>
      <c r="R8" s="32"/>
    </row>
    <row r="9" spans="1:18">
      <c r="A9" s="32" t="s">
        <v>51</v>
      </c>
      <c r="B9" s="37">
        <f t="shared" si="0"/>
        <v>4959.1909671409003</v>
      </c>
      <c r="C9" s="33"/>
      <c r="D9" s="37">
        <f>IF(ISERROR(TER_gezond_gas_kWh/1000),0,TER_gezond_gas_kWh/1000)*0.902</f>
        <v>1585.5452158337794</v>
      </c>
      <c r="E9" s="33">
        <f>$C$29*'E Balans VL '!I10/100/3.6*1000000</f>
        <v>5.297701328001259</v>
      </c>
      <c r="F9" s="33">
        <f>$C$29*('E Balans VL '!L10+'E Balans VL '!N10)/100/3.6*1000000</f>
        <v>808.99476220980625</v>
      </c>
      <c r="G9" s="34"/>
      <c r="H9" s="33"/>
      <c r="I9" s="33"/>
      <c r="J9" s="33">
        <f>$C$29*('E Balans VL '!D10+'E Balans VL '!E10)/100/3.6*1000000</f>
        <v>0</v>
      </c>
      <c r="K9" s="33"/>
      <c r="L9" s="33"/>
      <c r="M9" s="33"/>
      <c r="N9" s="33">
        <f>$C$29*'E Balans VL '!Y10/100/3.6*1000000</f>
        <v>51.052041348802256</v>
      </c>
      <c r="O9" s="33"/>
      <c r="P9" s="33"/>
      <c r="R9" s="32"/>
    </row>
    <row r="10" spans="1:18">
      <c r="A10" s="32" t="s">
        <v>50</v>
      </c>
      <c r="B10" s="37">
        <f t="shared" si="0"/>
        <v>3718.5630719672104</v>
      </c>
      <c r="C10" s="33"/>
      <c r="D10" s="37">
        <f>IF(ISERROR(TER_ander_gas_kWh/1000),0,TER_ander_gas_kWh/1000)*0.902</f>
        <v>3647.0708644378233</v>
      </c>
      <c r="E10" s="33">
        <f>$C$30*'E Balans VL '!I14/100/3.6*1000000</f>
        <v>17.10110593254478</v>
      </c>
      <c r="F10" s="33">
        <f>$C$30*('E Balans VL '!L14+'E Balans VL '!N14)/100/3.6*1000000</f>
        <v>1114.5706466900497</v>
      </c>
      <c r="G10" s="34"/>
      <c r="H10" s="33"/>
      <c r="I10" s="33"/>
      <c r="J10" s="33">
        <f>$C$30*('E Balans VL '!D14+'E Balans VL '!E14)/100/3.6*1000000</f>
        <v>0</v>
      </c>
      <c r="K10" s="33"/>
      <c r="L10" s="33"/>
      <c r="M10" s="33"/>
      <c r="N10" s="33">
        <f>$C$30*'E Balans VL '!Y14/100/3.6*1000000</f>
        <v>2588.3653632959645</v>
      </c>
      <c r="O10" s="33"/>
      <c r="P10" s="33"/>
      <c r="R10" s="32"/>
    </row>
    <row r="11" spans="1:18">
      <c r="A11" s="32" t="s">
        <v>55</v>
      </c>
      <c r="B11" s="37">
        <f t="shared" si="0"/>
        <v>608.60630113160994</v>
      </c>
      <c r="C11" s="33"/>
      <c r="D11" s="37">
        <f>IF(ISERROR(TER_onderwijs_gas_kWh/1000),0,TER_onderwijs_gas_kWh/1000)*0.902</f>
        <v>984.19274722312991</v>
      </c>
      <c r="E11" s="33">
        <f>$C$31*'E Balans VL '!I11/100/3.6*1000000</f>
        <v>0.56456238137064929</v>
      </c>
      <c r="F11" s="33">
        <f>$C$31*('E Balans VL '!L11+'E Balans VL '!N11)/100/3.6*1000000</f>
        <v>213.78940577737364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12472.647402628099</v>
      </c>
      <c r="C12" s="33"/>
      <c r="D12" s="37">
        <f>IF(ISERROR(TER_rest_gas_kWh/1000),0,TER_rest_gas_kWh/1000)*0.902</f>
        <v>17337.889524475919</v>
      </c>
      <c r="E12" s="33">
        <f>$C$32*'E Balans VL '!I8/100/3.6*1000000</f>
        <v>151.28701227721729</v>
      </c>
      <c r="F12" s="33">
        <f>$C$32*('E Balans VL '!L8+'E Balans VL '!N8)/100/3.6*1000000</f>
        <v>2468.1043475166662</v>
      </c>
      <c r="G12" s="34"/>
      <c r="H12" s="33"/>
      <c r="I12" s="33"/>
      <c r="J12" s="33">
        <f>$C$32*('E Balans VL '!D8+'E Balans VL '!E8)/100/3.6*1000000</f>
        <v>0</v>
      </c>
      <c r="K12" s="33"/>
      <c r="L12" s="33"/>
      <c r="M12" s="33"/>
      <c r="N12" s="33">
        <f>$C$32*'E Balans VL '!Y8/100/3.6*1000000</f>
        <v>990.08173932884017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73077.51824587927</v>
      </c>
      <c r="C16" s="21">
        <f t="shared" ca="1" si="1"/>
        <v>0</v>
      </c>
      <c r="D16" s="21">
        <f t="shared" ca="1" si="1"/>
        <v>119395.39231481442</v>
      </c>
      <c r="E16" s="21">
        <f t="shared" si="1"/>
        <v>1018.9748211802388</v>
      </c>
      <c r="F16" s="21">
        <f t="shared" ca="1" si="1"/>
        <v>13917.330593105115</v>
      </c>
      <c r="G16" s="21">
        <f t="shared" si="1"/>
        <v>0</v>
      </c>
      <c r="H16" s="21">
        <f t="shared" si="1"/>
        <v>0</v>
      </c>
      <c r="I16" s="21">
        <f t="shared" si="1"/>
        <v>0</v>
      </c>
      <c r="J16" s="21">
        <f t="shared" si="1"/>
        <v>0</v>
      </c>
      <c r="K16" s="21">
        <f t="shared" si="1"/>
        <v>0</v>
      </c>
      <c r="L16" s="21">
        <f t="shared" ca="1" si="1"/>
        <v>0</v>
      </c>
      <c r="M16" s="21">
        <f t="shared" si="1"/>
        <v>0</v>
      </c>
      <c r="N16" s="21">
        <f t="shared" ca="1" si="1"/>
        <v>3728.6122112515091</v>
      </c>
      <c r="O16" s="21">
        <f>O5</f>
        <v>4.6900000000000004</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0.20210725552217373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14769.496653046235</v>
      </c>
      <c r="C20" s="23">
        <f t="shared" ref="C20:P20" ca="1" si="2">C16*C18</f>
        <v>0</v>
      </c>
      <c r="D20" s="23">
        <f t="shared" ca="1" si="2"/>
        <v>24117.869247592516</v>
      </c>
      <c r="E20" s="23">
        <f t="shared" si="2"/>
        <v>231.30728440791421</v>
      </c>
      <c r="F20" s="23">
        <f t="shared" ca="1" si="2"/>
        <v>3715.9272683590657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15288.826940942301</v>
      </c>
      <c r="C26" s="39">
        <f>IF(ISERROR(B26*3.6/1000000/'E Balans VL '!Z12*100),0,B26*3.6/1000000/'E Balans VL '!Z12*100)</f>
        <v>0.32474225732599143</v>
      </c>
      <c r="D26" s="239" t="s">
        <v>692</v>
      </c>
      <c r="F26" s="6"/>
    </row>
    <row r="27" spans="1:18">
      <c r="A27" s="233" t="s">
        <v>53</v>
      </c>
      <c r="B27" s="33">
        <f>IF(ISERROR(TER_horeca_ele_kWh/1000),0,TER_horeca_ele_kWh/1000)</f>
        <v>6346.2301286340498</v>
      </c>
      <c r="C27" s="39">
        <f>IF(ISERROR(B27*3.6/1000000/'E Balans VL '!Z9*100),0,B27*3.6/1000000/'E Balans VL '!Z9*100)</f>
        <v>0.49345804153966383</v>
      </c>
      <c r="D27" s="239" t="s">
        <v>692</v>
      </c>
      <c r="F27" s="6"/>
    </row>
    <row r="28" spans="1:18">
      <c r="A28" s="173" t="s">
        <v>52</v>
      </c>
      <c r="B28" s="33">
        <f>IF(ISERROR(TER_handel_ele_kWh/1000),0,TER_handel_ele_kWh/1000)</f>
        <v>29683.453433435101</v>
      </c>
      <c r="C28" s="39">
        <f>IF(ISERROR(B28*3.6/1000000/'E Balans VL '!Z13*100),0,B28*3.6/1000000/'E Balans VL '!Z13*100)</f>
        <v>0.84927853666065101</v>
      </c>
      <c r="D28" s="239" t="s">
        <v>692</v>
      </c>
      <c r="F28" s="6"/>
    </row>
    <row r="29" spans="1:18">
      <c r="A29" s="233" t="s">
        <v>51</v>
      </c>
      <c r="B29" s="33">
        <f>IF(ISERROR(TER_gezond_ele_kWh/1000),0,TER_gezond_ele_kWh/1000)</f>
        <v>4959.1909671409003</v>
      </c>
      <c r="C29" s="39">
        <f>IF(ISERROR(B29*3.6/1000000/'E Balans VL '!Z10*100),0,B29*3.6/1000000/'E Balans VL '!Z10*100)</f>
        <v>0.54066705319575736</v>
      </c>
      <c r="D29" s="239" t="s">
        <v>692</v>
      </c>
      <c r="F29" s="6"/>
    </row>
    <row r="30" spans="1:18">
      <c r="A30" s="233" t="s">
        <v>50</v>
      </c>
      <c r="B30" s="33">
        <f>IF(ISERROR(TER_ander_ele_kWh/1000),0,TER_ander_ele_kWh/1000)</f>
        <v>3718.5630719672104</v>
      </c>
      <c r="C30" s="39">
        <f>IF(ISERROR(B30*3.6/1000000/'E Balans VL '!Z14*100),0,B30*3.6/1000000/'E Balans VL '!Z14*100)</f>
        <v>0.27211601024619569</v>
      </c>
      <c r="D30" s="239" t="s">
        <v>692</v>
      </c>
      <c r="F30" s="6"/>
    </row>
    <row r="31" spans="1:18">
      <c r="A31" s="233" t="s">
        <v>55</v>
      </c>
      <c r="B31" s="33">
        <f>IF(ISERROR(TER_onderwijs_ele_kWh/1000),0,TER_onderwijs_ele_kWh/1000)</f>
        <v>608.60630113160994</v>
      </c>
      <c r="C31" s="39">
        <f>IF(ISERROR(B31*3.6/1000000/'E Balans VL '!Z11*100),0,B31*3.6/1000000/'E Balans VL '!Z11*100)</f>
        <v>0.12223902752086092</v>
      </c>
      <c r="D31" s="239" t="s">
        <v>692</v>
      </c>
    </row>
    <row r="32" spans="1:18">
      <c r="A32" s="233" t="s">
        <v>260</v>
      </c>
      <c r="B32" s="33">
        <f>IF(ISERROR(TER_rest_ele_kWh/1000),0,TER_rest_ele_kWh/1000)</f>
        <v>12472.647402628099</v>
      </c>
      <c r="C32" s="39">
        <f>IF(ISERROR(B32*3.6/1000000/'E Balans VL '!Z8*100),0,B32*3.6/1000000/'E Balans VL '!Z8*100)</f>
        <v>0.1016445070662986</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254067.89718385367</v>
      </c>
      <c r="C5" s="17">
        <f>IF(ISERROR('Eigen informatie GS &amp; warmtenet'!B59),0,'Eigen informatie GS &amp; warmtenet'!B59)</f>
        <v>0</v>
      </c>
      <c r="D5" s="30">
        <f>SUM(D6:D15)</f>
        <v>201981.71935047337</v>
      </c>
      <c r="E5" s="17">
        <f>SUM(E6:E15)</f>
        <v>13153.768170422081</v>
      </c>
      <c r="F5" s="17">
        <f>SUM(F6:F15)</f>
        <v>52800.945224676558</v>
      </c>
      <c r="G5" s="18"/>
      <c r="H5" s="17"/>
      <c r="I5" s="17"/>
      <c r="J5" s="17">
        <f>SUM(J6:J15)</f>
        <v>394.82429302674876</v>
      </c>
      <c r="K5" s="17"/>
      <c r="L5" s="17"/>
      <c r="M5" s="17"/>
      <c r="N5" s="17">
        <f>SUM(N6:N15)</f>
        <v>37770.495149026043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6869.4210104858994</v>
      </c>
      <c r="C8" s="33"/>
      <c r="D8" s="37">
        <f>IF( ISERROR(IND_metaal_Gas_kWH/1000),0,IND_metaal_Gas_kWH/1000)*0.902</f>
        <v>7875.4153603113173</v>
      </c>
      <c r="E8" s="33">
        <f>C30*'E Balans VL '!I18/100/3.6*1000000</f>
        <v>197.31555606440557</v>
      </c>
      <c r="F8" s="33">
        <f>C30*'E Balans VL '!L18/100/3.6*1000000+C30*'E Balans VL '!N18/100/3.6*1000000</f>
        <v>1761.8743712367611</v>
      </c>
      <c r="G8" s="34"/>
      <c r="H8" s="33"/>
      <c r="I8" s="33"/>
      <c r="J8" s="40">
        <f>C30*'E Balans VL '!D18/100/3.6*1000000+C30*'E Balans VL '!E18/100/3.6*1000000</f>
        <v>0</v>
      </c>
      <c r="K8" s="33"/>
      <c r="L8" s="33"/>
      <c r="M8" s="33"/>
      <c r="N8" s="33">
        <f>C30*'E Balans VL '!Y18/100/3.6*1000000</f>
        <v>186.51880290964692</v>
      </c>
      <c r="O8" s="33"/>
      <c r="P8" s="33"/>
      <c r="R8" s="32"/>
    </row>
    <row r="9" spans="1:18">
      <c r="A9" s="6" t="s">
        <v>33</v>
      </c>
      <c r="B9" s="37">
        <f t="shared" si="0"/>
        <v>16282.842361634699</v>
      </c>
      <c r="C9" s="33"/>
      <c r="D9" s="37">
        <f>IF( ISERROR(IND_andere_gas_kWh/1000),0,IND_andere_gas_kWh/1000)*0.902</f>
        <v>8821.3951476835209</v>
      </c>
      <c r="E9" s="33">
        <f>C31*'E Balans VL '!I19/100/3.6*1000000</f>
        <v>4407.3650803907958</v>
      </c>
      <c r="F9" s="33">
        <f>C31*'E Balans VL '!L19/100/3.6*1000000+C31*'E Balans VL '!N19/100/3.6*1000000</f>
        <v>10846.096097506155</v>
      </c>
      <c r="G9" s="34"/>
      <c r="H9" s="33"/>
      <c r="I9" s="33"/>
      <c r="J9" s="40">
        <f>C31*'E Balans VL '!D19/100/3.6*1000000+C31*'E Balans VL '!E19/100/3.6*1000000</f>
        <v>0</v>
      </c>
      <c r="K9" s="33"/>
      <c r="L9" s="33"/>
      <c r="M9" s="33"/>
      <c r="N9" s="33">
        <f>C31*'E Balans VL '!Y19/100/3.6*1000000</f>
        <v>5316.0775499059382</v>
      </c>
      <c r="O9" s="33"/>
      <c r="P9" s="33"/>
      <c r="R9" s="32"/>
    </row>
    <row r="10" spans="1:18">
      <c r="A10" s="6" t="s">
        <v>41</v>
      </c>
      <c r="B10" s="37">
        <f t="shared" si="0"/>
        <v>858.04447730757204</v>
      </c>
      <c r="C10" s="33"/>
      <c r="D10" s="37">
        <f>IF( ISERROR(IND_voed_gas_kWh/1000),0,IND_voed_gas_kWh/1000)*0.902</f>
        <v>903.96488671371776</v>
      </c>
      <c r="E10" s="33">
        <f>C32*'E Balans VL '!I20/100/3.6*1000000</f>
        <v>69.984078875096145</v>
      </c>
      <c r="F10" s="33">
        <f>C32*'E Balans VL '!L20/100/3.6*1000000+C32*'E Balans VL '!N20/100/3.6*1000000</f>
        <v>1279.4221642817677</v>
      </c>
      <c r="G10" s="34"/>
      <c r="H10" s="33"/>
      <c r="I10" s="33"/>
      <c r="J10" s="40">
        <f>C32*'E Balans VL '!D20/100/3.6*1000000+C32*'E Balans VL '!E20/100/3.6*1000000</f>
        <v>1.1350886908505114E-2</v>
      </c>
      <c r="K10" s="33"/>
      <c r="L10" s="33"/>
      <c r="M10" s="33"/>
      <c r="N10" s="33">
        <f>C32*'E Balans VL '!Y20/100/3.6*1000000</f>
        <v>252.06319030807808</v>
      </c>
      <c r="O10" s="33"/>
      <c r="P10" s="33"/>
      <c r="R10" s="32"/>
    </row>
    <row r="11" spans="1:18">
      <c r="A11" s="6" t="s">
        <v>40</v>
      </c>
      <c r="B11" s="37">
        <f t="shared" si="0"/>
        <v>75351.207942350899</v>
      </c>
      <c r="C11" s="33"/>
      <c r="D11" s="37">
        <f>IF( ISERROR(IND_textiel_gas_kWh/1000),0,IND_textiel_gas_kWh/1000)*0.902</f>
        <v>19073.303031833377</v>
      </c>
      <c r="E11" s="33">
        <f>C33*'E Balans VL '!I21/100/3.6*1000000</f>
        <v>14.936151078017524</v>
      </c>
      <c r="F11" s="33">
        <f>C33*'E Balans VL '!L21/100/3.6*1000000+C33*'E Balans VL '!N21/100/3.6*1000000</f>
        <v>2775.2759000393844</v>
      </c>
      <c r="G11" s="34"/>
      <c r="H11" s="33"/>
      <c r="I11" s="33"/>
      <c r="J11" s="40">
        <f>C33*'E Balans VL '!D21/100/3.6*1000000+C33*'E Balans VL '!E21/100/3.6*1000000</f>
        <v>0</v>
      </c>
      <c r="K11" s="33"/>
      <c r="L11" s="33"/>
      <c r="M11" s="33"/>
      <c r="N11" s="33">
        <f>C33*'E Balans VL '!Y21/100/3.6*1000000</f>
        <v>350.36409513385041</v>
      </c>
      <c r="O11" s="33"/>
      <c r="P11" s="33"/>
      <c r="R11" s="32"/>
    </row>
    <row r="12" spans="1:18">
      <c r="A12" s="6" t="s">
        <v>37</v>
      </c>
      <c r="B12" s="37">
        <f t="shared" si="0"/>
        <v>1293.9293456330699</v>
      </c>
      <c r="C12" s="33"/>
      <c r="D12" s="37">
        <f>IF( ISERROR(IND_min_gas_kWh/1000),0,IND_min_gas_kWh/1000)*0.902</f>
        <v>0</v>
      </c>
      <c r="E12" s="33">
        <f>C34*'E Balans VL '!I22/100/3.6*1000000</f>
        <v>10.079427667277928</v>
      </c>
      <c r="F12" s="33">
        <f>C34*'E Balans VL '!L22/100/3.6*1000000+C34*'E Balans VL '!N22/100/3.6*1000000</f>
        <v>487.99063478595713</v>
      </c>
      <c r="G12" s="34"/>
      <c r="H12" s="33"/>
      <c r="I12" s="33"/>
      <c r="J12" s="40">
        <f>C34*'E Balans VL '!D22/100/3.6*1000000+C34*'E Balans VL '!E22/100/3.6*1000000</f>
        <v>7.116498268951303</v>
      </c>
      <c r="K12" s="33"/>
      <c r="L12" s="33"/>
      <c r="M12" s="33"/>
      <c r="N12" s="33">
        <f>C34*'E Balans VL '!Y22/100/3.6*1000000</f>
        <v>0</v>
      </c>
      <c r="O12" s="33"/>
      <c r="P12" s="33"/>
      <c r="R12" s="32"/>
    </row>
    <row r="13" spans="1:18">
      <c r="A13" s="6" t="s">
        <v>39</v>
      </c>
      <c r="B13" s="37">
        <f t="shared" si="0"/>
        <v>912.14102609596705</v>
      </c>
      <c r="C13" s="33"/>
      <c r="D13" s="37">
        <f>IF( ISERROR(IND_papier_gas_kWh/1000),0,IND_papier_gas_kWh/1000)*0.902</f>
        <v>0</v>
      </c>
      <c r="E13" s="33">
        <f>C35*'E Balans VL '!I23/100/3.6*1000000</f>
        <v>9.5563389665082958</v>
      </c>
      <c r="F13" s="33">
        <f>C35*'E Balans VL '!L23/100/3.6*1000000+C35*'E Balans VL '!N23/100/3.6*1000000</f>
        <v>68.064125040659476</v>
      </c>
      <c r="G13" s="34"/>
      <c r="H13" s="33"/>
      <c r="I13" s="33"/>
      <c r="J13" s="40">
        <f>C35*'E Balans VL '!D23/100/3.6*1000000+C35*'E Balans VL '!E23/100/3.6*1000000</f>
        <v>0</v>
      </c>
      <c r="K13" s="33"/>
      <c r="L13" s="33"/>
      <c r="M13" s="33"/>
      <c r="N13" s="33">
        <f>C35*'E Balans VL '!Y23/100/3.6*1000000</f>
        <v>1949.606236892572</v>
      </c>
      <c r="O13" s="33"/>
      <c r="P13" s="33"/>
      <c r="R13" s="32"/>
    </row>
    <row r="14" spans="1:18">
      <c r="A14" s="6" t="s">
        <v>34</v>
      </c>
      <c r="B14" s="37">
        <f t="shared" si="0"/>
        <v>1237.36466268258</v>
      </c>
      <c r="C14" s="33"/>
      <c r="D14" s="37">
        <f>IF( ISERROR(IND_chemie_gas_kWh/1000),0,IND_chemie_gas_kWh/1000)*0.902</f>
        <v>0</v>
      </c>
      <c r="E14" s="33">
        <f>C36*'E Balans VL '!I24/100/3.6*1000000</f>
        <v>5.8493133311269752</v>
      </c>
      <c r="F14" s="33">
        <f>C36*'E Balans VL '!L24/100/3.6*1000000+C36*'E Balans VL '!N24/100/3.6*1000000</f>
        <v>23.385527955539818</v>
      </c>
      <c r="G14" s="34"/>
      <c r="H14" s="33"/>
      <c r="I14" s="33"/>
      <c r="J14" s="40">
        <f>C36*'E Balans VL '!D24/100/3.6*1000000+C36*'E Balans VL '!E24/100/3.6*1000000</f>
        <v>0</v>
      </c>
      <c r="K14" s="33"/>
      <c r="L14" s="33"/>
      <c r="M14" s="33"/>
      <c r="N14" s="33">
        <f>C36*'E Balans VL '!Y24/100/3.6*1000000</f>
        <v>30.039027966728003</v>
      </c>
      <c r="O14" s="33"/>
      <c r="P14" s="33"/>
      <c r="R14" s="32"/>
    </row>
    <row r="15" spans="1:18">
      <c r="A15" s="6" t="s">
        <v>270</v>
      </c>
      <c r="B15" s="37">
        <f t="shared" si="0"/>
        <v>151262.94635766299</v>
      </c>
      <c r="C15" s="33"/>
      <c r="D15" s="37">
        <f>IF( ISERROR(IND_rest_gas_kWh/1000),0,IND_rest_gas_kWh/1000)*0.902</f>
        <v>165307.64092393144</v>
      </c>
      <c r="E15" s="33">
        <f>C37*'E Balans VL '!I15/100/3.6*1000000</f>
        <v>8438.6822240488527</v>
      </c>
      <c r="F15" s="33">
        <f>C37*'E Balans VL '!L15/100/3.6*1000000+C37*'E Balans VL '!N15/100/3.6*1000000</f>
        <v>35558.836403830333</v>
      </c>
      <c r="G15" s="34"/>
      <c r="H15" s="33"/>
      <c r="I15" s="33"/>
      <c r="J15" s="40">
        <f>C37*'E Balans VL '!D15/100/3.6*1000000+C37*'E Balans VL '!E15/100/3.6*1000000</f>
        <v>387.69644387088897</v>
      </c>
      <c r="K15" s="33"/>
      <c r="L15" s="33"/>
      <c r="M15" s="33"/>
      <c r="N15" s="33">
        <f>C37*'E Balans VL '!Y15/100/3.6*1000000</f>
        <v>29685.826245909226</v>
      </c>
      <c r="O15" s="33"/>
      <c r="P15" s="33"/>
      <c r="R15" s="32"/>
    </row>
    <row r="16" spans="1:18">
      <c r="A16" s="16" t="s">
        <v>497</v>
      </c>
      <c r="B16" s="249">
        <f>'lokale energieproductie'!N89+'lokale energieproductie'!N58</f>
        <v>3226.5</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-9218.5714285714294</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257294.39718385367</v>
      </c>
      <c r="C18" s="21">
        <f>C5+C16</f>
        <v>0</v>
      </c>
      <c r="D18" s="21">
        <f>MAX((D5+D16),0)</f>
        <v>201981.71935047337</v>
      </c>
      <c r="E18" s="21">
        <f>MAX((E5+E16),0)</f>
        <v>13153.768170422081</v>
      </c>
      <c r="F18" s="21">
        <f>MAX((F5+F16),0)</f>
        <v>52800.945224676558</v>
      </c>
      <c r="G18" s="21"/>
      <c r="H18" s="21"/>
      <c r="I18" s="21"/>
      <c r="J18" s="21">
        <f>MAX((J5+J16),0)</f>
        <v>394.82429302674876</v>
      </c>
      <c r="K18" s="21"/>
      <c r="L18" s="21">
        <f>MAX((L5+L16),0)</f>
        <v>0</v>
      </c>
      <c r="M18" s="21"/>
      <c r="N18" s="21">
        <f>MAX((N5+N16),0)</f>
        <v>28551.923720454615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0.20210725552217373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52001.064476060768</v>
      </c>
      <c r="C22" s="23">
        <f ca="1">C18*C20</f>
        <v>0</v>
      </c>
      <c r="D22" s="23">
        <f>D18*D20</f>
        <v>40800.307308795622</v>
      </c>
      <c r="E22" s="23">
        <f>E18*E20</f>
        <v>2985.9053746858126</v>
      </c>
      <c r="F22" s="23">
        <f>F18*F20</f>
        <v>14097.852374988641</v>
      </c>
      <c r="G22" s="23"/>
      <c r="H22" s="23"/>
      <c r="I22" s="23"/>
      <c r="J22" s="23">
        <f>J18*J20</f>
        <v>139.76779973146907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6869.4210104858994</v>
      </c>
      <c r="C30" s="39">
        <f>IF(ISERROR(B30*3.6/1000000/'E Balans VL '!Z18*100),0,B30*3.6/1000000/'E Balans VL '!Z18*100)</f>
        <v>0.67593349166797101</v>
      </c>
      <c r="D30" s="239" t="s">
        <v>692</v>
      </c>
    </row>
    <row r="31" spans="1:18">
      <c r="A31" s="6" t="s">
        <v>33</v>
      </c>
      <c r="B31" s="37">
        <f>IF( ISERROR(IND_ander_ele_kWh/1000),0,IND_ander_ele_kWh/1000)</f>
        <v>16282.842361634699</v>
      </c>
      <c r="C31" s="39">
        <f>IF(ISERROR(B31*3.6/1000000/'E Balans VL '!Z19*100),0,B31*3.6/1000000/'E Balans VL '!Z19*100)</f>
        <v>0.70910479615378641</v>
      </c>
      <c r="D31" s="239" t="s">
        <v>692</v>
      </c>
    </row>
    <row r="32" spans="1:18">
      <c r="A32" s="173" t="s">
        <v>41</v>
      </c>
      <c r="B32" s="37">
        <f>IF( ISERROR(IND_voed_ele_kWh/1000),0,IND_voed_ele_kWh/1000)</f>
        <v>858.04447730757204</v>
      </c>
      <c r="C32" s="39">
        <f>IF(ISERROR(B32*3.6/1000000/'E Balans VL '!Z20*100),0,B32*3.6/1000000/'E Balans VL '!Z20*100)</f>
        <v>0.16280156522158087</v>
      </c>
      <c r="D32" s="239" t="s">
        <v>692</v>
      </c>
    </row>
    <row r="33" spans="1:5">
      <c r="A33" s="173" t="s">
        <v>40</v>
      </c>
      <c r="B33" s="37">
        <f>IF( ISERROR(IND_textiel_ele_kWh/1000),0,IND_textiel_ele_kWh/1000)</f>
        <v>75351.207942350899</v>
      </c>
      <c r="C33" s="39">
        <f>IF(ISERROR(B33*3.6/1000000/'E Balans VL '!Z21*100),0,B33*3.6/1000000/'E Balans VL '!Z21*100)</f>
        <v>4.3021718482906808</v>
      </c>
      <c r="D33" s="239" t="s">
        <v>692</v>
      </c>
    </row>
    <row r="34" spans="1:5">
      <c r="A34" s="173" t="s">
        <v>37</v>
      </c>
      <c r="B34" s="37">
        <f>IF( ISERROR(IND_min_ele_kWh/1000),0,IND_min_ele_kWh/1000)</f>
        <v>1293.9293456330699</v>
      </c>
      <c r="C34" s="39">
        <f>IF(ISERROR(B34*3.6/1000000/'E Balans VL '!Z22*100),0,B34*3.6/1000000/'E Balans VL '!Z22*100)</f>
        <v>0.18193945922950422</v>
      </c>
      <c r="D34" s="239" t="s">
        <v>692</v>
      </c>
    </row>
    <row r="35" spans="1:5">
      <c r="A35" s="173" t="s">
        <v>39</v>
      </c>
      <c r="B35" s="37">
        <f>IF( ISERROR(IND_papier_ele_kWh/1000),0,IND_papier_ele_kWh/1000)</f>
        <v>912.14102609596705</v>
      </c>
      <c r="C35" s="39">
        <f>IF(ISERROR(B35*3.6/1000000/'E Balans VL '!Z22*100),0,B35*3.6/1000000/'E Balans VL '!Z22*100)</f>
        <v>0.12825618770378081</v>
      </c>
      <c r="D35" s="239" t="s">
        <v>692</v>
      </c>
    </row>
    <row r="36" spans="1:5">
      <c r="A36" s="173" t="s">
        <v>34</v>
      </c>
      <c r="B36" s="37">
        <f>IF( ISERROR(IND_chemie_ele_kWh/1000),0,IND_chemie_ele_kWh/1000)</f>
        <v>1237.36466268258</v>
      </c>
      <c r="C36" s="39">
        <f>IF(ISERROR(B36*3.6/1000000/'E Balans VL '!Z24*100),0,B36*3.6/1000000/'E Balans VL '!Z24*100)</f>
        <v>3.6060462611917782E-2</v>
      </c>
      <c r="D36" s="239" t="s">
        <v>692</v>
      </c>
    </row>
    <row r="37" spans="1:5">
      <c r="A37" s="173" t="s">
        <v>270</v>
      </c>
      <c r="B37" s="37">
        <f>IF( ISERROR(IND_rest_ele_kWh/1000),0,IND_rest_ele_kWh/1000)</f>
        <v>151262.94635766299</v>
      </c>
      <c r="C37" s="39">
        <f>IF(ISERROR(B37*3.6/1000000/'E Balans VL '!Z15*100),0,B37*3.6/1000000/'E Balans VL '!Z15*100)</f>
        <v>1.1656667908803771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1618.8376508173042</v>
      </c>
      <c r="C5" s="17">
        <f>'Eigen informatie GS &amp; warmtenet'!B60</f>
        <v>0</v>
      </c>
      <c r="D5" s="30">
        <f>IF(ISERROR(SUM(LB_lb_gas_kWh,LB_rest_gas_kWh,onbekend_gas_kWh)/1000),0,SUM(LB_lb_gas_kWh,LB_rest_gas_kWh,onbekend_gas_kWh)/1000)*0.902</f>
        <v>7984.9235442811414</v>
      </c>
      <c r="E5" s="17">
        <f>B17*'E Balans VL '!I25/3.6*1000000/100</f>
        <v>20.399439887214687</v>
      </c>
      <c r="F5" s="17">
        <f>B17*('E Balans VL '!L25/3.6*1000000+'E Balans VL '!N25/3.6*1000000)/100</f>
        <v>5585.3954383834207</v>
      </c>
      <c r="G5" s="18"/>
      <c r="H5" s="17"/>
      <c r="I5" s="17"/>
      <c r="J5" s="17">
        <f>('E Balans VL '!D25+'E Balans VL '!E25)/3.6*1000000*landbouw!B17/100</f>
        <v>243.45478038598554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1618.8376508173042</v>
      </c>
      <c r="C8" s="21">
        <f>C5+C6</f>
        <v>0</v>
      </c>
      <c r="D8" s="21">
        <f>MAX((D5+D6),0)</f>
        <v>7984.9235442811414</v>
      </c>
      <c r="E8" s="21">
        <f>MAX((E5+E6),0)</f>
        <v>20.399439887214687</v>
      </c>
      <c r="F8" s="21">
        <f>MAX((F5+F6),0)</f>
        <v>5585.3954383834207</v>
      </c>
      <c r="G8" s="21"/>
      <c r="H8" s="21"/>
      <c r="I8" s="21"/>
      <c r="J8" s="21">
        <f>MAX((J5+J6),0)</f>
        <v>243.45478038598554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0.20210725552217373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327.17883474264835</v>
      </c>
      <c r="C12" s="23">
        <f ca="1">C8*C10</f>
        <v>0</v>
      </c>
      <c r="D12" s="23">
        <f>D8*D10</f>
        <v>1612.9545559447906</v>
      </c>
      <c r="E12" s="23">
        <f>E8*E10</f>
        <v>4.6306728543977345</v>
      </c>
      <c r="F12" s="23">
        <f>F8*F10</f>
        <v>1491.3005820483734</v>
      </c>
      <c r="G12" s="23"/>
      <c r="H12" s="23"/>
      <c r="I12" s="23"/>
      <c r="J12" s="23">
        <f>J8*J10</f>
        <v>86.182992256638883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0.22577682948794497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230.0316146637345</v>
      </c>
      <c r="C26" s="249">
        <f>B26*'GWP N2O_CH4'!B5</f>
        <v>4830.6639079384249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67.292289018993372</v>
      </c>
      <c r="C27" s="249">
        <f>B27*'GWP N2O_CH4'!B5</f>
        <v>1413.1380693988608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3.0720051080906243</v>
      </c>
      <c r="C28" s="249">
        <f>B28*'GWP N2O_CH4'!B4</f>
        <v>952.32158350809357</v>
      </c>
      <c r="D28" s="50"/>
    </row>
    <row r="29" spans="1:4">
      <c r="A29" s="41" t="s">
        <v>277</v>
      </c>
      <c r="B29" s="249">
        <f>B34*'ha_N2O bodem landbouw'!B4</f>
        <v>9.7509937428456848</v>
      </c>
      <c r="C29" s="249">
        <f>B29*'GWP N2O_CH4'!B4</f>
        <v>3022.8080602821624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2.4347257029396674E-3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5.7020019940577252E-5</v>
      </c>
      <c r="C5" s="448" t="s">
        <v>211</v>
      </c>
      <c r="D5" s="433">
        <f>SUM(D6:D11)</f>
        <v>9.000356109985504E-5</v>
      </c>
      <c r="E5" s="433">
        <f>SUM(E6:E11)</f>
        <v>3.1749899574906345E-3</v>
      </c>
      <c r="F5" s="446" t="s">
        <v>211</v>
      </c>
      <c r="G5" s="433">
        <f>SUM(G6:G11)</f>
        <v>1.0477225709165479</v>
      </c>
      <c r="H5" s="433">
        <f>SUM(H6:H11)</f>
        <v>0.13903310426183335</v>
      </c>
      <c r="I5" s="448" t="s">
        <v>211</v>
      </c>
      <c r="J5" s="448" t="s">
        <v>211</v>
      </c>
      <c r="K5" s="448" t="s">
        <v>211</v>
      </c>
      <c r="L5" s="448" t="s">
        <v>211</v>
      </c>
      <c r="M5" s="433">
        <f>SUM(M6:M11)</f>
        <v>5.3216110237734059E-2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1.6942043162097636E-5</v>
      </c>
      <c r="C6" s="949"/>
      <c r="D6" s="949">
        <f>vkm_2011_GW_PW*SUMIFS(TableVerdeelsleutelVkm[CNG],TableVerdeelsleutelVkm[Voertuigtype],"Lichte voertuigen")*SUMIFS(TableECFTransport[EnergieConsumptieFactor (PJ per km)],TableECFTransport[Index],CONCATENATE($A6,"_CNG_CNG"))</f>
        <v>2.3993246652741867E-5</v>
      </c>
      <c r="E6" s="949">
        <f>vkm_2011_GW_PW*SUMIFS(TableVerdeelsleutelVkm[LPG],TableVerdeelsleutelVkm[Voertuigtype],"Lichte voertuigen")*SUMIFS(TableECFTransport[EnergieConsumptieFactor (PJ per km)],TableECFTransport[Index],CONCATENATE($A6,"_LPG_LPG"))</f>
        <v>7.5354888950934567E-4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0.13543336915008838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3.6392178392454448E-2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7.6676174325030662E-3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8.929728791250828E-2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3.1815325565711989E-5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4.0296150721736267E-3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6.4607242124184698E-6</v>
      </c>
      <c r="C8" s="949"/>
      <c r="D8" s="436">
        <f>vkm_2011_NGW_PW*SUMIFS(TableVerdeelsleutelVkm[CNG],TableVerdeelsleutelVkm[Voertuigtype],"Lichte voertuigen")*SUMIFS(TableECFTransport[EnergieConsumptieFactor (PJ per km)],TableECFTransport[Index],CONCATENATE($A8,"_CNG_CNG"))</f>
        <v>1.6300255842777932E-5</v>
      </c>
      <c r="E8" s="436">
        <f>vkm_2011_NGW_PW*SUMIFS(TableVerdeelsleutelVkm[LPG],TableVerdeelsleutelVkm[Voertuigtype],"Lichte voertuigen")*SUMIFS(TableECFTransport[EnergieConsumptieFactor (PJ per km)],TableECFTransport[Index],CONCATENATE($A8,"_LPG_LPG"))</f>
        <v>4.7152975057785241E-4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7.9928865145332664E-2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2.3855937973737334E-2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4.6270349654229876E-3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2.380421065307347E-2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8.025582978036761E-6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1.0741654838906907E-3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3.3617252566061144E-5</v>
      </c>
      <c r="C10" s="949"/>
      <c r="D10" s="436">
        <f>vkm_2011_SW_PW*SUMIFS(TableVerdeelsleutelVkm[CNG],TableVerdeelsleutelVkm[Voertuigtype],"Lichte voertuigen")*SUMIFS(TableECFTransport[EnergieConsumptieFactor (PJ per km)],TableECFTransport[Index],CONCATENATE($A10,"_CNG_CNG"))</f>
        <v>4.9710058604335242E-5</v>
      </c>
      <c r="E10" s="436">
        <f>vkm_2011_SW_PW*SUMIFS(TableVerdeelsleutelVkm[LPG],TableVerdeelsleutelVkm[Voertuigtype],"Lichte voertuigen")*SUMIFS(TableECFTransport[EnergieConsumptieFactor (PJ per km)],TableECFTransport[Index],CONCATENATE($A10,"_LPG_LPG"))</f>
        <v>1.9499113174034364E-3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0.31738823859372362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7.8590741132364542E-2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1.7682448548006956E-2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0.40187059946182146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1.5440585473326665E-4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1.8135228735736732E-2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15.838894427938126</v>
      </c>
      <c r="C14" s="21"/>
      <c r="D14" s="21">
        <f t="shared" ref="D14:M14" si="0">((D5)*10^9/3600)+D12</f>
        <v>25.000989194404177</v>
      </c>
      <c r="E14" s="21">
        <f t="shared" si="0"/>
        <v>881.94165485850965</v>
      </c>
      <c r="F14" s="21"/>
      <c r="G14" s="21">
        <f t="shared" si="0"/>
        <v>291034.04747681884</v>
      </c>
      <c r="H14" s="21">
        <f t="shared" si="0"/>
        <v>38620.306739398147</v>
      </c>
      <c r="I14" s="21"/>
      <c r="J14" s="21"/>
      <c r="K14" s="21"/>
      <c r="L14" s="21"/>
      <c r="M14" s="21">
        <f t="shared" si="0"/>
        <v>14782.252843815017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0.20210725552217373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3.2011554833360245</v>
      </c>
      <c r="C18" s="23"/>
      <c r="D18" s="23">
        <f t="shared" ref="D18:M18" si="1">D14*D16</f>
        <v>5.0501998172696441</v>
      </c>
      <c r="E18" s="23">
        <f t="shared" si="1"/>
        <v>200.2007556528817</v>
      </c>
      <c r="F18" s="23"/>
      <c r="G18" s="23">
        <f t="shared" si="1"/>
        <v>77706.090676310632</v>
      </c>
      <c r="H18" s="23">
        <f t="shared" si="1"/>
        <v>9616.4563781101388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7.0701411544937982E-3</v>
      </c>
      <c r="H50" s="323">
        <f t="shared" si="2"/>
        <v>0</v>
      </c>
      <c r="I50" s="323">
        <f t="shared" si="2"/>
        <v>0</v>
      </c>
      <c r="J50" s="323">
        <f t="shared" si="2"/>
        <v>0</v>
      </c>
      <c r="K50" s="323">
        <f t="shared" si="2"/>
        <v>0</v>
      </c>
      <c r="L50" s="323">
        <f t="shared" si="2"/>
        <v>0</v>
      </c>
      <c r="M50" s="323">
        <f t="shared" si="2"/>
        <v>3.1442647011438652E-4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7.0701411544937982E-3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3.1442647011438652E-4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1963.9280984704997</v>
      </c>
      <c r="H54" s="21">
        <f t="shared" si="3"/>
        <v>0</v>
      </c>
      <c r="I54" s="21">
        <f t="shared" si="3"/>
        <v>0</v>
      </c>
      <c r="J54" s="21">
        <f t="shared" si="3"/>
        <v>0</v>
      </c>
      <c r="K54" s="21">
        <f t="shared" si="3"/>
        <v>0</v>
      </c>
      <c r="L54" s="21">
        <f t="shared" si="3"/>
        <v>0</v>
      </c>
      <c r="M54" s="21">
        <f t="shared" si="3"/>
        <v>87.340686142885147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0.20210725552217373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524.36880229162341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31316.294965870948</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3226.5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9218.5714285714294</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34542.794965870948</v>
      </c>
      <c r="C9" s="580">
        <f t="shared" ref="C9:L9" si="0">SUM(C7:C8)</f>
        <v>0</v>
      </c>
      <c r="D9" s="580">
        <f t="shared" si="0"/>
        <v>0</v>
      </c>
      <c r="E9" s="580">
        <f t="shared" si="0"/>
        <v>0</v>
      </c>
      <c r="F9" s="580">
        <f t="shared" si="0"/>
        <v>0</v>
      </c>
      <c r="G9" s="580">
        <f t="shared" si="0"/>
        <v>0</v>
      </c>
      <c r="H9" s="580">
        <f t="shared" si="0"/>
        <v>0</v>
      </c>
      <c r="I9" s="580">
        <f t="shared" si="0"/>
        <v>0</v>
      </c>
      <c r="J9" s="580">
        <f t="shared" si="0"/>
        <v>9218.5714285714294</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25.5">
      <c r="A63" s="612"/>
      <c r="B63" s="839">
        <v>34040</v>
      </c>
      <c r="C63" s="839">
        <v>8793</v>
      </c>
      <c r="D63" s="660" t="s">
        <v>840</v>
      </c>
      <c r="E63" s="660" t="s">
        <v>841</v>
      </c>
      <c r="F63" s="660" t="s">
        <v>842</v>
      </c>
      <c r="G63" s="660" t="s">
        <v>843</v>
      </c>
      <c r="H63" s="660" t="s">
        <v>844</v>
      </c>
      <c r="I63" s="660" t="s">
        <v>845</v>
      </c>
      <c r="J63" s="838">
        <v>38308</v>
      </c>
      <c r="K63" s="838">
        <v>38412</v>
      </c>
      <c r="L63" s="660" t="s">
        <v>846</v>
      </c>
      <c r="M63" s="660">
        <v>717</v>
      </c>
      <c r="N63" s="660">
        <v>3226.5</v>
      </c>
      <c r="O63" s="660">
        <v>0</v>
      </c>
      <c r="P63" s="660">
        <v>0</v>
      </c>
      <c r="Q63" s="660">
        <v>9218.5714285714294</v>
      </c>
      <c r="R63" s="660">
        <v>0</v>
      </c>
      <c r="S63" s="660">
        <v>0</v>
      </c>
      <c r="T63" s="660">
        <v>0</v>
      </c>
      <c r="U63" s="660">
        <v>0</v>
      </c>
      <c r="V63" s="660">
        <v>0</v>
      </c>
      <c r="W63" s="660">
        <v>0</v>
      </c>
      <c r="X63" s="660">
        <v>500</v>
      </c>
      <c r="Y63" s="660" t="s">
        <v>41</v>
      </c>
      <c r="Z63" s="661" t="s">
        <v>390</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717</v>
      </c>
      <c r="N88" s="615">
        <f t="shared" ref="N88:W88" si="5">SUM(N63:N87)</f>
        <v>3226.5</v>
      </c>
      <c r="O88" s="615">
        <f t="shared" si="5"/>
        <v>0</v>
      </c>
      <c r="P88" s="615">
        <f t="shared" si="5"/>
        <v>0</v>
      </c>
      <c r="Q88" s="615">
        <f t="shared" si="5"/>
        <v>9218.5714285714294</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717</v>
      </c>
      <c r="N89" s="615">
        <f t="shared" ref="N89:W89" si="6">SUMIF($Z$63:$Z$87,"industrie",N63:N87)</f>
        <v>3226.5</v>
      </c>
      <c r="O89" s="615">
        <f t="shared" si="6"/>
        <v>0</v>
      </c>
      <c r="P89" s="615">
        <f t="shared" si="6"/>
        <v>0</v>
      </c>
      <c r="Q89" s="615">
        <f t="shared" si="6"/>
        <v>9218.5714285714294</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2018-06-27T09:31:03Z</dcterms:modified>
</cp:coreProperties>
</file>