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E7" i="48"/>
  <c r="E24" s="1"/>
  <c r="E12" i="17"/>
  <c r="F48" i="14" s="1"/>
  <c r="C5" i="48"/>
  <c r="P15" i="14" l="1"/>
  <c r="P23" s="1"/>
  <c r="H14" i="22"/>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N46" i="14"/>
  <c r="N53" s="1"/>
  <c r="M16" i="18"/>
  <c r="M19" s="1"/>
  <c r="E5" i="48"/>
  <c r="E22" s="1"/>
  <c r="J9" i="18"/>
  <c r="M7"/>
  <c r="M9" s="1"/>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F13"/>
  <c r="F15" s="1"/>
  <c r="F23" s="1"/>
  <c r="N22" i="16"/>
  <c r="O39" i="14" s="1"/>
  <c r="O41" s="1"/>
  <c r="O53" s="1"/>
  <c r="E22" i="16"/>
  <c r="F39" i="14" s="1"/>
  <c r="F41" s="1"/>
  <c r="F53" s="1"/>
  <c r="N25" i="48"/>
  <c r="N14"/>
  <c r="E25"/>
  <c r="E31" s="1"/>
  <c r="E14"/>
  <c r="N31"/>
  <c r="H55" i="14"/>
  <c r="E55"/>
  <c r="C78"/>
  <c r="C81" s="1"/>
  <c r="J14" i="48"/>
  <c r="J31"/>
  <c r="Q8"/>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<sst xmlns="http://schemas.openxmlformats.org/spreadsheetml/2006/main" count="1961" uniqueCount="840">
  <si>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</si>
  <si>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</si>
  <si>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</si>
  <si>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</si>
  <si>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</si>
  <si>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</si>
  <si>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</si>
  <si>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</si>
  <si>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</si>
  <si>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</si>
  <si>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</si>
  <si>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</si>
  <si>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</si>
  <si>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</si>
  <si>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</si>
  <si>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</si>
  <si>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</si>
  <si>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</si>
  <si>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</si>
  <si>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</si>
  <si>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</si>
  <si>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</si>
  <si>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</si>
  <si>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</si>
  <si>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</si>
  <si>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</si>
  <si>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</si>
  <si>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</si>
  <si>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</si>
  <si>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</si>
  <si>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</si>
  <si>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</si>
  <si>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</si>
  <si>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</si>
  <si>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</si>
  <si>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</si>
  <si>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</si>
  <si>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</si>
  <si>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</si>
  <si>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</si>
  <si>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</si>
  <si>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</si>
  <si>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</si>
  <si>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</si>
  <si>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</si>
  <si>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</si>
  <si>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</si>
  <si>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</si>
  <si>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</si>
  <si>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</si>
  <si>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</si>
  <si>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</si>
  <si>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</si>
  <si>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</si>
  <si>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</si>
  <si>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</si>
  <si>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</si>
  <si>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</si>
  <si>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</si>
  <si>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</si>
  <si>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</si>
  <si>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</si>
  <si>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</si>
  <si>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</si>
  <si>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</si>
  <si>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</si>
  <si>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</si>
  <si>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</si>
  <si>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</si>
  <si>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</si>
  <si>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</si>
  <si>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</si>
  <si>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</si>
  <si>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</si>
  <si>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</si>
  <si>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</si>
  <si>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</si>
  <si>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</si>
  <si>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</si>
  <si>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</si>
  <si>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</si>
  <si>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</si>
  <si>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</si>
  <si>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</si>
  <si>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</si>
  <si>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</si>
  <si>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</si>
  <si>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</si>
  <si>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</si>
  <si>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</si>
  <si>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</si>
  <si>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</si>
  <si>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</si>
  <si>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</si>
  <si>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</si>
  <si>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</si>
  <si>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</si>
  <si>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</si>
  <si>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</si>
  <si>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</si>
  <si>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</si>
  <si>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</si>
  <si>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</si>
  <si>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</si>
  <si>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</si>
  <si>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</si>
  <si>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</si>
  <si>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</si>
  <si>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</si>
  <si>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</si>
  <si>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</si>
  <si>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</si>
  <si>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</si>
  <si>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</si>
  <si>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</si>
  <si>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</si>
  <si>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</si>
  <si>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</si>
  <si>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</si>
  <si>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</si>
  <si>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</si>
  <si>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</si>
  <si>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</si>
  <si>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</si>
  <si>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</si>
  <si>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</si>
  <si>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</si>
  <si>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</si>
  <si>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</si>
  <si>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</si>
  <si>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</si>
  <si>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</si>
  <si>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</si>
  <si>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</si>
  <si>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</si>
  <si>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</si>
  <si>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</si>
  <si>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</si>
  <si>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</si>
  <si>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</si>
  <si>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</si>
  <si>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</si>
  <si>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</si>
  <si>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</si>
  <si>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</si>
  <si>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</si>
  <si>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</si>
  <si>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</si>
  <si>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</si>
  <si>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</si>
  <si>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</si>
  <si>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</si>
  <si>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</si>
  <si>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</si>
  <si>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</si>
  <si>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</si>
  <si>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</si>
  <si>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</si>
  <si>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</si>
  <si>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</si>
  <si>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</si>
  <si>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</si>
  <si>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</si>
  <si>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</si>
  <si>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</si>
  <si>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</si>
  <si>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</si>
  <si>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</si>
  <si>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</si>
  <si>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</si>
  <si>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</si>
  <si>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</si>
  <si>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</si>
  <si>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</si>
  <si>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</si>
  <si>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</si>
  <si>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</si>
  <si>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</si>
  <si>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</si>
  <si>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</si>
  <si>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</si>
  <si>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</si>
  <si>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</si>
  <si>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</si>
  <si>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</si>
  <si>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</si>
  <si>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</si>
  <si>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</si>
  <si>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</si>
  <si>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</si>
  <si>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</si>
  <si>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</si>
  <si>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</si>
  <si>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</si>
  <si>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</si>
  <si>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</si>
  <si>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</si>
  <si>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</si>
  <si>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</si>
  <si>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</si>
  <si>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</si>
  <si>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</si>
  <si>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</si>
  <si>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</si>
  <si>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</si>
  <si>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</si>
  <si>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</si>
  <si>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</si>
  <si>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</si>
  <si>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</si>
  <si>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</si>
  <si>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</si>
  <si>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</si>
  <si>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</si>
  <si>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</si>
  <si>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</si>
  <si>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</si>
  <si>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</si>
  <si>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</si>
  <si>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</si>
  <si>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</si>
  <si>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</si>
  <si>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</si>
  <si>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</si>
  <si>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</si>
  <si>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</si>
  <si>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</si>
  <si>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</si>
  <si>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</si>
  <si>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</si>
  <si>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</si>
  <si>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</si>
  <si>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</si>
  <si>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</si>
  <si>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</si>
  <si>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</si>
  <si>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</si>
  <si>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</si>
  <si>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</si>
  <si>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</si>
  <si>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</si>
  <si>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</si>
  <si>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</si>
  <si>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</si>
  <si>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</si>
  <si>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</si>
  <si>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</si>
  <si>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</si>
  <si>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</si>
  <si>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</si>
  <si>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</si>
  <si>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</si>
  <si>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</si>
  <si>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</si>
  <si>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</si>
  <si>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</si>
  <si>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</si>
  <si>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</si>
  <si>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</si>
  <si>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</si>
  <si>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</si>
  <si>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</si>
  <si>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</si>
  <si>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</si>
  <si>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</si>
  <si>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</si>
  <si>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</si>
  <si>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</si>
  <si>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</si>
  <si>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</si>
  <si>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</si>
  <si>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</si>
  <si>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</si>
  <si>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</si>
  <si>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</si>
  <si>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</si>
  <si>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</si>
  <si>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</si>
  <si>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</si>
  <si>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</si>
  <si>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</si>
  <si>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</si>
  <si>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</si>
  <si>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</si>
  <si>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</si>
  <si>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</si>
  <si>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</si>
  <si>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</si>
  <si>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</si>
  <si>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</si>
  <si>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</si>
  <si>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</si>
  <si>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</si>
  <si>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</si>
  <si>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</si>
  <si>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</si>
  <si>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</si>
  <si>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</si>
  <si>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</si>
  <si>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</si>
  <si>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</si>
  <si>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</si>
  <si>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</si>
  <si>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</si>
  <si>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</si>
  <si>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</si>
  <si>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</si>
  <si>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</si>
  <si>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</si>
  <si>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</si>
  <si>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</si>
  <si>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</si>
  <si>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</si>
  <si>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</si>
  <si>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</si>
  <si>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</si>
  <si>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</si>
  <si>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</si>
  <si>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</si>
  <si>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</si>
  <si>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</si>
  <si>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</si>
  <si>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</si>
  <si>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</si>
  <si>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</si>
  <si>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</si>
  <si>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</si>
  <si>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</si>
  <si>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</si>
  <si>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</si>
  <si>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</si>
  <si>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</si>
  <si>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</si>
  <si>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</si>
  <si>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</si>
  <si>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</si>
  <si>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</si>
  <si>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</si>
  <si>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</si>
  <si>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</si>
  <si>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</si>
  <si>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</si>
  <si>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</si>
  <si>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</si>
  <si>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</si>
  <si>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</si>
  <si>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</si>
  <si>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</si>
  <si>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</si>
  <si>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</si>
  <si>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</si>
  <si>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</si>
  <si>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</si>
  <si>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</si>
  <si>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</si>
  <si>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</si>
  <si>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</si>
  <si>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</si>
  <si>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</si>
  <si>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</si>
  <si>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</si>
  <si>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</si>
  <si>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</si>
  <si>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</si>
  <si>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</si>
  <si>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</si>
  <si>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</si>
  <si>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</si>
  <si>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</si>
  <si>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</si>
  <si>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</si>
  <si>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</si>
  <si>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</si>
  <si>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</si>
  <si>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</si>
  <si>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</si>
  <si>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</si>
  <si>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</si>
  <si>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</si>
  <si>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</si>
  <si>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</si>
  <si>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</si>
  <si>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</si>
  <si>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</si>
  <si>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</si>
  <si>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</si>
  <si>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</si>
  <si>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</si>
  <si>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</si>
  <si>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</si>
  <si>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</si>
  <si>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</si>
  <si>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</si>
  <si>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</si>
  <si>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</si>
  <si>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</si>
  <si>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</si>
  <si>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</si>
  <si>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</si>
  <si>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</si>
  <si>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</si>
  <si>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</si>
  <si>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</si>
  <si>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</si>
  <si>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</si>
  <si>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</si>
  <si>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</si>
  <si>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</si>
  <si>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</si>
  <si>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</si>
  <si>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</si>
  <si>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</si>
  <si>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</si>
  <si>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</si>
  <si>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</si>
  <si>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</si>
  <si>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</si>
  <si>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</si>
  <si>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</si>
  <si>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</si>
  <si>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</si>
  <si>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</si>
  <si>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</si>
  <si>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</si>
  <si>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</si>
  <si>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</si>
  <si>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</si>
  <si>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</si>
  <si>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</si>
  <si>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</si>
  <si>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</si>
  <si>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</si>
  <si>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</si>
  <si>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</si>
  <si>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</si>
  <si>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</si>
  <si>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</si>
  <si>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</si>
  <si>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</si>
  <si>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</si>
  <si>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</si>
  <si>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</si>
  <si>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</si>
  <si>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</si>
  <si>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</si>
  <si>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</si>
  <si>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</si>
  <si>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</si>
  <si>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</si>
  <si>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</si>
  <si>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</si>
  <si>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</si>
  <si>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</si>
  <si>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</si>
  <si>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</si>
  <si>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</si>
  <si>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</si>
  <si>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</si>
  <si>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</si>
  <si>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</si>
  <si>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</si>
  <si>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</si>
  <si>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</si>
  <si>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</si>
  <si>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</si>
  <si>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</si>
  <si>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</si>
  <si>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</si>
  <si>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</si>
  <si>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</si>
  <si>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</si>
  <si>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</si>
  <si>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</si>
  <si>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</si>
  <si>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</si>
  <si>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</si>
  <si>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</si>
  <si>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</si>
  <si>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</si>
  <si>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</si>
  <si>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</si>
  <si>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</si>
  <si>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</si>
  <si>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</si>
  <si>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</si>
  <si>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</si>
  <si>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</si>
  <si>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</si>
  <si>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</si>
  <si>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</si>
  <si>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</si>
  <si>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</si>
  <si>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</si>
  <si>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</si>
  <si>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</si>
  <si>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</si>
  <si>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</si>
  <si>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</si>
  <si>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</si>
  <si>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</si>
  <si>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</si>
  <si>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</si>
  <si>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</si>
  <si>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</si>
  <si>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</si>
  <si>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</si>
  <si>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</si>
  <si>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</si>
  <si>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</si>
  <si>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</si>
  <si>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</si>
  <si>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</si>
  <si>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</si>
  <si>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</si>
  <si>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</si>
  <si>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</si>
  <si>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</si>
  <si>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</si>
  <si>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</si>
  <si>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</si>
  <si>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</si>
  <si>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</si>
  <si>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</si>
  <si>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</si>
  <si>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</si>
  <si>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</si>
  <si>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</si>
  <si>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</si>
  <si>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</si>
  <si>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</si>
  <si>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</si>
  <si>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</si>
  <si>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</si>
  <si>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</si>
  <si>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</si>
  <si>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</si>
  <si>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</si>
  <si>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</si>
  <si>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</si>
  <si>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</si>
  <si>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</si>
  <si>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</si>
  <si>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</si>
  <si>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</si>
  <si>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</si>
  <si>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</si>
  <si>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</si>
  <si>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</si>
  <si>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</si>
  <si>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</si>
  <si>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</si>
  <si>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</si>
  <si>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</si>
  <si>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</si>
  <si>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</si>
  <si>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</si>
  <si>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</si>
  <si>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</si>
  <si>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</si>
  <si>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</si>
  <si>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</si>
  <si>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</si>
  <si>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</si>
  <si>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</si>
  <si>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</si>
  <si>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</si>
  <si>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</si>
  <si>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</si>
  <si>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</si>
  <si>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</si>
  <si>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</si>
  <si>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</si>
  <si>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</si>
  <si>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</si>
  <si>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</si>
  <si>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</si>
  <si>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</si>
  <si>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</si>
  <si>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</si>
  <si>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</si>
  <si>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</si>
  <si>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</si>
  <si>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</si>
  <si>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</si>
  <si>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</si>
  <si>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</si>
  <si>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</si>
  <si>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</si>
  <si>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</si>
  <si>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</si>
  <si>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</si>
  <si>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</si>
  <si>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</si>
  <si>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</si>
  <si>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</si>
  <si>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</si>
  <si>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</si>
  <si>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</si>
  <si>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</si>
  <si>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</si>
  <si>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</si>
  <si>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</si>
  <si>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</si>
  <si>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</si>
  <si>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</si>
  <si>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</si>
  <si>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</si>
  <si>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</si>
  <si>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</si>
  <si>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</si>
  <si>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</si>
  <si>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</si>
  <si>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</si>
  <si>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</si>
  <si>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</si>
  <si>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</si>
  <si>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</si>
  <si>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</si>
  <si>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</si>
  <si>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</si>
  <si>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</si>
  <si>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</si>
  <si>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</si>
  <si>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</si>
  <si>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</si>
  <si>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</si>
  <si>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</si>
  <si>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</si>
  <si>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</si>
  <si>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</si>
  <si>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</si>
  <si>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</si>
  <si>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</si>
  <si>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</si>
  <si>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</si>
  <si>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</si>
  <si>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</si>
  <si>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</si>
  <si>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</si>
  <si>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</si>
  <si>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</si>
  <si>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</si>
  <si>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</si>
  <si>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</si>
  <si>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</si>
  <si>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</si>
  <si>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</si>
  <si>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</si>
  <si>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</si>
  <si>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</si>
  <si>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</si>
  <si>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</si>
  <si>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</si>
  <si>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</si>
  <si>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</si>
  <si>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</si>
  <si>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</si>
  <si>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</si>
  <si>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</si>
  <si>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</si>
  <si>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</si>
  <si>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</si>
  <si>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</si>
  <si>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</si>
  <si>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</si>
  <si>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</si>
  <si>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</si>
  <si>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</si>
  <si>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</si>
  <si>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</si>
  <si>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</si>
  <si>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</si>
  <si>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</si>
  <si>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</si>
  <si>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</si>
  <si>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</si>
  <si>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</si>
  <si>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</si>
  <si>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</si>
  <si>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</si>
  <si>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</si>
  <si>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</si>
  <si>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</si>
  <si>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</si>
  <si>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</si>
  <si>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</si>
  <si>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</si>
  <si>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</si>
  <si>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</si>
  <si>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</si>
  <si>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</si>
  <si>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</si>
  <si>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</si>
  <si>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</si>
  <si>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</si>
  <si>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</si>
  <si>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</si>
  <si>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</si>
  <si>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</si>
  <si>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</si>
  <si>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</si>
  <si>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</si>
  <si>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</si>
  <si>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</si>
  <si>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</si>
  <si>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</si>
  <si>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</si>
  <si>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</si>
  <si>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</si>
  <si>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</si>
  <si>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</si>
  <si>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</si>
  <si>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</si>
  <si>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</si>
  <si>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</si>
  <si>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</si>
  <si>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</si>
  <si>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</si>
  <si>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</si>
  <si>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</si>
  <si>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</si>
  <si>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</si>
  <si>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</si>
  <si>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</si>
  <si>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</si>
  <si>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</si>
  <si>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</si>
  <si>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</si>
  <si>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</si>
  <si>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</si>
  <si>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</si>
  <si>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</si>
  <si>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</si>
  <si>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</si>
  <si>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</si>
  <si>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</si>
  <si>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</si>
  <si>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</si>
  <si>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</si>
  <si>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</si>
  <si>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</si>
  <si>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</si>
  <si>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</si>
  <si>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</si>
  <si>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</si>
  <si>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</si>
  <si>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</si>
  <si>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</si>
  <si>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</si>
  <si>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</si>
  <si>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</si>
  <si>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</si>
  <si>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</si>
  <si>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</si>
  <si>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</si>
  <si>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</si>
  <si>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</si>
  <si>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</si>
  <si>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</si>
  <si>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</si>
  <si>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</si>
  <si>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</si>
  <si>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</si>
  <si>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</si>
  <si>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</si>
  <si>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</si>
  <si>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</si>
  <si>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</si>
  <si>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</si>
  <si>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</si>
  <si>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</si>
  <si>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</si>
  <si>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</si>
  <si>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</si>
  <si>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</si>
  <si>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</si>
  <si>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</si>
  <si>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</si>
  <si>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</si>
  <si>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</si>
  <si>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</si>
  <si>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</si>
  <si>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</si>
  <si>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</si>
  <si>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</si>
  <si>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</si>
  <si>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</si>
  <si>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</si>
  <si>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</si>
  <si>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</si>
  <si>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</si>
  <si>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</si>
  <si>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</si>
  <si>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</si>
  <si>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</si>
  <si>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</si>
  <si>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</si>
  <si>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</si>
  <si>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</si>
  <si>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</si>
  <si>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</si>
  <si>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</si>
  <si>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</si>
  <si>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</si>
  <si>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</si>
  <si>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</si>
  <si>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</si>
  <si>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</si>
  <si>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</si>
  <si>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</si>
  <si>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</si>
  <si>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</si>
  <si>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</si>
  <si>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</si>
  <si>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</si>
  <si>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</si>
  <si>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</si>
  <si>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</si>
  <si>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</si>
  <si>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</si>
  <si>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</si>
  <si>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</si>
  <si>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</si>
  <si>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</si>
  <si>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</si>
  <si>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</si>
  <si>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</si>
  <si>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</si>
  <si>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</si>
  <si>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</si>
  <si>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</si>
  <si>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</si>
  <si>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</si>
  <si>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34023</t>
  </si>
  <si>
    <t>KUURNE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</si>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</sst>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103916.16291802777</c:v>
                </c:pt>
                <c:pt idx="1">
                  <c:v>53666.286320836502</c:v>
                </c:pt>
                <c:pt idx="2">
                  <c:v>868.79399999999998</c:v>
                </c:pt>
                <c:pt idx="3">
                  <c:v>12890.683172369761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103916.16291802777</c:v>
                </c:pt>
                <c:pt idx="1">
                  <c:v>53666.286320836502</c:v>
                </c:pt>
                <c:pt idx="2">
                  <c:v>868.79399999999998</c:v>
                </c:pt>
                <c:pt idx="3">
                  <c:v>12890.683172369761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19163.598122958443</c:v>
                </c:pt>
                <c:pt idx="1">
                  <c:v>10807.406196580394</c:v>
                </c:pt>
                <c:pt idx="2">
                  <c:v>175.81279038242178</c:v>
                </c:pt>
                <c:pt idx="3">
                  <c:v>2647.1524694684463</c:v>
                </c:pt>
                <c:pt idx="4">
                  <c:v>10334.242252241103</c:v>
                </c:pt>
                <c:pt idx="5">
                  <c:v>12116.260639734783</c:v>
                </c:pt>
                <c:pt idx="6">
                  <c:v>275.52967834101338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19163.598122958443</c:v>
                </c:pt>
                <c:pt idx="1">
                  <c:v>10807.406196580394</c:v>
                </c:pt>
                <c:pt idx="2">
                  <c:v>175.81279038242178</c:v>
                </c:pt>
                <c:pt idx="3">
                  <c:v>2647.1524694684463</c:v>
                </c:pt>
                <c:pt idx="4">
                  <c:v>10334.242252241103</c:v>
                </c:pt>
                <c:pt idx="5">
                  <c:v>12116.260639734783</c:v>
                </c:pt>
                <c:pt idx="6">
                  <c:v>275.52967834101338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34023</v>
      </c>
      <c r="B6" s="398"/>
      <c r="C6" s="399"/>
    </row>
    <row r="7" spans="1:7" s="396" customFormat="1" ht="15.75" customHeight="1">
      <c r="A7" s="400" t="str">
        <f>txtMunicipality</f>
        <v>KUURNE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22537.292000589427</v>
      </c>
      <c r="D10" s="704">
        <f ca="1">tertiair!C16</f>
        <v>0</v>
      </c>
      <c r="E10" s="704">
        <f ca="1">tertiair!D16</f>
        <v>25890.202645057521</v>
      </c>
      <c r="F10" s="704">
        <f>tertiair!E16</f>
        <v>290.12028878695747</v>
      </c>
      <c r="G10" s="704">
        <f ca="1">tertiair!F16</f>
        <v>4220.2247292518132</v>
      </c>
      <c r="H10" s="704">
        <f>tertiair!G16</f>
        <v>0</v>
      </c>
      <c r="I10" s="704">
        <f>tertiair!H16</f>
        <v>0</v>
      </c>
      <c r="J10" s="704">
        <f>tertiair!I16</f>
        <v>0</v>
      </c>
      <c r="K10" s="704">
        <f>tertiair!J16</f>
        <v>0</v>
      </c>
      <c r="L10" s="704">
        <f>tertiair!K16</f>
        <v>0</v>
      </c>
      <c r="M10" s="704">
        <f ca="1">tertiair!L16</f>
        <v>0</v>
      </c>
      <c r="N10" s="704">
        <f>tertiair!M16</f>
        <v>0</v>
      </c>
      <c r="O10" s="704">
        <f ca="1">tertiair!N16</f>
        <v>1555.9806571507836</v>
      </c>
      <c r="P10" s="704">
        <f>tertiair!O16</f>
        <v>3.1266666666666669</v>
      </c>
      <c r="Q10" s="705">
        <f>tertiair!P16</f>
        <v>38.133333333333333</v>
      </c>
      <c r="R10" s="707">
        <f ca="1">SUM(C10:Q10)</f>
        <v>54535.080320836503</v>
      </c>
      <c r="S10" s="67"/>
    </row>
    <row r="11" spans="1:19" s="459" customFormat="1">
      <c r="A11" s="858" t="s">
        <v>225</v>
      </c>
      <c r="B11" s="863"/>
      <c r="C11" s="704">
        <f>huishoudens!B8</f>
        <v>20890.133419511836</v>
      </c>
      <c r="D11" s="704">
        <f>huishoudens!C8</f>
        <v>0</v>
      </c>
      <c r="E11" s="704">
        <f>huishoudens!D8</f>
        <v>64904.57615868414</v>
      </c>
      <c r="F11" s="704">
        <f>huishoudens!E8</f>
        <v>3270.9373419232115</v>
      </c>
      <c r="G11" s="704">
        <f>huishoudens!F8</f>
        <v>4056.0154416830428</v>
      </c>
      <c r="H11" s="704">
        <f>huishoudens!G8</f>
        <v>0</v>
      </c>
      <c r="I11" s="704">
        <f>huishoudens!H8</f>
        <v>0</v>
      </c>
      <c r="J11" s="704">
        <f>huishoudens!I8</f>
        <v>0</v>
      </c>
      <c r="K11" s="704">
        <f>huishoudens!J8</f>
        <v>0</v>
      </c>
      <c r="L11" s="704">
        <f>huishoudens!K8</f>
        <v>0</v>
      </c>
      <c r="M11" s="704">
        <f>huishoudens!L8</f>
        <v>0</v>
      </c>
      <c r="N11" s="704">
        <f>huishoudens!M8</f>
        <v>0</v>
      </c>
      <c r="O11" s="704">
        <f>huishoudens!N8</f>
        <v>10423.130556225531</v>
      </c>
      <c r="P11" s="704">
        <f>huishoudens!O8</f>
        <v>123.50333333333334</v>
      </c>
      <c r="Q11" s="705">
        <f>huishoudens!P8</f>
        <v>247.86666666666667</v>
      </c>
      <c r="R11" s="707">
        <f>SUM(C11:Q11)</f>
        <v>103916.16291802777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21992.16885702869</v>
      </c>
      <c r="D13" s="704">
        <f>industrie!C18</f>
        <v>0</v>
      </c>
      <c r="E13" s="704">
        <f>industrie!D18</f>
        <v>19426.480033585431</v>
      </c>
      <c r="F13" s="704">
        <f>industrie!E18</f>
        <v>1332.8199231796161</v>
      </c>
      <c r="G13" s="704">
        <f>industrie!F18</f>
        <v>6154.426744997445</v>
      </c>
      <c r="H13" s="704">
        <f>industrie!G18</f>
        <v>0</v>
      </c>
      <c r="I13" s="704">
        <f>industrie!H18</f>
        <v>0</v>
      </c>
      <c r="J13" s="704">
        <f>industrie!I18</f>
        <v>0</v>
      </c>
      <c r="K13" s="704">
        <f>industrie!J18</f>
        <v>39.219996206242207</v>
      </c>
      <c r="L13" s="704">
        <f>industrie!K18</f>
        <v>0</v>
      </c>
      <c r="M13" s="704">
        <f>industrie!L18</f>
        <v>0</v>
      </c>
      <c r="N13" s="704">
        <f>industrie!M18</f>
        <v>0</v>
      </c>
      <c r="O13" s="704">
        <f>industrie!N18</f>
        <v>5432.1489908087642</v>
      </c>
      <c r="P13" s="704">
        <f>industrie!O18</f>
        <v>0</v>
      </c>
      <c r="Q13" s="705">
        <f>industrie!P18</f>
        <v>0</v>
      </c>
      <c r="R13" s="707">
        <f>SUM(C13:Q13)</f>
        <v>54377.264545806189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65419.59427712996</v>
      </c>
      <c r="D15" s="709">
        <f t="shared" ref="D15:Q15" ca="1" si="0">SUM(D9:D14)</f>
        <v>0</v>
      </c>
      <c r="E15" s="709">
        <f t="shared" ca="1" si="0"/>
        <v>110221.2588373271</v>
      </c>
      <c r="F15" s="709">
        <f t="shared" si="0"/>
        <v>4893.8775538897853</v>
      </c>
      <c r="G15" s="709">
        <f t="shared" ca="1" si="0"/>
        <v>14430.666915932301</v>
      </c>
      <c r="H15" s="709">
        <f t="shared" si="0"/>
        <v>0</v>
      </c>
      <c r="I15" s="709">
        <f t="shared" si="0"/>
        <v>0</v>
      </c>
      <c r="J15" s="709">
        <f t="shared" si="0"/>
        <v>0</v>
      </c>
      <c r="K15" s="709">
        <f t="shared" si="0"/>
        <v>39.219996206242207</v>
      </c>
      <c r="L15" s="709">
        <f t="shared" si="0"/>
        <v>0</v>
      </c>
      <c r="M15" s="709">
        <f t="shared" ca="1" si="0"/>
        <v>0</v>
      </c>
      <c r="N15" s="709">
        <f t="shared" si="0"/>
        <v>0</v>
      </c>
      <c r="O15" s="709">
        <f t="shared" ca="1" si="0"/>
        <v>17411.260204185077</v>
      </c>
      <c r="P15" s="709">
        <f t="shared" si="0"/>
        <v>126.63000000000001</v>
      </c>
      <c r="Q15" s="710">
        <f t="shared" si="0"/>
        <v>286</v>
      </c>
      <c r="R15" s="711">
        <f ca="1">SUM(R9:R14)</f>
        <v>212828.50778467045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1031.9463608277654</v>
      </c>
      <c r="I18" s="704">
        <f>transport!H54</f>
        <v>0</v>
      </c>
      <c r="J18" s="704">
        <f>transport!I54</f>
        <v>0</v>
      </c>
      <c r="K18" s="704">
        <f>transport!J54</f>
        <v>0</v>
      </c>
      <c r="L18" s="704">
        <f>transport!K54</f>
        <v>0</v>
      </c>
      <c r="M18" s="704">
        <f>transport!L54</f>
        <v>0</v>
      </c>
      <c r="N18" s="704">
        <f>transport!M54</f>
        <v>45.893178720516296</v>
      </c>
      <c r="O18" s="704">
        <f>transport!N54</f>
        <v>0</v>
      </c>
      <c r="P18" s="704">
        <f>transport!O54</f>
        <v>0</v>
      </c>
      <c r="Q18" s="705">
        <f>transport!P54</f>
        <v>0</v>
      </c>
      <c r="R18" s="707">
        <f>SUM(C18:Q18)</f>
        <v>1077.8395395482817</v>
      </c>
      <c r="S18" s="67"/>
    </row>
    <row r="19" spans="1:19" s="459" customFormat="1" ht="15" thickBot="1">
      <c r="A19" s="858" t="s">
        <v>307</v>
      </c>
      <c r="B19" s="863"/>
      <c r="C19" s="713">
        <f>transport!B14</f>
        <v>2.6446328070986631</v>
      </c>
      <c r="D19" s="713">
        <f>transport!C14</f>
        <v>0</v>
      </c>
      <c r="E19" s="713">
        <f>transport!D14</f>
        <v>4.8705896001867508</v>
      </c>
      <c r="F19" s="713">
        <f>transport!E14</f>
        <v>146.61034277507648</v>
      </c>
      <c r="G19" s="713">
        <f>transport!F14</f>
        <v>0</v>
      </c>
      <c r="H19" s="713">
        <f>transport!G14</f>
        <v>38482.537254237592</v>
      </c>
      <c r="I19" s="713">
        <f>transport!H14</f>
        <v>7255.5164938939151</v>
      </c>
      <c r="J19" s="713">
        <f>transport!I14</f>
        <v>0</v>
      </c>
      <c r="K19" s="713">
        <f>transport!J14</f>
        <v>0</v>
      </c>
      <c r="L19" s="713">
        <f>transport!K14</f>
        <v>0</v>
      </c>
      <c r="M19" s="713">
        <f>transport!L14</f>
        <v>0</v>
      </c>
      <c r="N19" s="713">
        <f>transport!M14</f>
        <v>2046.6162617699633</v>
      </c>
      <c r="O19" s="713">
        <f>transport!N14</f>
        <v>0</v>
      </c>
      <c r="P19" s="713">
        <f>transport!O14</f>
        <v>0</v>
      </c>
      <c r="Q19" s="714">
        <f>transport!P14</f>
        <v>0</v>
      </c>
      <c r="R19" s="715">
        <f>SUM(C19:Q19)</f>
        <v>47938.79557508383</v>
      </c>
      <c r="S19" s="67"/>
    </row>
    <row r="20" spans="1:19" s="459" customFormat="1" ht="15.75" thickBot="1">
      <c r="A20" s="716" t="s">
        <v>230</v>
      </c>
      <c r="B20" s="866"/>
      <c r="C20" s="861">
        <f>SUM(C17:C19)</f>
        <v>2.6446328070986631</v>
      </c>
      <c r="D20" s="717">
        <f t="shared" ref="D20:R20" si="1">SUM(D17:D19)</f>
        <v>0</v>
      </c>
      <c r="E20" s="717">
        <f t="shared" si="1"/>
        <v>4.8705896001867508</v>
      </c>
      <c r="F20" s="717">
        <f t="shared" si="1"/>
        <v>146.61034277507648</v>
      </c>
      <c r="G20" s="717">
        <f t="shared" si="1"/>
        <v>0</v>
      </c>
      <c r="H20" s="717">
        <f t="shared" si="1"/>
        <v>39514.483615065357</v>
      </c>
      <c r="I20" s="717">
        <f t="shared" si="1"/>
        <v>7255.5164938939151</v>
      </c>
      <c r="J20" s="717">
        <f t="shared" si="1"/>
        <v>0</v>
      </c>
      <c r="K20" s="717">
        <f t="shared" si="1"/>
        <v>0</v>
      </c>
      <c r="L20" s="717">
        <f t="shared" si="1"/>
        <v>0</v>
      </c>
      <c r="M20" s="717">
        <f t="shared" si="1"/>
        <v>0</v>
      </c>
      <c r="N20" s="717">
        <f t="shared" si="1"/>
        <v>2092.5094404904798</v>
      </c>
      <c r="O20" s="717">
        <f t="shared" si="1"/>
        <v>0</v>
      </c>
      <c r="P20" s="717">
        <f t="shared" si="1"/>
        <v>0</v>
      </c>
      <c r="Q20" s="718">
        <f t="shared" si="1"/>
        <v>0</v>
      </c>
      <c r="R20" s="719">
        <f t="shared" si="1"/>
        <v>49016.63511463211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174.47001898319309</v>
      </c>
      <c r="D22" s="713">
        <f>+landbouw!C8</f>
        <v>0</v>
      </c>
      <c r="E22" s="713">
        <f>+landbouw!D8</f>
        <v>12085.81102599101</v>
      </c>
      <c r="F22" s="713">
        <f>+landbouw!E8</f>
        <v>2.1985470022716429</v>
      </c>
      <c r="G22" s="713">
        <f>+landbouw!F8</f>
        <v>601.96527284339277</v>
      </c>
      <c r="H22" s="713">
        <f>+landbouw!G8</f>
        <v>0</v>
      </c>
      <c r="I22" s="713">
        <f>+landbouw!H8</f>
        <v>0</v>
      </c>
      <c r="J22" s="713">
        <f>+landbouw!I8</f>
        <v>0</v>
      </c>
      <c r="K22" s="713">
        <f>+landbouw!J8</f>
        <v>26.238307549893793</v>
      </c>
      <c r="L22" s="713">
        <f>+landbouw!K8</f>
        <v>0</v>
      </c>
      <c r="M22" s="713">
        <f>+landbouw!L8</f>
        <v>0</v>
      </c>
      <c r="N22" s="713">
        <f>+landbouw!M8</f>
        <v>0</v>
      </c>
      <c r="O22" s="713">
        <f>+landbouw!N8</f>
        <v>0</v>
      </c>
      <c r="P22" s="713">
        <f>+landbouw!O8</f>
        <v>0</v>
      </c>
      <c r="Q22" s="714">
        <f>+landbouw!P8</f>
        <v>0</v>
      </c>
      <c r="R22" s="715">
        <f>SUM(C22:Q22)</f>
        <v>12890.683172369761</v>
      </c>
      <c r="S22" s="67"/>
    </row>
    <row r="23" spans="1:19" s="459" customFormat="1" ht="17.25" thickTop="1" thickBot="1">
      <c r="A23" s="720" t="s">
        <v>116</v>
      </c>
      <c r="B23" s="852"/>
      <c r="C23" s="721">
        <f ca="1">C20+C15+C22</f>
        <v>65596.708928920256</v>
      </c>
      <c r="D23" s="721">
        <f t="shared" ref="D23:Q23" ca="1" si="2">D20+D15+D22</f>
        <v>0</v>
      </c>
      <c r="E23" s="721">
        <f t="shared" ca="1" si="2"/>
        <v>122311.94045291829</v>
      </c>
      <c r="F23" s="721">
        <f t="shared" si="2"/>
        <v>5042.686443667134</v>
      </c>
      <c r="G23" s="721">
        <f t="shared" ca="1" si="2"/>
        <v>15032.632188775693</v>
      </c>
      <c r="H23" s="721">
        <f t="shared" si="2"/>
        <v>39514.483615065357</v>
      </c>
      <c r="I23" s="721">
        <f t="shared" si="2"/>
        <v>7255.5164938939151</v>
      </c>
      <c r="J23" s="721">
        <f t="shared" si="2"/>
        <v>0</v>
      </c>
      <c r="K23" s="721">
        <f t="shared" si="2"/>
        <v>65.458303756136004</v>
      </c>
      <c r="L23" s="721">
        <f t="shared" si="2"/>
        <v>0</v>
      </c>
      <c r="M23" s="721">
        <f t="shared" ca="1" si="2"/>
        <v>0</v>
      </c>
      <c r="N23" s="721">
        <f t="shared" si="2"/>
        <v>2092.5094404904798</v>
      </c>
      <c r="O23" s="721">
        <f t="shared" ca="1" si="2"/>
        <v>17411.260204185077</v>
      </c>
      <c r="P23" s="721">
        <f t="shared" si="2"/>
        <v>126.63000000000001</v>
      </c>
      <c r="Q23" s="722">
        <f t="shared" si="2"/>
        <v>286</v>
      </c>
      <c r="R23" s="723">
        <f ca="1">R20+R15+R22</f>
        <v>274735.82607167232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4560.7407443963239</v>
      </c>
      <c r="D36" s="704">
        <f ca="1">tertiair!C20</f>
        <v>0</v>
      </c>
      <c r="E36" s="704">
        <f ca="1">tertiair!D20</f>
        <v>5229.8209343016197</v>
      </c>
      <c r="F36" s="704">
        <f>tertiair!E20</f>
        <v>65.857305554639353</v>
      </c>
      <c r="G36" s="704">
        <f ca="1">tertiair!F20</f>
        <v>1126.8000027102341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10983.218986962816</v>
      </c>
    </row>
    <row r="37" spans="1:18">
      <c r="A37" s="873" t="s">
        <v>225</v>
      </c>
      <c r="B37" s="880"/>
      <c r="C37" s="704">
        <f ca="1">huishoudens!B12</f>
        <v>4227.4148393583046</v>
      </c>
      <c r="D37" s="704">
        <f ca="1">huishoudens!C12</f>
        <v>0</v>
      </c>
      <c r="E37" s="704">
        <f>huishoudens!D12</f>
        <v>13110.724384054198</v>
      </c>
      <c r="F37" s="704">
        <f>huishoudens!E12</f>
        <v>742.50277661656901</v>
      </c>
      <c r="G37" s="704">
        <f>huishoudens!F12</f>
        <v>1082.9561229293724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19163.598122958443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4450.4273433237449</v>
      </c>
      <c r="D39" s="704">
        <f ca="1">industrie!C22</f>
        <v>0</v>
      </c>
      <c r="E39" s="704">
        <f>industrie!D22</f>
        <v>3924.148966784257</v>
      </c>
      <c r="F39" s="704">
        <f>industrie!E22</f>
        <v>302.55012256177287</v>
      </c>
      <c r="G39" s="704">
        <f>industrie!F22</f>
        <v>1643.2319409143179</v>
      </c>
      <c r="H39" s="704">
        <f>industrie!G22</f>
        <v>0</v>
      </c>
      <c r="I39" s="704">
        <f>industrie!H22</f>
        <v>0</v>
      </c>
      <c r="J39" s="704">
        <f>industrie!I22</f>
        <v>0</v>
      </c>
      <c r="K39" s="704">
        <f>industrie!J22</f>
        <v>13.88387865700974</v>
      </c>
      <c r="L39" s="704">
        <f>industrie!K22</f>
        <v>0</v>
      </c>
      <c r="M39" s="704">
        <f>industrie!L22</f>
        <v>0</v>
      </c>
      <c r="N39" s="704">
        <f>industrie!M22</f>
        <v>0</v>
      </c>
      <c r="O39" s="704">
        <f>industrie!N22</f>
        <v>0</v>
      </c>
      <c r="P39" s="704">
        <f>industrie!O22</f>
        <v>0</v>
      </c>
      <c r="Q39" s="814">
        <f>industrie!P22</f>
        <v>0</v>
      </c>
      <c r="R39" s="906">
        <f ca="1">SUM(C39:Q39)</f>
        <v>10334.242252241103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13238.582927078374</v>
      </c>
      <c r="D41" s="749">
        <f t="shared" ref="D41:R41" ca="1" si="4">SUM(D35:D40)</f>
        <v>0</v>
      </c>
      <c r="E41" s="749">
        <f t="shared" ca="1" si="4"/>
        <v>22264.694285140074</v>
      </c>
      <c r="F41" s="749">
        <f t="shared" si="4"/>
        <v>1110.9102047329811</v>
      </c>
      <c r="G41" s="749">
        <f t="shared" ca="1" si="4"/>
        <v>3852.9880665539245</v>
      </c>
      <c r="H41" s="749">
        <f t="shared" si="4"/>
        <v>0</v>
      </c>
      <c r="I41" s="749">
        <f t="shared" si="4"/>
        <v>0</v>
      </c>
      <c r="J41" s="749">
        <f t="shared" si="4"/>
        <v>0</v>
      </c>
      <c r="K41" s="749">
        <f t="shared" si="4"/>
        <v>13.88387865700974</v>
      </c>
      <c r="L41" s="749">
        <f t="shared" si="4"/>
        <v>0</v>
      </c>
      <c r="M41" s="749">
        <f t="shared" ca="1" si="4"/>
        <v>0</v>
      </c>
      <c r="N41" s="749">
        <f t="shared" si="4"/>
        <v>0</v>
      </c>
      <c r="O41" s="749">
        <f t="shared" ca="1" si="4"/>
        <v>0</v>
      </c>
      <c r="P41" s="749">
        <f t="shared" si="4"/>
        <v>0</v>
      </c>
      <c r="Q41" s="750">
        <f t="shared" si="4"/>
        <v>0</v>
      </c>
      <c r="R41" s="751">
        <f t="shared" ca="1" si="4"/>
        <v>40481.059362162363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275.52967834101338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275.52967834101338</v>
      </c>
    </row>
    <row r="45" spans="1:18" ht="15" thickBot="1">
      <c r="A45" s="876" t="s">
        <v>307</v>
      </c>
      <c r="B45" s="886"/>
      <c r="C45" s="713">
        <f ca="1">transport!B18</f>
        <v>0.53517896457953551</v>
      </c>
      <c r="D45" s="713">
        <f>transport!C18</f>
        <v>0</v>
      </c>
      <c r="E45" s="713">
        <f>transport!D18</f>
        <v>0.98385909923772374</v>
      </c>
      <c r="F45" s="713">
        <f>transport!E18</f>
        <v>33.280547809942362</v>
      </c>
      <c r="G45" s="713">
        <f>transport!F18</f>
        <v>0</v>
      </c>
      <c r="H45" s="713">
        <f>transport!G18</f>
        <v>10274.837446881438</v>
      </c>
      <c r="I45" s="713">
        <f>transport!H18</f>
        <v>1806.6236069795848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12116.260639734783</v>
      </c>
    </row>
    <row r="46" spans="1:18" ht="15.75" thickBot="1">
      <c r="A46" s="874" t="s">
        <v>230</v>
      </c>
      <c r="B46" s="887"/>
      <c r="C46" s="749">
        <f t="shared" ref="C46:R46" ca="1" si="5">SUM(C43:C45)</f>
        <v>0.53517896457953551</v>
      </c>
      <c r="D46" s="749">
        <f t="shared" ca="1" si="5"/>
        <v>0</v>
      </c>
      <c r="E46" s="749">
        <f t="shared" si="5"/>
        <v>0.98385909923772374</v>
      </c>
      <c r="F46" s="749">
        <f t="shared" si="5"/>
        <v>33.280547809942362</v>
      </c>
      <c r="G46" s="749">
        <f t="shared" si="5"/>
        <v>0</v>
      </c>
      <c r="H46" s="749">
        <f t="shared" si="5"/>
        <v>10550.367125222452</v>
      </c>
      <c r="I46" s="749">
        <f t="shared" si="5"/>
        <v>1806.6236069795848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12391.790318075797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35.306483326898295</v>
      </c>
      <c r="D48" s="704">
        <f ca="1">+landbouw!C12</f>
        <v>0</v>
      </c>
      <c r="E48" s="704">
        <f>+landbouw!D12</f>
        <v>2441.3338272501842</v>
      </c>
      <c r="F48" s="704">
        <f>+landbouw!E12</f>
        <v>0.49907016951566296</v>
      </c>
      <c r="G48" s="704">
        <f>+landbouw!F12</f>
        <v>160.72472784918588</v>
      </c>
      <c r="H48" s="704">
        <f>+landbouw!G12</f>
        <v>0</v>
      </c>
      <c r="I48" s="704">
        <f>+landbouw!H12</f>
        <v>0</v>
      </c>
      <c r="J48" s="704">
        <f>+landbouw!I12</f>
        <v>0</v>
      </c>
      <c r="K48" s="704">
        <f>+landbouw!J12</f>
        <v>9.2883608726624018</v>
      </c>
      <c r="L48" s="704">
        <f>+landbouw!K12</f>
        <v>0</v>
      </c>
      <c r="M48" s="704">
        <f>+landbouw!L12</f>
        <v>0</v>
      </c>
      <c r="N48" s="704">
        <f>+landbouw!M12</f>
        <v>0</v>
      </c>
      <c r="O48" s="704">
        <f>+landbouw!N12</f>
        <v>0</v>
      </c>
      <c r="P48" s="704">
        <f>+landbouw!O12</f>
        <v>0</v>
      </c>
      <c r="Q48" s="705">
        <f>+landbouw!P12</f>
        <v>0</v>
      </c>
      <c r="R48" s="747">
        <f ca="1">SUM(C48:Q48)</f>
        <v>2647.1524694684463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13274.424589369852</v>
      </c>
      <c r="D53" s="759">
        <f t="shared" ref="D53:Q53" ca="1" si="6">D41+D46+D48</f>
        <v>0</v>
      </c>
      <c r="E53" s="759">
        <f t="shared" ca="1" si="6"/>
        <v>24707.011971489497</v>
      </c>
      <c r="F53" s="759">
        <f t="shared" si="6"/>
        <v>1144.6898227124391</v>
      </c>
      <c r="G53" s="759">
        <f t="shared" ca="1" si="6"/>
        <v>4013.7127944031104</v>
      </c>
      <c r="H53" s="759">
        <f t="shared" si="6"/>
        <v>10550.367125222452</v>
      </c>
      <c r="I53" s="759">
        <f t="shared" si="6"/>
        <v>1806.6236069795848</v>
      </c>
      <c r="J53" s="759">
        <f t="shared" si="6"/>
        <v>0</v>
      </c>
      <c r="K53" s="759">
        <f t="shared" si="6"/>
        <v>23.17223952967214</v>
      </c>
      <c r="L53" s="759">
        <f t="shared" si="6"/>
        <v>0</v>
      </c>
      <c r="M53" s="759">
        <f t="shared" ca="1" si="6"/>
        <v>0</v>
      </c>
      <c r="N53" s="759">
        <f t="shared" si="6"/>
        <v>0</v>
      </c>
      <c r="O53" s="759">
        <f t="shared" ca="1" si="6"/>
        <v>0</v>
      </c>
      <c r="P53" s="759">
        <f>P41+P46+P48</f>
        <v>0</v>
      </c>
      <c r="Q53" s="760">
        <f t="shared" si="6"/>
        <v>0</v>
      </c>
      <c r="R53" s="761">
        <f ca="1">R41+R46+R48</f>
        <v>55520.002149706605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0.20236418573611439</v>
      </c>
      <c r="D55" s="824">
        <f t="shared" ca="1" si="7"/>
        <v>0</v>
      </c>
      <c r="E55" s="824">
        <f t="shared" ca="1" si="7"/>
        <v>0.20200000000000001</v>
      </c>
      <c r="F55" s="824">
        <f t="shared" si="7"/>
        <v>0.22699999999999992</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5531.4392937625444</v>
      </c>
      <c r="C66" s="781">
        <f>'lokale energieproductie'!B6</f>
        <v>5531.4392937625444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5531.4392937625444</v>
      </c>
      <c r="C69" s="789">
        <f>SUM(C64:C68)</f>
        <v>5531.4392937625444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20890.133419511836</v>
      </c>
      <c r="C4" s="463">
        <f>huishoudens!C8</f>
        <v>0</v>
      </c>
      <c r="D4" s="463">
        <f>huishoudens!D8</f>
        <v>64904.57615868414</v>
      </c>
      <c r="E4" s="463">
        <f>huishoudens!E8</f>
        <v>3270.9373419232115</v>
      </c>
      <c r="F4" s="463">
        <f>huishoudens!F8</f>
        <v>4056.0154416830428</v>
      </c>
      <c r="G4" s="463">
        <f>huishoudens!G8</f>
        <v>0</v>
      </c>
      <c r="H4" s="463">
        <f>huishoudens!H8</f>
        <v>0</v>
      </c>
      <c r="I4" s="463">
        <f>huishoudens!I8</f>
        <v>0</v>
      </c>
      <c r="J4" s="463">
        <f>huishoudens!J8</f>
        <v>0</v>
      </c>
      <c r="K4" s="463">
        <f>huishoudens!K8</f>
        <v>0</v>
      </c>
      <c r="L4" s="463">
        <f>huishoudens!L8</f>
        <v>0</v>
      </c>
      <c r="M4" s="463">
        <f>huishoudens!M8</f>
        <v>0</v>
      </c>
      <c r="N4" s="463">
        <f>huishoudens!N8</f>
        <v>10423.130556225531</v>
      </c>
      <c r="O4" s="463">
        <f>huishoudens!O8</f>
        <v>123.50333333333334</v>
      </c>
      <c r="P4" s="464">
        <f>huishoudens!P8</f>
        <v>247.86666666666667</v>
      </c>
      <c r="Q4" s="465">
        <f>SUM(B4:P4)</f>
        <v>103916.16291802777</v>
      </c>
    </row>
    <row r="5" spans="1:17">
      <c r="A5" s="462" t="s">
        <v>156</v>
      </c>
      <c r="B5" s="463">
        <f ca="1">tertiair!B16</f>
        <v>21668.498000589425</v>
      </c>
      <c r="C5" s="463">
        <f ca="1">tertiair!C16</f>
        <v>0</v>
      </c>
      <c r="D5" s="463">
        <f ca="1">tertiair!D16</f>
        <v>25890.202645057521</v>
      </c>
      <c r="E5" s="463">
        <f>tertiair!E16</f>
        <v>290.12028878695747</v>
      </c>
      <c r="F5" s="463">
        <f ca="1">tertiair!F16</f>
        <v>4220.2247292518132</v>
      </c>
      <c r="G5" s="463">
        <f>tertiair!G16</f>
        <v>0</v>
      </c>
      <c r="H5" s="463">
        <f>tertiair!H16</f>
        <v>0</v>
      </c>
      <c r="I5" s="463">
        <f>tertiair!I16</f>
        <v>0</v>
      </c>
      <c r="J5" s="463">
        <f>tertiair!J16</f>
        <v>0</v>
      </c>
      <c r="K5" s="463">
        <f>tertiair!K16</f>
        <v>0</v>
      </c>
      <c r="L5" s="463">
        <f ca="1">tertiair!L16</f>
        <v>0</v>
      </c>
      <c r="M5" s="463">
        <f>tertiair!M16</f>
        <v>0</v>
      </c>
      <c r="N5" s="463">
        <f ca="1">tertiair!N16</f>
        <v>1555.9806571507836</v>
      </c>
      <c r="O5" s="463">
        <f>tertiair!O16</f>
        <v>3.1266666666666669</v>
      </c>
      <c r="P5" s="464">
        <f>tertiair!P16</f>
        <v>38.133333333333333</v>
      </c>
      <c r="Q5" s="462">
        <f t="shared" ref="Q5:Q13" ca="1" si="0">SUM(B5:P5)</f>
        <v>53666.286320836502</v>
      </c>
    </row>
    <row r="6" spans="1:17">
      <c r="A6" s="462" t="s">
        <v>194</v>
      </c>
      <c r="B6" s="463">
        <f>'openbare verlichting'!B8</f>
        <v>868.79399999999998</v>
      </c>
      <c r="C6" s="463"/>
      <c r="D6" s="463"/>
      <c r="E6" s="463"/>
      <c r="F6" s="463"/>
      <c r="G6" s="463"/>
      <c r="H6" s="463"/>
      <c r="I6" s="463"/>
      <c r="J6" s="463"/>
      <c r="K6" s="463"/>
      <c r="L6" s="463"/>
      <c r="M6" s="463"/>
      <c r="N6" s="463"/>
      <c r="O6" s="463"/>
      <c r="P6" s="464"/>
      <c r="Q6" s="462">
        <f t="shared" si="0"/>
        <v>868.79399999999998</v>
      </c>
    </row>
    <row r="7" spans="1:17">
      <c r="A7" s="462" t="s">
        <v>112</v>
      </c>
      <c r="B7" s="463">
        <f>landbouw!B8</f>
        <v>174.47001898319309</v>
      </c>
      <c r="C7" s="463">
        <f>landbouw!C8</f>
        <v>0</v>
      </c>
      <c r="D7" s="463">
        <f>landbouw!D8</f>
        <v>12085.81102599101</v>
      </c>
      <c r="E7" s="463">
        <f>landbouw!E8</f>
        <v>2.1985470022716429</v>
      </c>
      <c r="F7" s="463">
        <f>landbouw!F8</f>
        <v>601.96527284339277</v>
      </c>
      <c r="G7" s="463">
        <f>landbouw!G8</f>
        <v>0</v>
      </c>
      <c r="H7" s="463">
        <f>landbouw!H8</f>
        <v>0</v>
      </c>
      <c r="I7" s="463">
        <f>landbouw!I8</f>
        <v>0</v>
      </c>
      <c r="J7" s="463">
        <f>landbouw!J8</f>
        <v>26.238307549893793</v>
      </c>
      <c r="K7" s="463">
        <f>landbouw!K8</f>
        <v>0</v>
      </c>
      <c r="L7" s="463">
        <f>landbouw!L8</f>
        <v>0</v>
      </c>
      <c r="M7" s="463">
        <f>landbouw!M8</f>
        <v>0</v>
      </c>
      <c r="N7" s="463">
        <f>landbouw!N8</f>
        <v>0</v>
      </c>
      <c r="O7" s="463">
        <f>landbouw!O8</f>
        <v>0</v>
      </c>
      <c r="P7" s="464">
        <f>landbouw!P8</f>
        <v>0</v>
      </c>
      <c r="Q7" s="462">
        <f t="shared" si="0"/>
        <v>12890.683172369761</v>
      </c>
    </row>
    <row r="8" spans="1:17">
      <c r="A8" s="462" t="s">
        <v>657</v>
      </c>
      <c r="B8" s="463">
        <f>industrie!B18</f>
        <v>21992.16885702869</v>
      </c>
      <c r="C8" s="463">
        <f>industrie!C18</f>
        <v>0</v>
      </c>
      <c r="D8" s="463">
        <f>industrie!D18</f>
        <v>19426.480033585431</v>
      </c>
      <c r="E8" s="463">
        <f>industrie!E18</f>
        <v>1332.8199231796161</v>
      </c>
      <c r="F8" s="463">
        <f>industrie!F18</f>
        <v>6154.426744997445</v>
      </c>
      <c r="G8" s="463">
        <f>industrie!G18</f>
        <v>0</v>
      </c>
      <c r="H8" s="463">
        <f>industrie!H18</f>
        <v>0</v>
      </c>
      <c r="I8" s="463">
        <f>industrie!I18</f>
        <v>0</v>
      </c>
      <c r="J8" s="463">
        <f>industrie!J18</f>
        <v>39.219996206242207</v>
      </c>
      <c r="K8" s="463">
        <f>industrie!K18</f>
        <v>0</v>
      </c>
      <c r="L8" s="463">
        <f>industrie!L18</f>
        <v>0</v>
      </c>
      <c r="M8" s="463">
        <f>industrie!M18</f>
        <v>0</v>
      </c>
      <c r="N8" s="463">
        <f>industrie!N18</f>
        <v>5432.1489908087642</v>
      </c>
      <c r="O8" s="463">
        <f>industrie!O18</f>
        <v>0</v>
      </c>
      <c r="P8" s="464">
        <f>industrie!P18</f>
        <v>0</v>
      </c>
      <c r="Q8" s="462">
        <f t="shared" si="0"/>
        <v>54377.264545806189</v>
      </c>
    </row>
    <row r="9" spans="1:17" s="468" customFormat="1">
      <c r="A9" s="466" t="s">
        <v>574</v>
      </c>
      <c r="B9" s="467">
        <f>transport!B14</f>
        <v>2.6446328070986631</v>
      </c>
      <c r="C9" s="467">
        <f>transport!C14</f>
        <v>0</v>
      </c>
      <c r="D9" s="467">
        <f>transport!D14</f>
        <v>4.8705896001867508</v>
      </c>
      <c r="E9" s="467">
        <f>transport!E14</f>
        <v>146.61034277507648</v>
      </c>
      <c r="F9" s="467">
        <f>transport!F14</f>
        <v>0</v>
      </c>
      <c r="G9" s="467">
        <f>transport!G14</f>
        <v>38482.537254237592</v>
      </c>
      <c r="H9" s="467">
        <f>transport!H14</f>
        <v>7255.5164938939151</v>
      </c>
      <c r="I9" s="467">
        <f>transport!I14</f>
        <v>0</v>
      </c>
      <c r="J9" s="467">
        <f>transport!J14</f>
        <v>0</v>
      </c>
      <c r="K9" s="467">
        <f>transport!K14</f>
        <v>0</v>
      </c>
      <c r="L9" s="467">
        <f>transport!L14</f>
        <v>0</v>
      </c>
      <c r="M9" s="467">
        <f>transport!M14</f>
        <v>2046.6162617699633</v>
      </c>
      <c r="N9" s="467">
        <f>transport!N14</f>
        <v>0</v>
      </c>
      <c r="O9" s="467">
        <f>transport!O14</f>
        <v>0</v>
      </c>
      <c r="P9" s="467">
        <f>transport!P14</f>
        <v>0</v>
      </c>
      <c r="Q9" s="466">
        <f>SUM(B9:P9)</f>
        <v>47938.79557508383</v>
      </c>
    </row>
    <row r="10" spans="1:17">
      <c r="A10" s="462" t="s">
        <v>564</v>
      </c>
      <c r="B10" s="463">
        <f>transport!B54</f>
        <v>0</v>
      </c>
      <c r="C10" s="463">
        <f>transport!C54</f>
        <v>0</v>
      </c>
      <c r="D10" s="463">
        <f>transport!D54</f>
        <v>0</v>
      </c>
      <c r="E10" s="463">
        <f>transport!E54</f>
        <v>0</v>
      </c>
      <c r="F10" s="463">
        <f>transport!F54</f>
        <v>0</v>
      </c>
      <c r="G10" s="463">
        <f>transport!G54</f>
        <v>1031.9463608277654</v>
      </c>
      <c r="H10" s="463">
        <f>transport!H54</f>
        <v>0</v>
      </c>
      <c r="I10" s="463">
        <f>transport!I54</f>
        <v>0</v>
      </c>
      <c r="J10" s="463">
        <f>transport!J54</f>
        <v>0</v>
      </c>
      <c r="K10" s="463">
        <f>transport!K54</f>
        <v>0</v>
      </c>
      <c r="L10" s="463">
        <f>transport!L54</f>
        <v>0</v>
      </c>
      <c r="M10" s="463">
        <f>transport!M54</f>
        <v>45.893178720516296</v>
      </c>
      <c r="N10" s="463">
        <f>transport!N54</f>
        <v>0</v>
      </c>
      <c r="O10" s="463">
        <f>transport!O54</f>
        <v>0</v>
      </c>
      <c r="P10" s="464">
        <f>transport!P54</f>
        <v>0</v>
      </c>
      <c r="Q10" s="462">
        <f t="shared" si="0"/>
        <v>1077.8395395482817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65596.708928920241</v>
      </c>
      <c r="C14" s="473">
        <f t="shared" ref="C14:Q14" ca="1" si="1">SUM(C4:C13)</f>
        <v>0</v>
      </c>
      <c r="D14" s="473">
        <f t="shared" ca="1" si="1"/>
        <v>122311.94045291828</v>
      </c>
      <c r="E14" s="473">
        <f t="shared" si="1"/>
        <v>5042.6864436671331</v>
      </c>
      <c r="F14" s="473">
        <f t="shared" ca="1" si="1"/>
        <v>15032.632188775693</v>
      </c>
      <c r="G14" s="473">
        <f t="shared" si="1"/>
        <v>39514.483615065357</v>
      </c>
      <c r="H14" s="473">
        <f t="shared" si="1"/>
        <v>7255.5164938939151</v>
      </c>
      <c r="I14" s="473">
        <f t="shared" si="1"/>
        <v>0</v>
      </c>
      <c r="J14" s="473">
        <f t="shared" si="1"/>
        <v>65.458303756136004</v>
      </c>
      <c r="K14" s="473">
        <f t="shared" si="1"/>
        <v>0</v>
      </c>
      <c r="L14" s="473">
        <f t="shared" ca="1" si="1"/>
        <v>0</v>
      </c>
      <c r="M14" s="473">
        <f t="shared" si="1"/>
        <v>2092.5094404904798</v>
      </c>
      <c r="N14" s="473">
        <f t="shared" ca="1" si="1"/>
        <v>17411.260204185077</v>
      </c>
      <c r="O14" s="473">
        <f t="shared" si="1"/>
        <v>126.63000000000001</v>
      </c>
      <c r="P14" s="474">
        <f t="shared" si="1"/>
        <v>286</v>
      </c>
      <c r="Q14" s="474">
        <f t="shared" ca="1" si="1"/>
        <v>274735.82607167232</v>
      </c>
    </row>
    <row r="16" spans="1:17">
      <c r="A16" s="476" t="s">
        <v>569</v>
      </c>
      <c r="B16" s="829">
        <f ca="1">huishoudens!B10</f>
        <v>0.20236418573611442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4227.4148393583046</v>
      </c>
      <c r="C21" s="463">
        <f t="shared" ref="C21:C30" ca="1" si="3">C4*$C$16</f>
        <v>0</v>
      </c>
      <c r="D21" s="463">
        <f t="shared" ref="D21:D30" si="4">D4*$D$16</f>
        <v>13110.724384054198</v>
      </c>
      <c r="E21" s="463">
        <f t="shared" ref="E21:E30" si="5">E4*$E$16</f>
        <v>742.50277661656901</v>
      </c>
      <c r="F21" s="463">
        <f t="shared" ref="F21:F30" si="6">F4*$F$16</f>
        <v>1082.9561229293724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19163.598122958443</v>
      </c>
    </row>
    <row r="22" spans="1:17">
      <c r="A22" s="462" t="s">
        <v>156</v>
      </c>
      <c r="B22" s="463">
        <f t="shared" ca="1" si="2"/>
        <v>4384.9279540139023</v>
      </c>
      <c r="C22" s="463">
        <f t="shared" ca="1" si="3"/>
        <v>0</v>
      </c>
      <c r="D22" s="463">
        <f t="shared" ca="1" si="4"/>
        <v>5229.8209343016197</v>
      </c>
      <c r="E22" s="463">
        <f t="shared" si="5"/>
        <v>65.857305554639353</v>
      </c>
      <c r="F22" s="463">
        <f t="shared" ca="1" si="6"/>
        <v>1126.8000027102341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10807.406196580394</v>
      </c>
    </row>
    <row r="23" spans="1:17">
      <c r="A23" s="462" t="s">
        <v>194</v>
      </c>
      <c r="B23" s="463">
        <f t="shared" ca="1" si="2"/>
        <v>175.81279038242178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175.81279038242178</v>
      </c>
    </row>
    <row r="24" spans="1:17">
      <c r="A24" s="462" t="s">
        <v>112</v>
      </c>
      <c r="B24" s="463">
        <f t="shared" ca="1" si="2"/>
        <v>35.306483326898295</v>
      </c>
      <c r="C24" s="463">
        <f t="shared" ca="1" si="3"/>
        <v>0</v>
      </c>
      <c r="D24" s="463">
        <f t="shared" si="4"/>
        <v>2441.3338272501842</v>
      </c>
      <c r="E24" s="463">
        <f t="shared" si="5"/>
        <v>0.49907016951566296</v>
      </c>
      <c r="F24" s="463">
        <f t="shared" si="6"/>
        <v>160.72472784918588</v>
      </c>
      <c r="G24" s="463">
        <f t="shared" si="7"/>
        <v>0</v>
      </c>
      <c r="H24" s="463">
        <f t="shared" si="8"/>
        <v>0</v>
      </c>
      <c r="I24" s="463">
        <f t="shared" si="9"/>
        <v>0</v>
      </c>
      <c r="J24" s="463">
        <f t="shared" si="10"/>
        <v>9.2883608726624018</v>
      </c>
      <c r="K24" s="463">
        <f t="shared" si="11"/>
        <v>0</v>
      </c>
      <c r="L24" s="463">
        <f t="shared" si="12"/>
        <v>0</v>
      </c>
      <c r="M24" s="463">
        <f t="shared" si="13"/>
        <v>0</v>
      </c>
      <c r="N24" s="463">
        <f t="shared" si="14"/>
        <v>0</v>
      </c>
      <c r="O24" s="463">
        <f t="shared" si="15"/>
        <v>0</v>
      </c>
      <c r="P24" s="464">
        <f t="shared" si="16"/>
        <v>0</v>
      </c>
      <c r="Q24" s="462">
        <f t="shared" ca="1" si="17"/>
        <v>2647.1524694684463</v>
      </c>
    </row>
    <row r="25" spans="1:17">
      <c r="A25" s="462" t="s">
        <v>657</v>
      </c>
      <c r="B25" s="463">
        <f t="shared" ca="1" si="2"/>
        <v>4450.4273433237449</v>
      </c>
      <c r="C25" s="463">
        <f t="shared" ca="1" si="3"/>
        <v>0</v>
      </c>
      <c r="D25" s="463">
        <f t="shared" si="4"/>
        <v>3924.148966784257</v>
      </c>
      <c r="E25" s="463">
        <f t="shared" si="5"/>
        <v>302.55012256177287</v>
      </c>
      <c r="F25" s="463">
        <f t="shared" si="6"/>
        <v>1643.2319409143179</v>
      </c>
      <c r="G25" s="463">
        <f t="shared" si="7"/>
        <v>0</v>
      </c>
      <c r="H25" s="463">
        <f t="shared" si="8"/>
        <v>0</v>
      </c>
      <c r="I25" s="463">
        <f t="shared" si="9"/>
        <v>0</v>
      </c>
      <c r="J25" s="463">
        <f t="shared" si="10"/>
        <v>13.88387865700974</v>
      </c>
      <c r="K25" s="463">
        <f t="shared" si="11"/>
        <v>0</v>
      </c>
      <c r="L25" s="463">
        <f t="shared" si="12"/>
        <v>0</v>
      </c>
      <c r="M25" s="463">
        <f t="shared" si="13"/>
        <v>0</v>
      </c>
      <c r="N25" s="463">
        <f t="shared" si="14"/>
        <v>0</v>
      </c>
      <c r="O25" s="463">
        <f t="shared" si="15"/>
        <v>0</v>
      </c>
      <c r="P25" s="464">
        <f t="shared" si="16"/>
        <v>0</v>
      </c>
      <c r="Q25" s="462">
        <f t="shared" ca="1" si="17"/>
        <v>10334.242252241103</v>
      </c>
    </row>
    <row r="26" spans="1:17" s="468" customFormat="1">
      <c r="A26" s="466" t="s">
        <v>574</v>
      </c>
      <c r="B26" s="823">
        <f t="shared" ca="1" si="2"/>
        <v>0.53517896457953551</v>
      </c>
      <c r="C26" s="467">
        <f t="shared" ca="1" si="3"/>
        <v>0</v>
      </c>
      <c r="D26" s="467">
        <f t="shared" si="4"/>
        <v>0.98385909923772374</v>
      </c>
      <c r="E26" s="467">
        <f t="shared" si="5"/>
        <v>33.280547809942362</v>
      </c>
      <c r="F26" s="467">
        <f t="shared" si="6"/>
        <v>0</v>
      </c>
      <c r="G26" s="467">
        <f t="shared" si="7"/>
        <v>10274.837446881438</v>
      </c>
      <c r="H26" s="467">
        <f t="shared" si="8"/>
        <v>1806.6236069795848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12116.260639734783</v>
      </c>
    </row>
    <row r="27" spans="1:17">
      <c r="A27" s="462" t="s">
        <v>564</v>
      </c>
      <c r="B27" s="463">
        <f t="shared" ca="1" si="2"/>
        <v>0</v>
      </c>
      <c r="C27" s="463">
        <f t="shared" ca="1" si="3"/>
        <v>0</v>
      </c>
      <c r="D27" s="463">
        <f t="shared" si="4"/>
        <v>0</v>
      </c>
      <c r="E27" s="463">
        <f t="shared" si="5"/>
        <v>0</v>
      </c>
      <c r="F27" s="463">
        <f t="shared" si="6"/>
        <v>0</v>
      </c>
      <c r="G27" s="463">
        <f t="shared" si="7"/>
        <v>275.52967834101338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275.52967834101338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13274.424589369852</v>
      </c>
      <c r="C31" s="473">
        <f t="shared" ca="1" si="18"/>
        <v>0</v>
      </c>
      <c r="D31" s="473">
        <f t="shared" ca="1" si="18"/>
        <v>24707.011971489494</v>
      </c>
      <c r="E31" s="473">
        <f t="shared" si="18"/>
        <v>1144.6898227124393</v>
      </c>
      <c r="F31" s="473">
        <f t="shared" ca="1" si="18"/>
        <v>4013.7127944031104</v>
      </c>
      <c r="G31" s="473">
        <f t="shared" si="18"/>
        <v>10550.367125222452</v>
      </c>
      <c r="H31" s="473">
        <f t="shared" si="18"/>
        <v>1806.6236069795848</v>
      </c>
      <c r="I31" s="473">
        <f t="shared" si="18"/>
        <v>0</v>
      </c>
      <c r="J31" s="473">
        <f t="shared" si="18"/>
        <v>23.17223952967214</v>
      </c>
      <c r="K31" s="473">
        <f t="shared" si="18"/>
        <v>0</v>
      </c>
      <c r="L31" s="473">
        <f t="shared" ca="1" si="18"/>
        <v>0</v>
      </c>
      <c r="M31" s="473">
        <f t="shared" si="18"/>
        <v>0</v>
      </c>
      <c r="N31" s="473">
        <f t="shared" ca="1" si="18"/>
        <v>0</v>
      </c>
      <c r="O31" s="473">
        <f t="shared" si="18"/>
        <v>0</v>
      </c>
      <c r="P31" s="474">
        <f t="shared" si="18"/>
        <v>0</v>
      </c>
      <c r="Q31" s="474">
        <f t="shared" ca="1" si="18"/>
        <v>55520.002149706605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0.20236418573611442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4</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76.266666666666666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0.20236418573611442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0.20236418573611442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5419</v>
      </c>
      <c r="C9" s="338">
        <v>5625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304</v>
      </c>
    </row>
    <row r="15" spans="1:6">
      <c r="A15" s="1212" t="s">
        <v>184</v>
      </c>
      <c r="B15" s="335">
        <v>2</v>
      </c>
    </row>
    <row r="16" spans="1:6">
      <c r="A16" s="1212" t="s">
        <v>6</v>
      </c>
      <c r="B16" s="335">
        <v>60</v>
      </c>
    </row>
    <row r="17" spans="1:6">
      <c r="A17" s="1212" t="s">
        <v>7</v>
      </c>
      <c r="B17" s="335">
        <v>127</v>
      </c>
    </row>
    <row r="18" spans="1:6">
      <c r="A18" s="1212" t="s">
        <v>8</v>
      </c>
      <c r="B18" s="335">
        <v>176</v>
      </c>
    </row>
    <row r="19" spans="1:6">
      <c r="A19" s="1212" t="s">
        <v>9</v>
      </c>
      <c r="B19" s="335">
        <v>170</v>
      </c>
    </row>
    <row r="20" spans="1:6">
      <c r="A20" s="1212" t="s">
        <v>10</v>
      </c>
      <c r="B20" s="335">
        <v>142</v>
      </c>
    </row>
    <row r="21" spans="1:6">
      <c r="A21" s="1212" t="s">
        <v>11</v>
      </c>
      <c r="B21" s="335">
        <v>0</v>
      </c>
    </row>
    <row r="22" spans="1:6">
      <c r="A22" s="1212" t="s">
        <v>12</v>
      </c>
      <c r="B22" s="335">
        <v>226</v>
      </c>
    </row>
    <row r="23" spans="1:6">
      <c r="A23" s="1212" t="s">
        <v>13</v>
      </c>
      <c r="B23" s="335">
        <v>0</v>
      </c>
    </row>
    <row r="24" spans="1:6">
      <c r="A24" s="1212" t="s">
        <v>14</v>
      </c>
      <c r="B24" s="335">
        <v>0</v>
      </c>
    </row>
    <row r="25" spans="1:6">
      <c r="A25" s="1212" t="s">
        <v>15</v>
      </c>
      <c r="B25" s="335">
        <v>0</v>
      </c>
    </row>
    <row r="26" spans="1:6">
      <c r="A26" s="1212" t="s">
        <v>16</v>
      </c>
      <c r="B26" s="335">
        <v>12</v>
      </c>
    </row>
    <row r="27" spans="1:6">
      <c r="A27" s="1212" t="s">
        <v>17</v>
      </c>
      <c r="B27" s="335">
        <v>0</v>
      </c>
    </row>
    <row r="28" spans="1:6" s="341" customFormat="1">
      <c r="A28" s="1213" t="s">
        <v>18</v>
      </c>
      <c r="B28" s="1213">
        <v>0</v>
      </c>
    </row>
    <row r="29" spans="1:6">
      <c r="A29" s="1213" t="s">
        <v>836</v>
      </c>
      <c r="B29" s="1213">
        <v>17</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3</v>
      </c>
      <c r="F38" s="335">
        <v>24446</v>
      </c>
    </row>
    <row r="39" spans="1:6">
      <c r="A39" s="1212" t="s">
        <v>30</v>
      </c>
      <c r="B39" s="1212" t="s">
        <v>31</v>
      </c>
      <c r="C39" s="335">
        <v>4309</v>
      </c>
      <c r="D39" s="335">
        <v>71956292.858851597</v>
      </c>
      <c r="E39" s="335">
        <v>5296</v>
      </c>
      <c r="F39" s="335">
        <v>18931330.3869435</v>
      </c>
    </row>
    <row r="40" spans="1:6">
      <c r="A40" s="1212" t="s">
        <v>30</v>
      </c>
      <c r="B40" s="1212" t="s">
        <v>29</v>
      </c>
      <c r="C40" s="335">
        <v>0</v>
      </c>
      <c r="D40" s="335">
        <v>0</v>
      </c>
      <c r="E40" s="335">
        <v>0</v>
      </c>
      <c r="F40" s="335">
        <v>0</v>
      </c>
    </row>
    <row r="41" spans="1:6">
      <c r="A41" s="1212" t="s">
        <v>32</v>
      </c>
      <c r="B41" s="1212" t="s">
        <v>33</v>
      </c>
      <c r="C41" s="335">
        <v>75</v>
      </c>
      <c r="D41" s="335">
        <v>2723543.23113302</v>
      </c>
      <c r="E41" s="335">
        <v>156</v>
      </c>
      <c r="F41" s="335">
        <v>1328935.12217466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289816.87447666301</v>
      </c>
      <c r="E44" s="335">
        <v>18</v>
      </c>
      <c r="F44" s="335">
        <v>1961392.0097777799</v>
      </c>
    </row>
    <row r="45" spans="1:6">
      <c r="A45" s="1212" t="s">
        <v>32</v>
      </c>
      <c r="B45" s="1212" t="s">
        <v>37</v>
      </c>
      <c r="C45" s="335">
        <v>0</v>
      </c>
      <c r="D45" s="335">
        <v>0</v>
      </c>
      <c r="E45" s="335">
        <v>3</v>
      </c>
      <c r="F45" s="335">
        <v>22900.307024580801</v>
      </c>
    </row>
    <row r="46" spans="1:6">
      <c r="A46" s="1212" t="s">
        <v>32</v>
      </c>
      <c r="B46" s="1212" t="s">
        <v>38</v>
      </c>
      <c r="C46" s="335">
        <v>0</v>
      </c>
      <c r="D46" s="335">
        <v>0</v>
      </c>
      <c r="E46" s="335">
        <v>0</v>
      </c>
      <c r="F46" s="335">
        <v>0</v>
      </c>
    </row>
    <row r="47" spans="1:6">
      <c r="A47" s="1212" t="s">
        <v>32</v>
      </c>
      <c r="B47" s="1212" t="s">
        <v>39</v>
      </c>
      <c r="C47" s="335">
        <v>0</v>
      </c>
      <c r="D47" s="335">
        <v>0</v>
      </c>
      <c r="E47" s="335">
        <v>3</v>
      </c>
      <c r="F47" s="335">
        <v>813239.68200499599</v>
      </c>
    </row>
    <row r="48" spans="1:6">
      <c r="A48" s="1212" t="s">
        <v>32</v>
      </c>
      <c r="B48" s="1212" t="s">
        <v>29</v>
      </c>
      <c r="C48" s="335">
        <v>48</v>
      </c>
      <c r="D48" s="335">
        <v>11498249.7548666</v>
      </c>
      <c r="E48" s="335">
        <v>50</v>
      </c>
      <c r="F48" s="335">
        <v>15249258.037546</v>
      </c>
    </row>
    <row r="49" spans="1:6">
      <c r="A49" s="1212" t="s">
        <v>32</v>
      </c>
      <c r="B49" s="1212" t="s">
        <v>40</v>
      </c>
      <c r="C49" s="335">
        <v>4</v>
      </c>
      <c r="D49" s="335">
        <v>6352812.3804767197</v>
      </c>
      <c r="E49" s="335">
        <v>11</v>
      </c>
      <c r="F49" s="335">
        <v>1918027.2920882299</v>
      </c>
    </row>
    <row r="50" spans="1:6">
      <c r="A50" s="1212" t="s">
        <v>32</v>
      </c>
      <c r="B50" s="1212" t="s">
        <v>41</v>
      </c>
      <c r="C50" s="335">
        <v>7</v>
      </c>
      <c r="D50" s="335">
        <v>672695.31291111303</v>
      </c>
      <c r="E50" s="335">
        <v>10</v>
      </c>
      <c r="F50" s="335">
        <v>698416.40641244198</v>
      </c>
    </row>
    <row r="51" spans="1:6">
      <c r="A51" s="1212" t="s">
        <v>42</v>
      </c>
      <c r="B51" s="1212" t="s">
        <v>43</v>
      </c>
      <c r="C51" s="335">
        <v>0</v>
      </c>
      <c r="D51" s="335">
        <v>0</v>
      </c>
      <c r="E51" s="335">
        <v>15</v>
      </c>
      <c r="F51" s="335">
        <v>141924.02032737</v>
      </c>
    </row>
    <row r="52" spans="1:6">
      <c r="A52" s="1212" t="s">
        <v>42</v>
      </c>
      <c r="B52" s="1212" t="s">
        <v>29</v>
      </c>
      <c r="C52" s="335">
        <v>3</v>
      </c>
      <c r="D52" s="335">
        <v>58863.9895632056</v>
      </c>
      <c r="E52" s="335">
        <v>3</v>
      </c>
      <c r="F52" s="335">
        <v>32545.998655823099</v>
      </c>
    </row>
    <row r="53" spans="1:6">
      <c r="A53" s="1212" t="s">
        <v>44</v>
      </c>
      <c r="B53" s="1212" t="s">
        <v>45</v>
      </c>
      <c r="C53" s="335">
        <v>136</v>
      </c>
      <c r="D53" s="335">
        <v>13340039.586923501</v>
      </c>
      <c r="E53" s="335">
        <v>153</v>
      </c>
      <c r="F53" s="335">
        <v>677210.15374872298</v>
      </c>
    </row>
    <row r="54" spans="1:6">
      <c r="A54" s="1212" t="s">
        <v>46</v>
      </c>
      <c r="B54" s="1212" t="s">
        <v>47</v>
      </c>
      <c r="C54" s="335">
        <v>0</v>
      </c>
      <c r="D54" s="335">
        <v>0</v>
      </c>
      <c r="E54" s="335">
        <v>1</v>
      </c>
      <c r="F54" s="335">
        <v>868794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27</v>
      </c>
      <c r="D57" s="335">
        <v>791256.59658222296</v>
      </c>
      <c r="E57" s="335">
        <v>112</v>
      </c>
      <c r="F57" s="335">
        <v>1770018.4442835699</v>
      </c>
    </row>
    <row r="58" spans="1:6">
      <c r="A58" s="1212" t="s">
        <v>49</v>
      </c>
      <c r="B58" s="1212" t="s">
        <v>51</v>
      </c>
      <c r="C58" s="335">
        <v>12</v>
      </c>
      <c r="D58" s="335">
        <v>2431440.4302902101</v>
      </c>
      <c r="E58" s="335">
        <v>21</v>
      </c>
      <c r="F58" s="335">
        <v>3149704.7118806602</v>
      </c>
    </row>
    <row r="59" spans="1:6">
      <c r="A59" s="1212" t="s">
        <v>49</v>
      </c>
      <c r="B59" s="1212" t="s">
        <v>52</v>
      </c>
      <c r="C59" s="335">
        <v>133</v>
      </c>
      <c r="D59" s="335">
        <v>7175294.6790164504</v>
      </c>
      <c r="E59" s="335">
        <v>223</v>
      </c>
      <c r="F59" s="335">
        <v>7131943.6269242698</v>
      </c>
    </row>
    <row r="60" spans="1:6">
      <c r="A60" s="1212" t="s">
        <v>49</v>
      </c>
      <c r="B60" s="1212" t="s">
        <v>53</v>
      </c>
      <c r="C60" s="335">
        <v>58</v>
      </c>
      <c r="D60" s="335">
        <v>3355066.75353604</v>
      </c>
      <c r="E60" s="335">
        <v>66</v>
      </c>
      <c r="F60" s="335">
        <v>2119416.4168375102</v>
      </c>
    </row>
    <row r="61" spans="1:6">
      <c r="A61" s="1212" t="s">
        <v>49</v>
      </c>
      <c r="B61" s="1212" t="s">
        <v>54</v>
      </c>
      <c r="C61" s="335">
        <v>97</v>
      </c>
      <c r="D61" s="335">
        <v>9302706.4019326102</v>
      </c>
      <c r="E61" s="335">
        <v>218</v>
      </c>
      <c r="F61" s="335">
        <v>3972297.3486408899</v>
      </c>
    </row>
    <row r="62" spans="1:6">
      <c r="A62" s="1212" t="s">
        <v>49</v>
      </c>
      <c r="B62" s="1212" t="s">
        <v>55</v>
      </c>
      <c r="C62" s="335">
        <v>12</v>
      </c>
      <c r="D62" s="335">
        <v>990946.20741663303</v>
      </c>
      <c r="E62" s="335">
        <v>9</v>
      </c>
      <c r="F62" s="335">
        <v>156973.194202774</v>
      </c>
    </row>
    <row r="63" spans="1:6">
      <c r="A63" s="1212" t="s">
        <v>49</v>
      </c>
      <c r="B63" s="1212" t="s">
        <v>29</v>
      </c>
      <c r="C63" s="335">
        <v>78</v>
      </c>
      <c r="D63" s="335">
        <v>4656396.0765224202</v>
      </c>
      <c r="E63" s="335">
        <v>95</v>
      </c>
      <c r="F63" s="335">
        <v>3368144.2578197499</v>
      </c>
    </row>
    <row r="64" spans="1:6">
      <c r="A64" s="1212" t="s">
        <v>56</v>
      </c>
      <c r="B64" s="1212" t="s">
        <v>57</v>
      </c>
      <c r="C64" s="335">
        <v>0</v>
      </c>
      <c r="D64" s="335">
        <v>0</v>
      </c>
      <c r="E64" s="335">
        <v>0</v>
      </c>
      <c r="F64" s="335">
        <v>0</v>
      </c>
    </row>
    <row r="65" spans="1:6">
      <c r="A65" s="1212" t="s">
        <v>56</v>
      </c>
      <c r="B65" s="1212" t="s">
        <v>29</v>
      </c>
      <c r="C65" s="335">
        <v>2</v>
      </c>
      <c r="D65" s="335">
        <v>42704.6415459001</v>
      </c>
      <c r="E65" s="335">
        <v>3</v>
      </c>
      <c r="F65" s="335">
        <v>14934.5009764652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92783.147680579903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29813331</v>
      </c>
      <c r="E73" s="335">
        <v>30893430.773253229</v>
      </c>
    </row>
    <row r="74" spans="1:6">
      <c r="A74" s="1212" t="s">
        <v>64</v>
      </c>
      <c r="B74" s="1212" t="s">
        <v>727</v>
      </c>
      <c r="C74" s="1212" t="s">
        <v>728</v>
      </c>
      <c r="D74" s="335">
        <v>3494840.8233796847</v>
      </c>
      <c r="E74" s="335">
        <v>3656125.8588011861</v>
      </c>
    </row>
    <row r="75" spans="1:6">
      <c r="A75" s="1212" t="s">
        <v>65</v>
      </c>
      <c r="B75" s="1212" t="s">
        <v>725</v>
      </c>
      <c r="C75" s="1212" t="s">
        <v>729</v>
      </c>
      <c r="D75" s="335">
        <v>18619667</v>
      </c>
      <c r="E75" s="335">
        <v>16975289.484813295</v>
      </c>
    </row>
    <row r="76" spans="1:6">
      <c r="A76" s="1212" t="s">
        <v>65</v>
      </c>
      <c r="B76" s="1212" t="s">
        <v>727</v>
      </c>
      <c r="C76" s="1212" t="s">
        <v>730</v>
      </c>
      <c r="D76" s="335">
        <v>1114178.8233796847</v>
      </c>
      <c r="E76" s="335">
        <v>1183717.2181076608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284752.35324063076</v>
      </c>
      <c r="C83" s="335">
        <v>286451.18966351543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1958.8030325683362</v>
      </c>
    </row>
    <row r="92" spans="1:6">
      <c r="A92" s="1208" t="s">
        <v>69</v>
      </c>
      <c r="B92" s="338">
        <v>3572.6362611942081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3195</v>
      </c>
    </row>
    <row r="98" spans="1:6">
      <c r="A98" s="1212" t="s">
        <v>72</v>
      </c>
      <c r="B98" s="335">
        <v>0</v>
      </c>
    </row>
    <row r="99" spans="1:6">
      <c r="A99" s="1212" t="s">
        <v>73</v>
      </c>
      <c r="B99" s="335">
        <v>60</v>
      </c>
    </row>
    <row r="100" spans="1:6">
      <c r="A100" s="1212" t="s">
        <v>74</v>
      </c>
      <c r="B100" s="335">
        <v>247</v>
      </c>
    </row>
    <row r="101" spans="1:6">
      <c r="A101" s="1212" t="s">
        <v>75</v>
      </c>
      <c r="B101" s="335">
        <v>51</v>
      </c>
    </row>
    <row r="102" spans="1:6">
      <c r="A102" s="1212" t="s">
        <v>76</v>
      </c>
      <c r="B102" s="335">
        <v>81</v>
      </c>
    </row>
    <row r="103" spans="1:6">
      <c r="A103" s="1212" t="s">
        <v>77</v>
      </c>
      <c r="B103" s="335">
        <v>88</v>
      </c>
    </row>
    <row r="104" spans="1:6">
      <c r="A104" s="1212" t="s">
        <v>78</v>
      </c>
      <c r="B104" s="335">
        <v>1163</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4</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70</v>
      </c>
    </row>
    <row r="130" spans="1:6">
      <c r="A130" s="1212" t="s">
        <v>295</v>
      </c>
      <c r="B130" s="335">
        <v>2</v>
      </c>
    </row>
    <row r="131" spans="1:6">
      <c r="A131" s="1212" t="s">
        <v>296</v>
      </c>
      <c r="B131" s="335">
        <v>2</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65596.708928920256</v>
      </c>
      <c r="C3" s="43" t="s">
        <v>170</v>
      </c>
      <c r="D3" s="43"/>
      <c r="E3" s="156"/>
      <c r="F3" s="43"/>
      <c r="G3" s="43"/>
      <c r="H3" s="43"/>
      <c r="I3" s="43"/>
      <c r="J3" s="43"/>
      <c r="K3" s="96"/>
    </row>
    <row r="4" spans="1:11">
      <c r="A4" s="366" t="s">
        <v>171</v>
      </c>
      <c r="B4" s="49">
        <f>IF(ISERROR('SEAP template'!B69),0,'SEAP template'!B69)</f>
        <v>5531.4392937625444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0.20236418573611442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868.79399999999998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0.20236418573611442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175.81279038242178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B46*B57</f>
        <v>3270.9373419232115</v>
      </c>
      <c r="F5" s="17">
        <f>B51*B62</f>
        <v>4056.0154416830428</v>
      </c>
      <c r="G5" s="18"/>
      <c r="H5" s="17"/>
      <c r="I5" s="17"/>
      <c r="J5" s="17">
        <f>B50*B61+C50*C61</f>
        <v>0</v>
      </c>
      <c r="K5" s="17"/>
      <c r="L5" s="17"/>
      <c r="M5" s="17"/>
      <c r="N5" s="17">
        <f>B48*B59+C48*C59</f>
        <v>10423.130556225531</v>
      </c>
      <c r="O5" s="17">
        <f>B69*B70*B71</f>
        <v>123.50333333333334</v>
      </c>
      <c r="P5" s="17">
        <f>B77*B78*B79/1000-B77*B78*B79/1000/B80</f>
        <v>247.86666666666667</v>
      </c>
    </row>
    <row r="6" spans="1:16">
      <c r="A6" s="16" t="s">
        <v>634</v>
      </c>
      <c r="B6" s="831">
        <f>kWh_PV_kleiner_dan_10kW</f>
        <v>1958.8030325683362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20890.133419511836</v>
      </c>
      <c r="C8" s="21">
        <f>C5</f>
        <v>0</v>
      </c>
      <c r="D8" s="21">
        <f>D5</f>
        <v>64904.57615868414</v>
      </c>
      <c r="E8" s="21">
        <f>E5</f>
        <v>3270.9373419232115</v>
      </c>
      <c r="F8" s="21">
        <f>F5</f>
        <v>4056.0154416830428</v>
      </c>
      <c r="G8" s="21"/>
      <c r="H8" s="21"/>
      <c r="I8" s="21"/>
      <c r="J8" s="21">
        <f>J5</f>
        <v>0</v>
      </c>
      <c r="K8" s="21"/>
      <c r="L8" s="21">
        <f>L5</f>
        <v>0</v>
      </c>
      <c r="M8" s="21">
        <f>M5</f>
        <v>0</v>
      </c>
      <c r="N8" s="21">
        <f>N5</f>
        <v>10423.130556225531</v>
      </c>
      <c r="O8" s="21">
        <f>O5</f>
        <v>123.50333333333334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0.20236418573611442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4227.4148393583046</v>
      </c>
      <c r="C12" s="23">
        <f ca="1">C10*C8</f>
        <v>0</v>
      </c>
      <c r="D12" s="23">
        <f>D8*D10</f>
        <v>13110.724384054198</v>
      </c>
      <c r="E12" s="23">
        <f>E10*E8</f>
        <v>742.50277661656901</v>
      </c>
      <c r="F12" s="23">
        <f>F10*F8</f>
        <v>1082.9561229293724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3195</v>
      </c>
      <c r="C18" s="168" t="s">
        <v>111</v>
      </c>
      <c r="D18" s="230"/>
      <c r="E18" s="15"/>
    </row>
    <row r="19" spans="1:7">
      <c r="A19" s="173" t="s">
        <v>72</v>
      </c>
      <c r="B19" s="37">
        <f>aantalw2001_ander</f>
        <v>0</v>
      </c>
      <c r="C19" s="168" t="s">
        <v>111</v>
      </c>
      <c r="D19" s="231"/>
      <c r="E19" s="15"/>
    </row>
    <row r="20" spans="1:7">
      <c r="A20" s="173" t="s">
        <v>73</v>
      </c>
      <c r="B20" s="37">
        <f>aantalw2001_propaan</f>
        <v>60</v>
      </c>
      <c r="C20" s="169">
        <f>IF(ISERROR(B20/SUM($B$20,$B$21,$B$22)*100),0,B20/SUM($B$20,$B$21,$B$22)*100)</f>
        <v>16.759776536312849</v>
      </c>
      <c r="D20" s="231"/>
      <c r="E20" s="15"/>
    </row>
    <row r="21" spans="1:7">
      <c r="A21" s="173" t="s">
        <v>74</v>
      </c>
      <c r="B21" s="37">
        <f>aantalw2001_elektriciteit</f>
        <v>247</v>
      </c>
      <c r="C21" s="169">
        <f>IF(ISERROR(B21/SUM($B$20,$B$21,$B$22)*100),0,B21/SUM($B$20,$B$21,$B$22)*100)</f>
        <v>68.994413407821227</v>
      </c>
      <c r="D21" s="231"/>
      <c r="E21" s="15"/>
    </row>
    <row r="22" spans="1:7">
      <c r="A22" s="173" t="s">
        <v>75</v>
      </c>
      <c r="B22" s="37">
        <f>aantalw2001_hout</f>
        <v>51</v>
      </c>
      <c r="C22" s="169">
        <f>IF(ISERROR(B22/SUM($B$20,$B$21,$B$22)*100),0,B22/SUM($B$20,$B$21,$B$22)*100)</f>
        <v>14.24581005586592</v>
      </c>
      <c r="D22" s="231"/>
      <c r="E22" s="15"/>
    </row>
    <row r="23" spans="1:7">
      <c r="A23" s="173" t="s">
        <v>76</v>
      </c>
      <c r="B23" s="37">
        <f>aantalw2001_niet_gespec</f>
        <v>81</v>
      </c>
      <c r="C23" s="168" t="s">
        <v>111</v>
      </c>
      <c r="D23" s="230"/>
      <c r="E23" s="15"/>
    </row>
    <row r="24" spans="1:7">
      <c r="A24" s="173" t="s">
        <v>77</v>
      </c>
      <c r="B24" s="37">
        <f>aantalw2001_steenkool</f>
        <v>88</v>
      </c>
      <c r="C24" s="168" t="s">
        <v>111</v>
      </c>
      <c r="D24" s="231"/>
      <c r="E24" s="15"/>
    </row>
    <row r="25" spans="1:7">
      <c r="A25" s="173" t="s">
        <v>78</v>
      </c>
      <c r="B25" s="37">
        <f>aantalw2001_stookolie</f>
        <v>1163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5419</v>
      </c>
      <c r="C28" s="36"/>
      <c r="D28" s="230"/>
    </row>
    <row r="29" spans="1:7" s="15" customFormat="1">
      <c r="A29" s="232" t="s">
        <v>746</v>
      </c>
      <c r="B29" s="37">
        <f>SUM(HH_hh_gas_aantal,HH_rest_gas_aantal)</f>
        <v>4309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4309</v>
      </c>
      <c r="C32" s="169">
        <f>IF(ISERROR(B32/SUM($B$32,$B$34,$B$35,$B$36,$B$38,$B$39)*100),0,B32/SUM($B$32,$B$34,$B$35,$B$36,$B$38,$B$39)*100)</f>
        <v>79.707732149463567</v>
      </c>
      <c r="D32" s="235"/>
      <c r="G32" s="15"/>
    </row>
    <row r="33" spans="1:7">
      <c r="A33" s="173" t="s">
        <v>72</v>
      </c>
      <c r="B33" s="34" t="s">
        <v>111</v>
      </c>
      <c r="C33" s="169"/>
      <c r="D33" s="235"/>
      <c r="G33" s="15"/>
    </row>
    <row r="34" spans="1:7">
      <c r="A34" s="173" t="s">
        <v>73</v>
      </c>
      <c r="B34" s="33">
        <f>IF((($B$28-$B$32-$B$39-$B$77-$B$38)*C20/100)&lt;0,0,($B$28-$B$32-$B$39-$B$77-$B$38)*C20/100)</f>
        <v>156.97206703910615</v>
      </c>
      <c r="C34" s="169">
        <f>IF(ISERROR(B34/SUM($B$32,$B$34,$B$35,$B$36,$B$38,$B$39)*100),0,B34/SUM($B$32,$B$34,$B$35,$B$36,$B$38,$B$39)*100)</f>
        <v>2.9036638372013721</v>
      </c>
      <c r="D34" s="235"/>
      <c r="G34" s="15"/>
    </row>
    <row r="35" spans="1:7">
      <c r="A35" s="173" t="s">
        <v>74</v>
      </c>
      <c r="B35" s="33">
        <f>IF((($B$28-$B$32-$B$39-$B$77-$B$38)*C21/100)&lt;0,0,($B$28-$B$32-$B$39-$B$77-$B$38)*C21/100)</f>
        <v>646.20167597765362</v>
      </c>
      <c r="C35" s="169">
        <f>IF(ISERROR(B35/SUM($B$32,$B$34,$B$35,$B$36,$B$38,$B$39)*100),0,B35/SUM($B$32,$B$34,$B$35,$B$36,$B$38,$B$39)*100)</f>
        <v>11.953416129812314</v>
      </c>
      <c r="D35" s="235"/>
      <c r="G35" s="15"/>
    </row>
    <row r="36" spans="1:7">
      <c r="A36" s="173" t="s">
        <v>75</v>
      </c>
      <c r="B36" s="33">
        <f>IF((($B$28-$B$32-$B$39-$B$77-$B$38)*C22/100)&lt;0,0,($B$28-$B$32-$B$39-$B$77-$B$38)*C22/100)</f>
        <v>133.42625698324022</v>
      </c>
      <c r="C36" s="169">
        <f>IF(ISERROR(B36/SUM($B$32,$B$34,$B$35,$B$36,$B$38,$B$39)*100),0,B36/SUM($B$32,$B$34,$B$35,$B$36,$B$38,$B$39)*100)</f>
        <v>2.468114261621166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160.39999999999998</v>
      </c>
      <c r="C39" s="169">
        <f>IF(ISERROR(B39/SUM($B$32,$B$34,$B$35,$B$36,$B$38,$B$39)*100),0,B39/SUM($B$32,$B$34,$B$35,$B$36,$B$38,$B$39)*100)</f>
        <v>2.9670736219015907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4309</v>
      </c>
      <c r="C44" s="34" t="s">
        <v>111</v>
      </c>
      <c r="D44" s="176"/>
    </row>
    <row r="45" spans="1:7">
      <c r="A45" s="173" t="s">
        <v>72</v>
      </c>
      <c r="B45" s="33" t="str">
        <f t="shared" si="0"/>
        <v>-</v>
      </c>
      <c r="C45" s="34" t="s">
        <v>111</v>
      </c>
      <c r="D45" s="176"/>
    </row>
    <row r="46" spans="1:7">
      <c r="A46" s="173" t="s">
        <v>73</v>
      </c>
      <c r="B46" s="33">
        <f t="shared" si="0"/>
        <v>156.97206703910615</v>
      </c>
      <c r="C46" s="34" t="s">
        <v>111</v>
      </c>
      <c r="D46" s="176"/>
    </row>
    <row r="47" spans="1:7">
      <c r="A47" s="173" t="s">
        <v>74</v>
      </c>
      <c r="B47" s="33">
        <f t="shared" si="0"/>
        <v>646.20167597765362</v>
      </c>
      <c r="C47" s="34" t="s">
        <v>111</v>
      </c>
      <c r="D47" s="176"/>
    </row>
    <row r="48" spans="1:7">
      <c r="A48" s="173" t="s">
        <v>75</v>
      </c>
      <c r="B48" s="33">
        <f t="shared" si="0"/>
        <v>133.42625698324022</v>
      </c>
      <c r="C48" s="33">
        <f>B48*10</f>
        <v>1334.2625698324023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160.39999999999998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54</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53</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52</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51</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50</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55</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0.20236418573611442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4384.9279540139023</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3972.29734864089</v>
      </c>
      <c r="C26" s="39">
        <f>IF(ISERROR(B26*3.6/1000000/'E Balans VL '!Z12*100),0,B26*3.6/1000000/'E Balans VL '!Z12*100)</f>
        <v>8.4373563305451871E-2</v>
      </c>
      <c r="D26" s="239" t="s">
        <v>692</v>
      </c>
      <c r="F26" s="6"/>
    </row>
    <row r="27" spans="1:18">
      <c r="A27" s="233" t="s">
        <v>53</v>
      </c>
      <c r="B27" s="33">
        <f>IF(ISERROR(TER_horeca_ele_kWh/1000),0,TER_horeca_ele_kWh/1000)</f>
        <v>2119.41641683751</v>
      </c>
      <c r="C27" s="39">
        <f>IF(ISERROR(B27*3.6/1000000/'E Balans VL '!Z9*100),0,B27*3.6/1000000/'E Balans VL '!Z9*100)</f>
        <v>0.16479753382103632</v>
      </c>
      <c r="D27" s="239" t="s">
        <v>692</v>
      </c>
      <c r="F27" s="6"/>
    </row>
    <row r="28" spans="1:18">
      <c r="A28" s="173" t="s">
        <v>52</v>
      </c>
      <c r="B28" s="33">
        <f>IF(ISERROR(TER_handel_ele_kWh/1000),0,TER_handel_ele_kWh/1000)</f>
        <v>7131.9436269242697</v>
      </c>
      <c r="C28" s="39">
        <f>IF(ISERROR(B28*3.6/1000000/'E Balans VL '!Z13*100),0,B28*3.6/1000000/'E Balans VL '!Z13*100)</f>
        <v>0.20405330062431198</v>
      </c>
      <c r="D28" s="239" t="s">
        <v>692</v>
      </c>
      <c r="F28" s="6"/>
    </row>
    <row r="29" spans="1:18">
      <c r="A29" s="233" t="s">
        <v>51</v>
      </c>
      <c r="B29" s="33">
        <f>IF(ISERROR(TER_gezond_ele_kWh/1000),0,TER_gezond_ele_kWh/1000)</f>
        <v>3149.7047118806599</v>
      </c>
      <c r="C29" s="39">
        <f>IF(ISERROR(B29*3.6/1000000/'E Balans VL '!Z10*100),0,B29*3.6/1000000/'E Balans VL '!Z10*100)</f>
        <v>0.34339100395464256</v>
      </c>
      <c r="D29" s="239" t="s">
        <v>692</v>
      </c>
      <c r="F29" s="6"/>
    </row>
    <row r="30" spans="1:18">
      <c r="A30" s="233" t="s">
        <v>50</v>
      </c>
      <c r="B30" s="33">
        <f>IF(ISERROR(TER_ander_ele_kWh/1000),0,TER_ander_ele_kWh/1000)</f>
        <v>1770.01844428357</v>
      </c>
      <c r="C30" s="39">
        <f>IF(ISERROR(B30*3.6/1000000/'E Balans VL '!Z14*100),0,B30*3.6/1000000/'E Balans VL '!Z14*100)</f>
        <v>0.12952593456101272</v>
      </c>
      <c r="D30" s="239" t="s">
        <v>692</v>
      </c>
      <c r="F30" s="6"/>
    </row>
    <row r="31" spans="1:18">
      <c r="A31" s="233" t="s">
        <v>55</v>
      </c>
      <c r="B31" s="33">
        <f>IF(ISERROR(TER_onderwijs_ele_kWh/1000),0,TER_onderwijs_ele_kWh/1000)</f>
        <v>156.97319420277401</v>
      </c>
      <c r="C31" s="39">
        <f>IF(ISERROR(B31*3.6/1000000/'E Balans VL '!Z11*100),0,B31*3.6/1000000/'E Balans VL '!Z11*100)</f>
        <v>3.1528182620706897E-2</v>
      </c>
      <c r="D31" s="239" t="s">
        <v>692</v>
      </c>
    </row>
    <row r="32" spans="1:18">
      <c r="A32" s="233" t="s">
        <v>260</v>
      </c>
      <c r="B32" s="33">
        <f>IF(ISERROR(TER_rest_ele_kWh/1000),0,TER_rest_ele_kWh/1000)</f>
        <v>3368.1442578197498</v>
      </c>
      <c r="C32" s="39">
        <f>IF(ISERROR(B32*3.6/1000000/'E Balans VL '!Z8*100),0,B32*3.6/1000000/'E Balans VL '!Z8*100)</f>
        <v>2.744833167833604E-2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5432.1489908087642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33</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433.87524188774125</v>
      </c>
      <c r="O9" s="33"/>
      <c r="P9" s="33"/>
      <c r="R9" s="32"/>
    </row>
    <row r="10" spans="1:18">
      <c r="A10" s="6" t="s">
        <v>41</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40</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37</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39</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1738.2149369067643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2992.7145767162438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5432.1489908087642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0.20236418573611442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4450.4273433237449</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1961.39200977778</v>
      </c>
      <c r="C30" s="39">
        <f>IF(ISERROR(B30*3.6/1000000/'E Balans VL '!Z18*100),0,B30*3.6/1000000/'E Balans VL '!Z18*100)</f>
        <v>0.19299596686169293</v>
      </c>
      <c r="D30" s="239" t="s">
        <v>692</v>
      </c>
    </row>
    <row r="31" spans="1:18">
      <c r="A31" s="6" t="s">
        <v>33</v>
      </c>
      <c r="B31" s="37">
        <f>IF( ISERROR(IND_ander_ele_kWh/1000),0,IND_ander_ele_kWh/1000)</f>
        <v>1328.9351221746599</v>
      </c>
      <c r="C31" s="39">
        <f>IF(ISERROR(B31*3.6/1000000/'E Balans VL '!Z19*100),0,B31*3.6/1000000/'E Balans VL '!Z19*100)</f>
        <v>5.7874064489601973E-2</v>
      </c>
      <c r="D31" s="239" t="s">
        <v>692</v>
      </c>
    </row>
    <row r="32" spans="1:18">
      <c r="A32" s="173" t="s">
        <v>41</v>
      </c>
      <c r="B32" s="37">
        <f>IF( ISERROR(IND_voed_ele_kWh/1000),0,IND_voed_ele_kWh/1000)</f>
        <v>698.41640641244203</v>
      </c>
      <c r="C32" s="39">
        <f>IF(ISERROR(B32*3.6/1000000/'E Balans VL '!Z20*100),0,B32*3.6/1000000/'E Balans VL '!Z20*100)</f>
        <v>0.13251444085644939</v>
      </c>
      <c r="D32" s="239" t="s">
        <v>692</v>
      </c>
    </row>
    <row r="33" spans="1:5">
      <c r="A33" s="173" t="s">
        <v>40</v>
      </c>
      <c r="B33" s="37">
        <f>IF( ISERROR(IND_textiel_ele_kWh/1000),0,IND_textiel_ele_kWh/1000)</f>
        <v>1918.0272920882298</v>
      </c>
      <c r="C33" s="39">
        <f>IF(ISERROR(B33*3.6/1000000/'E Balans VL '!Z21*100),0,B33*3.6/1000000/'E Balans VL '!Z21*100)</f>
        <v>0.10950963157204223</v>
      </c>
      <c r="D33" s="239" t="s">
        <v>692</v>
      </c>
    </row>
    <row r="34" spans="1:5">
      <c r="A34" s="173" t="s">
        <v>37</v>
      </c>
      <c r="B34" s="37">
        <f>IF( ISERROR(IND_min_ele_kWh/1000),0,IND_min_ele_kWh/1000)</f>
        <v>22.900307024580801</v>
      </c>
      <c r="C34" s="39">
        <f>IF(ISERROR(B34*3.6/1000000/'E Balans VL '!Z22*100),0,B34*3.6/1000000/'E Balans VL '!Z22*100)</f>
        <v>3.2200131253715047E-3</v>
      </c>
      <c r="D34" s="239" t="s">
        <v>692</v>
      </c>
    </row>
    <row r="35" spans="1:5">
      <c r="A35" s="173" t="s">
        <v>39</v>
      </c>
      <c r="B35" s="37">
        <f>IF( ISERROR(IND_papier_ele_kWh/1000),0,IND_papier_ele_kWh/1000)</f>
        <v>813.23968200499598</v>
      </c>
      <c r="C35" s="39">
        <f>IF(ISERROR(B35*3.6/1000000/'E Balans VL '!Z22*100),0,B35*3.6/1000000/'E Balans VL '!Z22*100)</f>
        <v>0.11434966558824863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15249.258037546</v>
      </c>
      <c r="C37" s="39">
        <f>IF(ISERROR(B37*3.6/1000000/'E Balans VL '!Z15*100),0,B37*3.6/1000000/'E Balans VL '!Z15*100)</f>
        <v>0.11751426312893933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174.47001898319309</v>
      </c>
      <c r="C5" s="17">
        <f>'Eigen informatie GS &amp; warmtenet'!B60</f>
        <v>0</v>
      </c>
      <c r="D5" s="30">
        <f>IF(ISERROR(SUM(LB_lb_gas_kWh,LB_rest_gas_kWh,onbekend_gas_kWh)/1000),0,SUM(LB_lb_gas_kWh,LB_rest_gas_kWh,onbekend_gas_kWh)/1000)*0.902</f>
        <v>12085.81102599101</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174.47001898319309</v>
      </c>
      <c r="C8" s="21">
        <f>C5+C6</f>
        <v>0</v>
      </c>
      <c r="D8" s="21">
        <f>MAX((D5+D6),0)</f>
        <v>12085.81102599101</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0.20236418573611442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35.306483326898295</v>
      </c>
      <c r="C12" s="23">
        <f ca="1">C8*C10</f>
        <v>0</v>
      </c>
      <c r="D12" s="23">
        <f>D8*D10</f>
        <v>2441.3338272501842</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2.4333068672352284E-2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41.449887827849416</v>
      </c>
      <c r="C26" s="249">
        <f>B26*'GWP N2O_CH4'!B5</f>
        <v>870.44764438483776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6.042163376702689</v>
      </c>
      <c r="C27" s="249">
        <f>B27*'GWP N2O_CH4'!B5</f>
        <v>126.88543091075647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9">
        <f>B28*'GWP N2O_CH4'!B4</f>
        <v>194.61771782230912</v>
      </c>
      <c r="D28" s="50"/>
    </row>
    <row r="29" spans="1:4">
      <c r="A29" s="41" t="s">
        <v>277</v>
      </c>
      <c r="B29" s="249">
        <f>B34*'ha_N2O bodem landbouw'!B4</f>
        <v>1.8108137433262603</v>
      </c>
      <c r="C29" s="249">
        <f>B29*'GWP N2O_CH4'!B4</f>
        <v>561.35226043114073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4.5214209755263215E-4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9.5206781055551876E-6</v>
      </c>
      <c r="C5" s="448" t="s">
        <v>211</v>
      </c>
      <c r="D5" s="433">
        <f>SUM(D6:D11)</f>
        <v>1.7534122560672303E-5</v>
      </c>
      <c r="E5" s="433">
        <f>SUM(E6:E11)</f>
        <v>5.2779723399027528E-4</v>
      </c>
      <c r="F5" s="446" t="s">
        <v>211</v>
      </c>
      <c r="G5" s="433">
        <f>SUM(G6:G11)</f>
        <v>0.13853713411525534</v>
      </c>
      <c r="H5" s="433">
        <f>SUM(H6:H11)</f>
        <v>2.6119859378018095E-2</v>
      </c>
      <c r="I5" s="448" t="s">
        <v>211</v>
      </c>
      <c r="J5" s="448" t="s">
        <v>211</v>
      </c>
      <c r="K5" s="448" t="s">
        <v>211</v>
      </c>
      <c r="L5" s="448" t="s">
        <v>211</v>
      </c>
      <c r="M5" s="433">
        <f>SUM(M6:M11)</f>
        <v>7.3678185423718678E-3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5.8605318569246893E-6</v>
      </c>
      <c r="C6" s="949"/>
      <c r="D6" s="949">
        <f>vkm_2011_GW_PW*SUMIFS(TableVerdeelsleutelVkm[CNG],TableVerdeelsleutelVkm[Voertuigtype],"Lichte voertuigen")*SUMIFS(TableECFTransport[EnergieConsumptieFactor (PJ per km)],TableECFTransport[Index],CONCATENATE($A6,"_CNG_CNG"))</f>
        <v>8.2996593158269179E-6</v>
      </c>
      <c r="E6" s="949">
        <f>vkm_2011_GW_PW*SUMIFS(TableVerdeelsleutelVkm[LPG],TableVerdeelsleutelVkm[Voertuigtype],"Lichte voertuigen")*SUMIFS(TableECFTransport[EnergieConsumptieFactor (PJ per km)],TableECFTransport[Index],CONCATENATE($A6,"_LPG_LPG"))</f>
        <v>2.606649759103177E-4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4.6848633709681987E-2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1.2588654082112445E-2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2.6523551970653605E-3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3.2990417954010115E-2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1.1754006334258662E-5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1.4887203019540449E-3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3.6601462486304987E-6</v>
      </c>
      <c r="C8" s="949"/>
      <c r="D8" s="436">
        <f>vkm_2011_NGW_PW*SUMIFS(TableVerdeelsleutelVkm[CNG],TableVerdeelsleutelVkm[Voertuigtype],"Lichte voertuigen")*SUMIFS(TableECFTransport[EnergieConsumptieFactor (PJ per km)],TableECFTransport[Index],CONCATENATE($A8,"_CNG_CNG"))</f>
        <v>9.2344632448453867E-6</v>
      </c>
      <c r="E8" s="436">
        <f>vkm_2011_NGW_PW*SUMIFS(TableVerdeelsleutelVkm[LPG],TableVerdeelsleutelVkm[Voertuigtype],"Lichte voertuigen")*SUMIFS(TableECFTransport[EnergieConsumptieFactor (PJ per km)],TableECFTransport[Index],CONCATENATE($A8,"_LPG_LPG"))</f>
        <v>2.6713225807995758E-4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4.5281508125150319E-2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1.3514927895281748E-2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2.6213198573655748E-3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1.3416574326412934E-2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4.5233942896452296E-6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6.0542318598688844E-4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2.6446328070986631</v>
      </c>
      <c r="C14" s="21"/>
      <c r="D14" s="21">
        <f t="shared" ref="D14:M14" si="0">((D5)*10^9/3600)+D12</f>
        <v>4.8705896001867508</v>
      </c>
      <c r="E14" s="21">
        <f t="shared" si="0"/>
        <v>146.61034277507648</v>
      </c>
      <c r="F14" s="21"/>
      <c r="G14" s="21">
        <f t="shared" si="0"/>
        <v>38482.537254237592</v>
      </c>
      <c r="H14" s="21">
        <f t="shared" si="0"/>
        <v>7255.5164938939151</v>
      </c>
      <c r="I14" s="21"/>
      <c r="J14" s="21"/>
      <c r="K14" s="21"/>
      <c r="L14" s="21"/>
      <c r="M14" s="21">
        <f t="shared" si="0"/>
        <v>2046.6162617699633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0.20236418573611442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0.53517896457953551</v>
      </c>
      <c r="C18" s="23"/>
      <c r="D18" s="23">
        <f t="shared" ref="D18:M18" si="1">D14*D16</f>
        <v>0.98385909923772374</v>
      </c>
      <c r="E18" s="23">
        <f t="shared" si="1"/>
        <v>33.280547809942362</v>
      </c>
      <c r="F18" s="23"/>
      <c r="G18" s="23">
        <f t="shared" si="1"/>
        <v>10274.837446881438</v>
      </c>
      <c r="H18" s="23">
        <f t="shared" si="1"/>
        <v>1806.6236069795848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3.7150068989799554E-3</v>
      </c>
      <c r="H50" s="323">
        <f t="shared" si="2"/>
        <v>0</v>
      </c>
      <c r="I50" s="323">
        <f t="shared" si="2"/>
        <v>0</v>
      </c>
      <c r="J50" s="323">
        <f t="shared" si="2"/>
        <v>0</v>
      </c>
      <c r="K50" s="323">
        <f t="shared" si="2"/>
        <v>0</v>
      </c>
      <c r="L50" s="323">
        <f t="shared" si="2"/>
        <v>0</v>
      </c>
      <c r="M50" s="323">
        <f t="shared" si="2"/>
        <v>1.6521544339385868E-4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3.7150068989799554E-3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1.6521544339385868E-4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1031.9463608277654</v>
      </c>
      <c r="H54" s="21">
        <f t="shared" si="3"/>
        <v>0</v>
      </c>
      <c r="I54" s="21">
        <f t="shared" si="3"/>
        <v>0</v>
      </c>
      <c r="J54" s="21">
        <f t="shared" si="3"/>
        <v>0</v>
      </c>
      <c r="K54" s="21">
        <f t="shared" si="3"/>
        <v>0</v>
      </c>
      <c r="L54" s="21">
        <f t="shared" si="3"/>
        <v>0</v>
      </c>
      <c r="M54" s="21">
        <f t="shared" si="3"/>
        <v>45.893178720516296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0.20236418573611442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275.52967834101338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5531.4392937625444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5531.4392937625444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2018-06-27T09:31:01Z</dcterms:modified>
</cp:coreProperties>
</file>