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J15" s="1"/>
  <c r="B13" i="16"/>
  <c r="C35"/>
  <c r="E9" i="14"/>
  <c r="D14" i="15"/>
  <c r="P18" i="16"/>
  <c r="P22" s="1"/>
  <c r="Q39" i="14" s="1"/>
  <c r="L16" i="16"/>
  <c r="L18" s="1"/>
  <c r="N6" i="17"/>
  <c r="N5" s="1"/>
  <c r="K22" i="14"/>
  <c r="J8" i="17"/>
  <c r="J12" s="1"/>
  <c r="K48"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I20" i="15"/>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N7" i="48"/>
  <c r="N24" s="1"/>
  <c r="E13" i="14"/>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F10" i="14"/>
  <c r="L31" i="48"/>
  <c r="D31"/>
  <c r="E5"/>
  <c r="E22" s="1"/>
  <c r="B22" i="6"/>
  <c r="C16" i="22" s="1"/>
  <c r="J20" i="15"/>
  <c r="K36" i="14" s="1"/>
  <c r="N46"/>
  <c r="N53" s="1"/>
  <c r="M16" i="18"/>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0" i="13"/>
  <c r="C16" i="48" s="1"/>
  <c r="C30" s="1"/>
  <c r="C18" i="15"/>
  <c r="C20" s="1"/>
  <c r="D36" i="14" s="1"/>
  <c r="C20" i="16"/>
  <c r="C22" s="1"/>
  <c r="D39" i="14" s="1"/>
  <c r="C17" i="19"/>
  <c r="C19" s="1"/>
  <c r="D35" i="14" s="1"/>
  <c r="C29" i="20"/>
  <c r="C56" i="22"/>
  <c r="C58" s="1"/>
  <c r="D44" i="14" s="1"/>
  <c r="D46" s="1"/>
  <c r="Q5" i="48"/>
  <c r="O13" i="14"/>
  <c r="O15" s="1"/>
  <c r="F22" i="16"/>
  <c r="G39" i="14" s="1"/>
  <c r="G41" s="1"/>
  <c r="N22" i="16"/>
  <c r="O39" i="14" s="1"/>
  <c r="O41" s="1"/>
  <c r="Q4" i="48"/>
  <c r="N22"/>
  <c r="R11" i="14"/>
  <c r="J21" i="48"/>
  <c r="R10" i="14"/>
  <c r="C17" i="49" l="1"/>
  <c r="K41" i="14"/>
  <c r="K53" s="1"/>
  <c r="F8" i="48"/>
  <c r="Q8" s="1"/>
  <c r="Q14" s="1"/>
  <c r="N55" i="14"/>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<sst xmlns="http://schemas.openxmlformats.org/spreadsheetml/2006/main" count="1970" uniqueCount="846">
  <si>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</si>
  <si>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</si>
  <si>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</si>
  <si>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</si>
  <si>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</si>
  <si>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</si>
  <si>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</si>
  <si>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</si>
  <si>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</si>
  <si>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</si>
  <si>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</si>
  <si>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</si>
  <si>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</si>
  <si>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</si>
  <si>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</si>
  <si>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</si>
  <si>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</si>
  <si>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</si>
  <si>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</si>
  <si>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</si>
  <si>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</si>
  <si>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</si>
  <si>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</si>
  <si>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</si>
  <si>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</si>
  <si>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</si>
  <si>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</si>
  <si>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</si>
  <si>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</si>
  <si>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</si>
  <si>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</si>
  <si>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</si>
  <si>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</si>
  <si>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</si>
  <si>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</si>
  <si>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</si>
  <si>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</si>
  <si>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</si>
  <si>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</si>
  <si>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</si>
  <si>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</si>
  <si>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</si>
  <si>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</si>
  <si>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</si>
  <si>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</si>
  <si>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</si>
  <si>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</si>
  <si>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</si>
  <si>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</si>
  <si>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</si>
  <si>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</si>
  <si>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</si>
  <si>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</si>
  <si>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</si>
  <si>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</si>
  <si>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</si>
  <si>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</si>
  <si>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</si>
  <si>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</si>
  <si>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</si>
  <si>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</si>
  <si>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</si>
  <si>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</si>
  <si>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</si>
  <si>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</si>
  <si>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</si>
  <si>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</si>
  <si>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</si>
  <si>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</si>
  <si>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</si>
  <si>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</si>
  <si>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</si>
  <si>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</si>
  <si>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</si>
  <si>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</si>
  <si>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</si>
  <si>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</si>
  <si>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</si>
  <si>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</si>
  <si>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</si>
  <si>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</si>
  <si>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</si>
  <si>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</si>
  <si>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</si>
  <si>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</si>
  <si>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</si>
  <si>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</si>
  <si>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</si>
  <si>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</si>
  <si>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</si>
  <si>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</si>
  <si>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</si>
  <si>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</si>
  <si>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</si>
  <si>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</si>
  <si>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</si>
  <si>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</si>
  <si>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</si>
  <si>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</si>
  <si>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</si>
  <si>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</si>
  <si>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</si>
  <si>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</si>
  <si>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</si>
  <si>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</si>
  <si>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</si>
  <si>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</si>
  <si>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</si>
  <si>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</si>
  <si>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</si>
  <si>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</si>
  <si>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</si>
  <si>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</si>
  <si>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</si>
  <si>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</si>
  <si>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</si>
  <si>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</si>
  <si>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</si>
  <si>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</si>
  <si>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</si>
  <si>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</si>
  <si>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</si>
  <si>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</si>
  <si>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</si>
  <si>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</si>
  <si>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</si>
  <si>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</si>
  <si>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</si>
  <si>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</si>
  <si>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</si>
  <si>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</si>
  <si>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</si>
  <si>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</si>
  <si>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</si>
  <si>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</si>
  <si>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</si>
  <si>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</si>
  <si>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</si>
  <si>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</si>
  <si>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</si>
  <si>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</si>
  <si>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</si>
  <si>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</si>
  <si>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</si>
  <si>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</si>
  <si>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</si>
  <si>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</si>
  <si>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</si>
  <si>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</si>
  <si>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</si>
  <si>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</si>
  <si>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</si>
  <si>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</si>
  <si>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</si>
  <si>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</si>
  <si>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</si>
  <si>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</si>
  <si>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</si>
  <si>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</si>
  <si>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</si>
  <si>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</si>
  <si>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</si>
  <si>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</si>
  <si>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</si>
  <si>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</si>
  <si>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</si>
  <si>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</si>
  <si>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</si>
  <si>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</si>
  <si>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</si>
  <si>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</si>
  <si>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</si>
  <si>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</si>
  <si>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</si>
  <si>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</si>
  <si>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</si>
  <si>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</si>
  <si>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</si>
  <si>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</si>
  <si>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</si>
  <si>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</si>
  <si>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</si>
  <si>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</si>
  <si>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</si>
  <si>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</si>
  <si>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</si>
  <si>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</si>
  <si>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</si>
  <si>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</si>
  <si>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</si>
  <si>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</si>
  <si>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</si>
  <si>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</si>
  <si>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</si>
  <si>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</si>
  <si>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</si>
  <si>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</si>
  <si>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</si>
  <si>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</si>
  <si>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</si>
  <si>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</si>
  <si>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</si>
  <si>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</si>
  <si>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</si>
  <si>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</si>
  <si>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</si>
  <si>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</si>
  <si>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</si>
  <si>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</si>
  <si>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</si>
  <si>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</si>
  <si>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</si>
  <si>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</si>
  <si>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</si>
  <si>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</si>
  <si>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</si>
  <si>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</si>
  <si>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</si>
  <si>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</si>
  <si>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</si>
  <si>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</si>
  <si>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</si>
  <si>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</si>
  <si>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</si>
  <si>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</si>
  <si>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</si>
  <si>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</si>
  <si>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</si>
  <si>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</si>
  <si>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</si>
  <si>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</si>
  <si>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</si>
  <si>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</si>
  <si>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</si>
  <si>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</si>
  <si>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</si>
  <si>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</si>
  <si>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</si>
  <si>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</si>
  <si>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</si>
  <si>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</si>
  <si>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</si>
  <si>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</si>
  <si>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</si>
  <si>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</si>
  <si>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</si>
  <si>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</si>
  <si>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</si>
  <si>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</si>
  <si>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</si>
  <si>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</si>
  <si>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</si>
  <si>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</si>
  <si>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</si>
  <si>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</si>
  <si>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</si>
  <si>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</si>
  <si>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</si>
  <si>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</si>
  <si>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</si>
  <si>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</si>
  <si>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</si>
  <si>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</si>
  <si>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</si>
  <si>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</si>
  <si>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</si>
  <si>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</si>
  <si>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</si>
  <si>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</si>
  <si>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</si>
  <si>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</si>
  <si>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</si>
  <si>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</si>
  <si>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</si>
  <si>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</si>
  <si>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</si>
  <si>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</si>
  <si>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</si>
  <si>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</si>
  <si>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</si>
  <si>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</si>
  <si>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</si>
  <si>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</si>
  <si>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</si>
  <si>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</si>
  <si>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</si>
  <si>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</si>
  <si>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</si>
  <si>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</si>
  <si>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</si>
  <si>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</si>
  <si>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</si>
  <si>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</si>
  <si>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</si>
  <si>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</si>
  <si>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</si>
  <si>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</si>
  <si>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</si>
  <si>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</si>
  <si>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</si>
  <si>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</si>
  <si>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</si>
  <si>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</si>
  <si>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</si>
  <si>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</si>
  <si>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</si>
  <si>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</si>
  <si>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</si>
  <si>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</si>
  <si>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</si>
  <si>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</si>
  <si>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</si>
  <si>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</si>
  <si>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</si>
  <si>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</si>
  <si>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</si>
  <si>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</si>
  <si>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</si>
  <si>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</si>
  <si>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</si>
  <si>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</si>
  <si>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</si>
  <si>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</si>
  <si>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</si>
  <si>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</si>
  <si>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</si>
  <si>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</si>
  <si>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</si>
  <si>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</si>
  <si>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</si>
  <si>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</si>
  <si>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</si>
  <si>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</si>
  <si>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</si>
  <si>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</si>
  <si>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</si>
  <si>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</si>
  <si>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</si>
  <si>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</si>
  <si>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</si>
  <si>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</si>
  <si>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</si>
  <si>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</si>
  <si>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</si>
  <si>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</si>
  <si>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</si>
  <si>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</si>
  <si>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</si>
  <si>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</si>
  <si>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</si>
  <si>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</si>
  <si>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</si>
  <si>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</si>
  <si>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</si>
  <si>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</si>
  <si>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</si>
  <si>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</si>
  <si>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</si>
  <si>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</si>
  <si>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</si>
  <si>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</si>
  <si>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</si>
  <si>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</si>
  <si>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</si>
  <si>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</si>
  <si>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</si>
  <si>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</si>
  <si>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</si>
  <si>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</si>
  <si>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</si>
  <si>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</si>
  <si>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</si>
  <si>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</si>
  <si>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</si>
  <si>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</si>
  <si>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</si>
  <si>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</si>
  <si>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</si>
  <si>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</si>
  <si>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</si>
  <si>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</si>
  <si>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</si>
  <si>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</si>
  <si>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</si>
  <si>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</si>
  <si>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</si>
  <si>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</si>
  <si>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</si>
  <si>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</si>
  <si>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</si>
  <si>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</si>
  <si>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</si>
  <si>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</si>
  <si>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</si>
  <si>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</si>
  <si>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</si>
  <si>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</si>
  <si>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</si>
  <si>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</si>
  <si>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</si>
  <si>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</si>
  <si>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</si>
  <si>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</si>
  <si>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</si>
  <si>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</si>
  <si>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</si>
  <si>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</si>
  <si>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</si>
  <si>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</si>
  <si>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</si>
  <si>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</si>
  <si>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</si>
  <si>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</si>
  <si>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</si>
  <si>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</si>
  <si>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</si>
  <si>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</si>
  <si>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</si>
  <si>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</si>
  <si>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</si>
  <si>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</si>
  <si>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</si>
  <si>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</si>
  <si>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</si>
  <si>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</si>
  <si>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</si>
  <si>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</si>
  <si>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</si>
  <si>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</si>
  <si>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</si>
  <si>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</si>
  <si>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</si>
  <si>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</si>
  <si>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</si>
  <si>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</si>
  <si>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</si>
  <si>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</si>
  <si>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</si>
  <si>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</si>
  <si>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</si>
  <si>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</si>
  <si>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</si>
  <si>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</si>
  <si>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</si>
  <si>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</si>
  <si>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</si>
  <si>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</si>
  <si>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</si>
  <si>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</si>
  <si>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</si>
  <si>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</si>
  <si>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</si>
  <si>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</si>
  <si>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</si>
  <si>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</si>
  <si>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</si>
  <si>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</si>
  <si>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</si>
  <si>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</si>
  <si>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</si>
  <si>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</si>
  <si>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</si>
  <si>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</si>
  <si>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</si>
  <si>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</si>
  <si>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</si>
  <si>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</si>
  <si>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</si>
  <si>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</si>
  <si>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</si>
  <si>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</si>
  <si>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</si>
  <si>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</si>
  <si>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</si>
  <si>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</si>
  <si>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</si>
  <si>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</si>
  <si>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</si>
  <si>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</si>
  <si>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</si>
  <si>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</si>
  <si>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</si>
  <si>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</si>
  <si>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</si>
  <si>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</si>
  <si>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</si>
  <si>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</si>
  <si>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</si>
  <si>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</si>
  <si>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</si>
  <si>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</si>
  <si>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</si>
  <si>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</si>
  <si>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</si>
  <si>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</si>
  <si>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</si>
  <si>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</si>
  <si>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</si>
  <si>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</si>
  <si>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</si>
  <si>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</si>
  <si>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</si>
  <si>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</si>
  <si>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</si>
  <si>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</si>
  <si>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</si>
  <si>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</si>
  <si>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</si>
  <si>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</si>
  <si>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</si>
  <si>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</si>
  <si>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</si>
  <si>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</si>
  <si>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</si>
  <si>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</si>
  <si>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</si>
  <si>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</si>
  <si>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</si>
  <si>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</si>
  <si>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</si>
  <si>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</si>
  <si>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</si>
  <si>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</si>
  <si>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</si>
  <si>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</si>
  <si>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</si>
  <si>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</si>
  <si>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</si>
  <si>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</si>
  <si>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</si>
  <si>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</si>
  <si>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</si>
  <si>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</si>
  <si>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</si>
  <si>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</si>
  <si>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</si>
  <si>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</si>
  <si>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</si>
  <si>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</si>
  <si>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</si>
  <si>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</si>
  <si>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</si>
  <si>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</si>
  <si>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</si>
  <si>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</si>
  <si>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</si>
  <si>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</si>
  <si>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</si>
  <si>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</si>
  <si>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</si>
  <si>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</si>
  <si>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</si>
  <si>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</si>
  <si>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</si>
  <si>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</si>
  <si>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</si>
  <si>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</si>
  <si>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</si>
  <si>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</si>
  <si>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</si>
  <si>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</si>
  <si>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</si>
  <si>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</si>
  <si>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</si>
  <si>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</si>
  <si>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</si>
  <si>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</si>
  <si>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</si>
  <si>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</si>
  <si>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</si>
  <si>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</si>
  <si>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</si>
  <si>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</si>
  <si>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</si>
  <si>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</si>
  <si>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</si>
  <si>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</si>
  <si>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</si>
  <si>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</si>
  <si>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</si>
  <si>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</si>
  <si>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</si>
  <si>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</si>
  <si>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</si>
  <si>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</si>
  <si>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</si>
  <si>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</si>
  <si>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</si>
  <si>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</si>
  <si>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</si>
  <si>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</si>
  <si>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</si>
  <si>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</si>
  <si>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</si>
  <si>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</si>
  <si>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</si>
  <si>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</si>
  <si>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</si>
  <si>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</si>
  <si>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</si>
  <si>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</si>
  <si>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</si>
  <si>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</si>
  <si>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</si>
  <si>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</si>
  <si>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</si>
  <si>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</si>
  <si>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</si>
  <si>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</si>
  <si>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</si>
  <si>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</si>
  <si>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</si>
  <si>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</si>
  <si>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</si>
  <si>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</si>
  <si>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</si>
  <si>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</si>
  <si>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</si>
  <si>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</si>
  <si>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</si>
  <si>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</si>
  <si>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</si>
  <si>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</si>
  <si>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</si>
  <si>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</si>
  <si>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</si>
  <si>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</si>
  <si>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</si>
  <si>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</si>
  <si>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</si>
  <si>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</si>
  <si>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</si>
  <si>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</si>
  <si>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</si>
  <si>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</si>
  <si>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</si>
  <si>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</si>
  <si>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</si>
  <si>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</si>
  <si>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</si>
  <si>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</si>
  <si>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</si>
  <si>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</si>
  <si>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</si>
  <si>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</si>
  <si>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</si>
  <si>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</si>
  <si>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</si>
  <si>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</si>
  <si>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</si>
  <si>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</si>
  <si>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</si>
  <si>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</si>
  <si>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</si>
  <si>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</si>
  <si>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</si>
  <si>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</si>
  <si>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</si>
  <si>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</si>
  <si>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</si>
  <si>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</si>
  <si>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</si>
  <si>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</si>
  <si>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</si>
  <si>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</si>
  <si>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</si>
  <si>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</si>
  <si>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</si>
  <si>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</si>
  <si>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</si>
  <si>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</si>
  <si>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</si>
  <si>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</si>
  <si>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</si>
  <si>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</si>
  <si>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</si>
  <si>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</si>
  <si>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</si>
  <si>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</si>
  <si>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</si>
  <si>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</si>
  <si>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</si>
  <si>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</si>
  <si>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</si>
  <si>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</si>
  <si>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</si>
  <si>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</si>
  <si>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</si>
  <si>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</si>
  <si>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</si>
  <si>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</si>
  <si>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</si>
  <si>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</si>
  <si>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</si>
  <si>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</si>
  <si>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</si>
  <si>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</si>
  <si>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</si>
  <si>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</si>
  <si>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</si>
  <si>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</si>
  <si>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</si>
  <si>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</si>
  <si>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</si>
  <si>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</si>
  <si>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</si>
  <si>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</si>
  <si>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</si>
  <si>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</si>
  <si>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</si>
  <si>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</si>
  <si>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</si>
  <si>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</si>
  <si>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</si>
  <si>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</si>
  <si>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</si>
  <si>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</si>
  <si>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</si>
  <si>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</si>
  <si>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</si>
  <si>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</si>
  <si>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</si>
  <si>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</si>
  <si>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</si>
  <si>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</si>
  <si>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</si>
  <si>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</si>
  <si>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</si>
  <si>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</si>
  <si>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</si>
  <si>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</si>
  <si>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</si>
  <si>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</si>
  <si>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</si>
  <si>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</si>
  <si>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</si>
  <si>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</si>
  <si>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</si>
  <si>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</si>
  <si>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</si>
  <si>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</si>
  <si>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</si>
  <si>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</si>
  <si>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</si>
  <si>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</si>
  <si>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</si>
  <si>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</si>
  <si>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</si>
  <si>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</si>
  <si>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</si>
  <si>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</si>
  <si>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</si>
  <si>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</si>
  <si>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</si>
  <si>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</si>
  <si>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</si>
  <si>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</si>
  <si>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</si>
  <si>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</si>
  <si>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</si>
  <si>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</si>
  <si>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</si>
  <si>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</si>
  <si>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</si>
  <si>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</si>
  <si>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</si>
  <si>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</si>
  <si>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</si>
  <si>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</si>
  <si>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</si>
  <si>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</si>
  <si>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</si>
  <si>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</si>
  <si>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</si>
  <si>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</si>
  <si>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</si>
  <si>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</si>
  <si>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</si>
  <si>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</si>
  <si>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</si>
  <si>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</si>
  <si>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</si>
  <si>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</si>
  <si>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</si>
  <si>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</si>
  <si>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</si>
  <si>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</si>
  <si>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</si>
  <si>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</si>
  <si>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</si>
  <si>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</si>
  <si>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</si>
  <si>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</si>
  <si>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</si>
  <si>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</si>
  <si>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</si>
  <si>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</si>
  <si>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</si>
  <si>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</si>
  <si>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</si>
  <si>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</si>
  <si>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</si>
  <si>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</si>
  <si>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</si>
  <si>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</si>
  <si>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</si>
  <si>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</si>
  <si>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</si>
  <si>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</si>
  <si>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</si>
  <si>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</si>
  <si>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</si>
  <si>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</si>
  <si>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</si>
  <si>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</si>
  <si>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</si>
  <si>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</si>
  <si>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</si>
  <si>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</si>
  <si>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</si>
  <si>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</si>
  <si>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</si>
  <si>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</si>
  <si>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</si>
  <si>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</si>
  <si>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</si>
  <si>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</si>
  <si>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</si>
  <si>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</si>
  <si>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</si>
  <si>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</si>
  <si>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</si>
  <si>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</si>
  <si>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34022</t>
  </si>
  <si>
    <t>KORTRIJK</t>
  </si>
  <si>
    <t>Cultuurgrond (ha)</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</si>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</sst>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599950.91327438003</c:v>
                </c:pt>
                <c:pt idx="1">
                  <c:v>461729.77580407693</c:v>
                </c:pt>
                <c:pt idx="2">
                  <c:v>6640.3519999999999</c:v>
                </c:pt>
                <c:pt idx="3">
                  <c:v>53596.748755667824</c:v>
                </c:pt>
                <c:pt idx="4">
                  <c:v>374828.88907400286</c:v>
                </c:pt>
                <c:pt idx="5">
                  <c:v>676067.37083747541</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599950.91327438003</c:v>
                </c:pt>
                <c:pt idx="1">
                  <c:v>461729.77580407693</c:v>
                </c:pt>
                <c:pt idx="2">
                  <c:v>6640.3519999999999</c:v>
                </c:pt>
                <c:pt idx="3">
                  <c:v>53596.748755667824</c:v>
                </c:pt>
                <c:pt idx="4">
                  <c:v>374828.88907400286</c:v>
                </c:pt>
                <c:pt idx="5">
                  <c:v>676067.37083747541</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115293.28826551004</c:v>
                </c:pt>
                <c:pt idx="1">
                  <c:v>93518.830113917837</c:v>
                </c:pt>
                <c:pt idx="2">
                  <c:v>1367.2744103061807</c:v>
                </c:pt>
                <c:pt idx="3">
                  <c:v>11523.589583051202</c:v>
                </c:pt>
                <c:pt idx="4">
                  <c:v>70368.444025308883</c:v>
                </c:pt>
                <c:pt idx="5">
                  <c:v>171291.64530802192</c:v>
                </c:pt>
                <c:pt idx="6">
                  <c:v>2817.8036844276321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115293.28826551004</c:v>
                </c:pt>
                <c:pt idx="1">
                  <c:v>93518.830113917837</c:v>
                </c:pt>
                <c:pt idx="2">
                  <c:v>1367.2744103061807</c:v>
                </c:pt>
                <c:pt idx="3">
                  <c:v>11523.589583051202</c:v>
                </c:pt>
                <c:pt idx="4">
                  <c:v>70368.444025308883</c:v>
                </c:pt>
                <c:pt idx="5">
                  <c:v>171291.64530802192</c:v>
                </c:pt>
                <c:pt idx="6">
                  <c:v>2817.8036844276321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34022</v>
      </c>
      <c r="B6" s="398"/>
      <c r="C6" s="399"/>
    </row>
    <row r="7" spans="1:7" s="396" customFormat="1" ht="15.75" customHeight="1">
      <c r="A7" s="400" t="str">
        <f>txtMunicipality</f>
        <v>KORTRIJK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32652</v>
      </c>
      <c r="C9" s="338">
        <v>33727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3675</v>
      </c>
    </row>
    <row r="15" spans="1:6">
      <c r="A15" s="1212" t="s">
        <v>184</v>
      </c>
      <c r="B15" s="335">
        <v>38</v>
      </c>
    </row>
    <row r="16" spans="1:6">
      <c r="A16" s="1212" t="s">
        <v>6</v>
      </c>
      <c r="B16" s="335">
        <v>1011</v>
      </c>
    </row>
    <row r="17" spans="1:6">
      <c r="A17" s="1212" t="s">
        <v>7</v>
      </c>
      <c r="B17" s="335">
        <v>942</v>
      </c>
    </row>
    <row r="18" spans="1:6">
      <c r="A18" s="1212" t="s">
        <v>8</v>
      </c>
      <c r="B18" s="335">
        <v>1185</v>
      </c>
    </row>
    <row r="19" spans="1:6">
      <c r="A19" s="1212" t="s">
        <v>9</v>
      </c>
      <c r="B19" s="335">
        <v>1126</v>
      </c>
    </row>
    <row r="20" spans="1:6">
      <c r="A20" s="1212" t="s">
        <v>10</v>
      </c>
      <c r="B20" s="335">
        <v>1453</v>
      </c>
    </row>
    <row r="21" spans="1:6">
      <c r="A21" s="1212" t="s">
        <v>11</v>
      </c>
      <c r="B21" s="335">
        <v>2799</v>
      </c>
    </row>
    <row r="22" spans="1:6">
      <c r="A22" s="1212" t="s">
        <v>12</v>
      </c>
      <c r="B22" s="335">
        <v>10796</v>
      </c>
    </row>
    <row r="23" spans="1:6">
      <c r="A23" s="1212" t="s">
        <v>13</v>
      </c>
      <c r="B23" s="335">
        <v>146</v>
      </c>
    </row>
    <row r="24" spans="1:6">
      <c r="A24" s="1212" t="s">
        <v>14</v>
      </c>
      <c r="B24" s="335">
        <v>7</v>
      </c>
    </row>
    <row r="25" spans="1:6">
      <c r="A25" s="1212" t="s">
        <v>15</v>
      </c>
      <c r="B25" s="335">
        <v>686</v>
      </c>
    </row>
    <row r="26" spans="1:6">
      <c r="A26" s="1212" t="s">
        <v>16</v>
      </c>
      <c r="B26" s="335">
        <v>77</v>
      </c>
    </row>
    <row r="27" spans="1:6">
      <c r="A27" s="1212" t="s">
        <v>17</v>
      </c>
      <c r="B27" s="335">
        <v>9</v>
      </c>
    </row>
    <row r="28" spans="1:6" s="341" customFormat="1">
      <c r="A28" s="1213" t="s">
        <v>18</v>
      </c>
      <c r="B28" s="1213">
        <v>149612</v>
      </c>
    </row>
    <row r="29" spans="1:6">
      <c r="A29" s="1213" t="s">
        <v>836</v>
      </c>
      <c r="B29" s="1213">
        <v>225</v>
      </c>
      <c r="C29" s="341"/>
      <c r="D29" s="341"/>
      <c r="E29" s="341"/>
      <c r="F29" s="341"/>
    </row>
    <row r="30" spans="1:6">
      <c r="A30" s="1208" t="s">
        <v>837</v>
      </c>
      <c r="B30" s="1208">
        <v>56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8</v>
      </c>
      <c r="D36" s="335">
        <v>1330027.90484039</v>
      </c>
      <c r="E36" s="335">
        <v>20</v>
      </c>
      <c r="F36" s="335">
        <v>1756719.0466914701</v>
      </c>
    </row>
    <row r="37" spans="1:6">
      <c r="A37" s="1212" t="s">
        <v>25</v>
      </c>
      <c r="B37" s="1212" t="s">
        <v>28</v>
      </c>
      <c r="C37" s="335">
        <v>0</v>
      </c>
      <c r="D37" s="335">
        <v>0</v>
      </c>
      <c r="E37" s="335">
        <v>0</v>
      </c>
      <c r="F37" s="335">
        <v>0</v>
      </c>
    </row>
    <row r="38" spans="1:6">
      <c r="A38" s="1212" t="s">
        <v>25</v>
      </c>
      <c r="B38" s="1212" t="s">
        <v>29</v>
      </c>
      <c r="C38" s="335">
        <v>4</v>
      </c>
      <c r="D38" s="335">
        <v>233350.05956487</v>
      </c>
      <c r="E38" s="335">
        <v>7</v>
      </c>
      <c r="F38" s="335">
        <v>43186.926944369297</v>
      </c>
    </row>
    <row r="39" spans="1:6">
      <c r="A39" s="1212" t="s">
        <v>30</v>
      </c>
      <c r="B39" s="1212" t="s">
        <v>31</v>
      </c>
      <c r="C39" s="335">
        <v>24886</v>
      </c>
      <c r="D39" s="335">
        <v>424544974.63076299</v>
      </c>
      <c r="E39" s="335">
        <v>31666</v>
      </c>
      <c r="F39" s="335">
        <v>115288969.91518299</v>
      </c>
    </row>
    <row r="40" spans="1:6">
      <c r="A40" s="1212" t="s">
        <v>30</v>
      </c>
      <c r="B40" s="1212" t="s">
        <v>29</v>
      </c>
      <c r="C40" s="335">
        <v>1</v>
      </c>
      <c r="D40" s="335">
        <v>36859.485088797403</v>
      </c>
      <c r="E40" s="335">
        <v>4</v>
      </c>
      <c r="F40" s="335">
        <v>36994.884853182797</v>
      </c>
    </row>
    <row r="41" spans="1:6">
      <c r="A41" s="1212" t="s">
        <v>32</v>
      </c>
      <c r="B41" s="1212" t="s">
        <v>33</v>
      </c>
      <c r="C41" s="335">
        <v>377</v>
      </c>
      <c r="D41" s="335">
        <v>11116335.438719301</v>
      </c>
      <c r="E41" s="335">
        <v>757</v>
      </c>
      <c r="F41" s="335">
        <v>15270479.122361399</v>
      </c>
    </row>
    <row r="42" spans="1:6">
      <c r="A42" s="1212" t="s">
        <v>32</v>
      </c>
      <c r="B42" s="1212" t="s">
        <v>34</v>
      </c>
      <c r="C42" s="335">
        <v>0</v>
      </c>
      <c r="D42" s="335">
        <v>0</v>
      </c>
      <c r="E42" s="335">
        <v>0</v>
      </c>
      <c r="F42" s="335">
        <v>0</v>
      </c>
    </row>
    <row r="43" spans="1:6">
      <c r="A43" s="1212" t="s">
        <v>32</v>
      </c>
      <c r="B43" s="1212" t="s">
        <v>35</v>
      </c>
      <c r="C43" s="335">
        <v>0</v>
      </c>
      <c r="D43" s="335">
        <v>0</v>
      </c>
      <c r="E43" s="335">
        <v>3</v>
      </c>
      <c r="F43" s="335">
        <v>193714.70609580999</v>
      </c>
    </row>
    <row r="44" spans="1:6">
      <c r="A44" s="1212" t="s">
        <v>32</v>
      </c>
      <c r="B44" s="1212" t="s">
        <v>36</v>
      </c>
      <c r="C44" s="335">
        <v>9</v>
      </c>
      <c r="D44" s="335">
        <v>1647092.18273831</v>
      </c>
      <c r="E44" s="335">
        <v>79</v>
      </c>
      <c r="F44" s="335">
        <v>12565523.5919553</v>
      </c>
    </row>
    <row r="45" spans="1:6">
      <c r="A45" s="1212" t="s">
        <v>32</v>
      </c>
      <c r="B45" s="1212" t="s">
        <v>37</v>
      </c>
      <c r="C45" s="335">
        <v>8</v>
      </c>
      <c r="D45" s="335">
        <v>401986.45729208598</v>
      </c>
      <c r="E45" s="335">
        <v>14</v>
      </c>
      <c r="F45" s="335">
        <v>73026.904809863307</v>
      </c>
    </row>
    <row r="46" spans="1:6">
      <c r="A46" s="1212" t="s">
        <v>32</v>
      </c>
      <c r="B46" s="1212" t="s">
        <v>38</v>
      </c>
      <c r="C46" s="335">
        <v>0</v>
      </c>
      <c r="D46" s="335">
        <v>0</v>
      </c>
      <c r="E46" s="335">
        <v>3</v>
      </c>
      <c r="F46" s="335">
        <v>38234.068586366797</v>
      </c>
    </row>
    <row r="47" spans="1:6">
      <c r="A47" s="1212" t="s">
        <v>32</v>
      </c>
      <c r="B47" s="1212" t="s">
        <v>39</v>
      </c>
      <c r="C47" s="335">
        <v>32</v>
      </c>
      <c r="D47" s="335">
        <v>12720129.651383899</v>
      </c>
      <c r="E47" s="335">
        <v>33</v>
      </c>
      <c r="F47" s="335">
        <v>10924024.972242899</v>
      </c>
    </row>
    <row r="48" spans="1:6">
      <c r="A48" s="1212" t="s">
        <v>32</v>
      </c>
      <c r="B48" s="1212" t="s">
        <v>29</v>
      </c>
      <c r="C48" s="335">
        <v>116</v>
      </c>
      <c r="D48" s="335">
        <v>148704696.23874599</v>
      </c>
      <c r="E48" s="335">
        <v>137</v>
      </c>
      <c r="F48" s="335">
        <v>60018588.466957301</v>
      </c>
    </row>
    <row r="49" spans="1:6">
      <c r="A49" s="1212" t="s">
        <v>32</v>
      </c>
      <c r="B49" s="1212" t="s">
        <v>40</v>
      </c>
      <c r="C49" s="335">
        <v>14</v>
      </c>
      <c r="D49" s="335">
        <v>938760.65544049605</v>
      </c>
      <c r="E49" s="335">
        <v>46</v>
      </c>
      <c r="F49" s="335">
        <v>3472857.7179424101</v>
      </c>
    </row>
    <row r="50" spans="1:6">
      <c r="A50" s="1212" t="s">
        <v>32</v>
      </c>
      <c r="B50" s="1212" t="s">
        <v>41</v>
      </c>
      <c r="C50" s="335">
        <v>74</v>
      </c>
      <c r="D50" s="335">
        <v>15167421.9364076</v>
      </c>
      <c r="E50" s="335">
        <v>96</v>
      </c>
      <c r="F50" s="335">
        <v>8088746.7201889502</v>
      </c>
    </row>
    <row r="51" spans="1:6">
      <c r="A51" s="1212" t="s">
        <v>42</v>
      </c>
      <c r="B51" s="1212" t="s">
        <v>43</v>
      </c>
      <c r="C51" s="335">
        <v>11</v>
      </c>
      <c r="D51" s="335">
        <v>284574.52625337697</v>
      </c>
      <c r="E51" s="335">
        <v>119</v>
      </c>
      <c r="F51" s="335">
        <v>1733629.82236567</v>
      </c>
    </row>
    <row r="52" spans="1:6">
      <c r="A52" s="1212" t="s">
        <v>42</v>
      </c>
      <c r="B52" s="1212" t="s">
        <v>29</v>
      </c>
      <c r="C52" s="335">
        <v>10</v>
      </c>
      <c r="D52" s="335">
        <v>679088.18487759505</v>
      </c>
      <c r="E52" s="335">
        <v>21</v>
      </c>
      <c r="F52" s="335">
        <v>1039643.1467727</v>
      </c>
    </row>
    <row r="53" spans="1:6">
      <c r="A53" s="1212" t="s">
        <v>44</v>
      </c>
      <c r="B53" s="1212" t="s">
        <v>45</v>
      </c>
      <c r="C53" s="335">
        <v>898</v>
      </c>
      <c r="D53" s="335">
        <v>44272450.099726498</v>
      </c>
      <c r="E53" s="335">
        <v>1404</v>
      </c>
      <c r="F53" s="335">
        <v>6734558.6168093299</v>
      </c>
    </row>
    <row r="54" spans="1:6">
      <c r="A54" s="1212" t="s">
        <v>46</v>
      </c>
      <c r="B54" s="1212" t="s">
        <v>47</v>
      </c>
      <c r="C54" s="335">
        <v>0</v>
      </c>
      <c r="D54" s="335">
        <v>0</v>
      </c>
      <c r="E54" s="335">
        <v>3</v>
      </c>
      <c r="F54" s="335">
        <v>6640352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318</v>
      </c>
      <c r="D57" s="335">
        <v>31233224.649699699</v>
      </c>
      <c r="E57" s="335">
        <v>503</v>
      </c>
      <c r="F57" s="335">
        <v>18069725.5082836</v>
      </c>
    </row>
    <row r="58" spans="1:6">
      <c r="A58" s="1212" t="s">
        <v>49</v>
      </c>
      <c r="B58" s="1212" t="s">
        <v>51</v>
      </c>
      <c r="C58" s="335">
        <v>235</v>
      </c>
      <c r="D58" s="335">
        <v>39313727.322940603</v>
      </c>
      <c r="E58" s="335">
        <v>461</v>
      </c>
      <c r="F58" s="335">
        <v>28046429.579051301</v>
      </c>
    </row>
    <row r="59" spans="1:6">
      <c r="A59" s="1212" t="s">
        <v>49</v>
      </c>
      <c r="B59" s="1212" t="s">
        <v>52</v>
      </c>
      <c r="C59" s="335">
        <v>739</v>
      </c>
      <c r="D59" s="335">
        <v>35473652.916255698</v>
      </c>
      <c r="E59" s="335">
        <v>1393</v>
      </c>
      <c r="F59" s="335">
        <v>45626228.635056302</v>
      </c>
    </row>
    <row r="60" spans="1:6">
      <c r="A60" s="1212" t="s">
        <v>49</v>
      </c>
      <c r="B60" s="1212" t="s">
        <v>53</v>
      </c>
      <c r="C60" s="335">
        <v>406</v>
      </c>
      <c r="D60" s="335">
        <v>29252269.594425902</v>
      </c>
      <c r="E60" s="335">
        <v>485</v>
      </c>
      <c r="F60" s="335">
        <v>18165142.1095821</v>
      </c>
    </row>
    <row r="61" spans="1:6">
      <c r="A61" s="1212" t="s">
        <v>49</v>
      </c>
      <c r="B61" s="1212" t="s">
        <v>54</v>
      </c>
      <c r="C61" s="335">
        <v>1258</v>
      </c>
      <c r="D61" s="335">
        <v>71291585.726414397</v>
      </c>
      <c r="E61" s="335">
        <v>2607</v>
      </c>
      <c r="F61" s="335">
        <v>49832479.065624699</v>
      </c>
    </row>
    <row r="62" spans="1:6">
      <c r="A62" s="1212" t="s">
        <v>49</v>
      </c>
      <c r="B62" s="1212" t="s">
        <v>55</v>
      </c>
      <c r="C62" s="335">
        <v>96</v>
      </c>
      <c r="D62" s="335">
        <v>18322099.952369101</v>
      </c>
      <c r="E62" s="335">
        <v>114</v>
      </c>
      <c r="F62" s="335">
        <v>6946134.3139706999</v>
      </c>
    </row>
    <row r="63" spans="1:6">
      <c r="A63" s="1212" t="s">
        <v>49</v>
      </c>
      <c r="B63" s="1212" t="s">
        <v>29</v>
      </c>
      <c r="C63" s="335">
        <v>277</v>
      </c>
      <c r="D63" s="335">
        <v>27467913.013545301</v>
      </c>
      <c r="E63" s="335">
        <v>303</v>
      </c>
      <c r="F63" s="335">
        <v>15020171.659402199</v>
      </c>
    </row>
    <row r="64" spans="1:6">
      <c r="A64" s="1212" t="s">
        <v>56</v>
      </c>
      <c r="B64" s="1212" t="s">
        <v>57</v>
      </c>
      <c r="C64" s="335">
        <v>0</v>
      </c>
      <c r="D64" s="335">
        <v>0</v>
      </c>
      <c r="E64" s="335">
        <v>0</v>
      </c>
      <c r="F64" s="335">
        <v>0</v>
      </c>
    </row>
    <row r="65" spans="1:6">
      <c r="A65" s="1212" t="s">
        <v>56</v>
      </c>
      <c r="B65" s="1212" t="s">
        <v>29</v>
      </c>
      <c r="C65" s="335">
        <v>9</v>
      </c>
      <c r="D65" s="335">
        <v>296791.44589180802</v>
      </c>
      <c r="E65" s="335">
        <v>14</v>
      </c>
      <c r="F65" s="335">
        <v>131807.10298403399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15</v>
      </c>
      <c r="D68" s="335">
        <v>359831.11956511397</v>
      </c>
      <c r="E68" s="335">
        <v>35</v>
      </c>
      <c r="F68" s="335">
        <v>506554.35383315402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234826338</v>
      </c>
      <c r="E73" s="335">
        <v>253109918.82630807</v>
      </c>
    </row>
    <row r="74" spans="1:6">
      <c r="A74" s="1212" t="s">
        <v>64</v>
      </c>
      <c r="B74" s="1212" t="s">
        <v>727</v>
      </c>
      <c r="C74" s="1212" t="s">
        <v>728</v>
      </c>
      <c r="D74" s="335">
        <v>29492483.651287839</v>
      </c>
      <c r="E74" s="335">
        <v>31682048.807795122</v>
      </c>
    </row>
    <row r="75" spans="1:6">
      <c r="A75" s="1212" t="s">
        <v>65</v>
      </c>
      <c r="B75" s="1212" t="s">
        <v>725</v>
      </c>
      <c r="C75" s="1212" t="s">
        <v>729</v>
      </c>
      <c r="D75" s="335">
        <v>90706666</v>
      </c>
      <c r="E75" s="335">
        <v>97813662.295590684</v>
      </c>
    </row>
    <row r="76" spans="1:6">
      <c r="A76" s="1212" t="s">
        <v>65</v>
      </c>
      <c r="B76" s="1212" t="s">
        <v>727</v>
      </c>
      <c r="C76" s="1212" t="s">
        <v>730</v>
      </c>
      <c r="D76" s="335">
        <v>2701956.6512878388</v>
      </c>
      <c r="E76" s="335">
        <v>2935032.2358835414</v>
      </c>
    </row>
    <row r="77" spans="1:6">
      <c r="A77" s="1212" t="s">
        <v>66</v>
      </c>
      <c r="B77" s="1212" t="s">
        <v>725</v>
      </c>
      <c r="C77" s="1212" t="s">
        <v>731</v>
      </c>
      <c r="D77" s="335">
        <v>257745432</v>
      </c>
      <c r="E77" s="335">
        <v>283383836.19807971</v>
      </c>
    </row>
    <row r="78" spans="1:6">
      <c r="A78" s="1208" t="s">
        <v>66</v>
      </c>
      <c r="B78" s="1208" t="s">
        <v>727</v>
      </c>
      <c r="C78" s="1208" t="s">
        <v>732</v>
      </c>
      <c r="D78" s="1208">
        <v>73306572</v>
      </c>
      <c r="E78" s="1208">
        <v>77161440.543255657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2912122.6974243228</v>
      </c>
      <c r="C83" s="335">
        <v>2929496.4611526704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11040.927317335701</v>
      </c>
    </row>
    <row r="91" spans="1:6">
      <c r="A91" s="1212" t="s">
        <v>68</v>
      </c>
      <c r="B91" s="335">
        <v>8793.6572040083902</v>
      </c>
    </row>
    <row r="92" spans="1:6">
      <c r="A92" s="1208" t="s">
        <v>69</v>
      </c>
      <c r="B92" s="338">
        <v>9351.0834260243082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19024</v>
      </c>
    </row>
    <row r="98" spans="1:6">
      <c r="A98" s="1212" t="s">
        <v>72</v>
      </c>
      <c r="B98" s="335">
        <v>7</v>
      </c>
    </row>
    <row r="99" spans="1:6">
      <c r="A99" s="1212" t="s">
        <v>73</v>
      </c>
      <c r="B99" s="335">
        <v>196</v>
      </c>
    </row>
    <row r="100" spans="1:6">
      <c r="A100" s="1212" t="s">
        <v>74</v>
      </c>
      <c r="B100" s="335">
        <v>2575</v>
      </c>
    </row>
    <row r="101" spans="1:6">
      <c r="A101" s="1212" t="s">
        <v>75</v>
      </c>
      <c r="B101" s="335">
        <v>278</v>
      </c>
    </row>
    <row r="102" spans="1:6">
      <c r="A102" s="1212" t="s">
        <v>76</v>
      </c>
      <c r="B102" s="335">
        <v>715</v>
      </c>
    </row>
    <row r="103" spans="1:6">
      <c r="A103" s="1212" t="s">
        <v>77</v>
      </c>
      <c r="B103" s="335">
        <v>618</v>
      </c>
    </row>
    <row r="104" spans="1:6">
      <c r="A104" s="1212" t="s">
        <v>78</v>
      </c>
      <c r="B104" s="335">
        <v>6763</v>
      </c>
    </row>
    <row r="105" spans="1:6">
      <c r="A105" s="1208" t="s">
        <v>79</v>
      </c>
      <c r="B105" s="1208">
        <v>22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31</v>
      </c>
      <c r="C123" s="335">
        <v>31</v>
      </c>
    </row>
    <row r="124" spans="1:6">
      <c r="A124" s="1208" t="s">
        <v>89</v>
      </c>
      <c r="B124" s="335">
        <v>5</v>
      </c>
      <c r="C124" s="335">
        <v>5</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349</v>
      </c>
    </row>
    <row r="130" spans="1:6">
      <c r="A130" s="1212" t="s">
        <v>295</v>
      </c>
      <c r="B130" s="335">
        <v>6</v>
      </c>
    </row>
    <row r="131" spans="1:6">
      <c r="A131" s="1212" t="s">
        <v>296</v>
      </c>
      <c r="B131" s="335">
        <v>6</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426557.85341951263</v>
      </c>
      <c r="C3" s="43" t="s">
        <v>170</v>
      </c>
      <c r="D3" s="43"/>
      <c r="E3" s="156"/>
      <c r="F3" s="43"/>
      <c r="G3" s="43"/>
      <c r="H3" s="43"/>
      <c r="I3" s="43"/>
      <c r="J3" s="43"/>
      <c r="K3" s="96"/>
    </row>
    <row r="4" spans="1:11">
      <c r="A4" s="366" t="s">
        <v>171</v>
      </c>
      <c r="B4" s="49">
        <f>IF(ISERROR('SEAP template'!B69),0,'SEAP template'!B69)</f>
        <v>29826.917947368398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152.39117647058828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0.20590390544148574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217.70168067226894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916.07142857142856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6640.3519999999999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6640.3519999999999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0.20590390544148574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1367.2744103061807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115325.96480003618</v>
      </c>
      <c r="C5" s="17">
        <f>IF(ISERROR('Eigen informatie GS &amp; warmtenet'!B57),0,'Eigen informatie GS &amp; warmtenet'!B57)</f>
        <v>0</v>
      </c>
      <c r="D5" s="30">
        <f>(SUM(HH_hh_gas_kWh,HH_rest_gas_kWh)/1000)*0.902</f>
        <v>382972.81437249837</v>
      </c>
      <c r="E5" s="17">
        <f>B46*B57</f>
        <v>8302.3314318173707</v>
      </c>
      <c r="F5" s="17">
        <f>B51*B62</f>
        <v>37583.888721779978</v>
      </c>
      <c r="G5" s="18"/>
      <c r="H5" s="17"/>
      <c r="I5" s="17"/>
      <c r="J5" s="17">
        <f>B50*B61+C50*C61</f>
        <v>1289.6534632028959</v>
      </c>
      <c r="K5" s="17"/>
      <c r="L5" s="17"/>
      <c r="M5" s="17"/>
      <c r="N5" s="17">
        <f>B48*B59+C48*C59</f>
        <v>44146.453281036935</v>
      </c>
      <c r="O5" s="17">
        <f>B69*B70*B71</f>
        <v>601.88333333333333</v>
      </c>
      <c r="P5" s="17">
        <f>B77*B78*B79/1000-B77*B78*B79/1000/B80</f>
        <v>934.26666666666665</v>
      </c>
    </row>
    <row r="6" spans="1:16">
      <c r="A6" s="16" t="s">
        <v>634</v>
      </c>
      <c r="B6" s="831">
        <f>kWh_PV_kleiner_dan_10kW</f>
        <v>8793.6572040083902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124119.62200404456</v>
      </c>
      <c r="C8" s="21">
        <f>C5</f>
        <v>0</v>
      </c>
      <c r="D8" s="21">
        <f>D5</f>
        <v>382972.81437249837</v>
      </c>
      <c r="E8" s="21">
        <f>E5</f>
        <v>8302.3314318173707</v>
      </c>
      <c r="F8" s="21">
        <f>F5</f>
        <v>37583.888721779978</v>
      </c>
      <c r="G8" s="21"/>
      <c r="H8" s="21"/>
      <c r="I8" s="21"/>
      <c r="J8" s="21">
        <f>J5</f>
        <v>1289.6534632028959</v>
      </c>
      <c r="K8" s="21"/>
      <c r="L8" s="21">
        <f>L5</f>
        <v>0</v>
      </c>
      <c r="M8" s="21">
        <f>M5</f>
        <v>0</v>
      </c>
      <c r="N8" s="21">
        <f>N5</f>
        <v>44146.453281036935</v>
      </c>
      <c r="O8" s="21">
        <f>O5</f>
        <v>601.88333333333333</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0.20590390544148574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25556.714912553743</v>
      </c>
      <c r="C12" s="23">
        <f ca="1">C10*C8</f>
        <v>0</v>
      </c>
      <c r="D12" s="23">
        <f>D8*D10</f>
        <v>77360.50850324468</v>
      </c>
      <c r="E12" s="23">
        <f>E10*E8</f>
        <v>1884.6292350225433</v>
      </c>
      <c r="F12" s="23">
        <f>F10*F8</f>
        <v>10034.898288715254</v>
      </c>
      <c r="G12" s="23"/>
      <c r="H12" s="23"/>
      <c r="I12" s="23"/>
      <c r="J12" s="23">
        <f>J10*J8</f>
        <v>456.53732597382509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19024</v>
      </c>
      <c r="C18" s="168" t="s">
        <v>111</v>
      </c>
      <c r="D18" s="230"/>
      <c r="E18" s="15"/>
    </row>
    <row r="19" spans="1:7">
      <c r="A19" s="173" t="s">
        <v>72</v>
      </c>
      <c r="B19" s="37">
        <f>aantalw2001_ander</f>
        <v>7</v>
      </c>
      <c r="C19" s="168" t="s">
        <v>111</v>
      </c>
      <c r="D19" s="231"/>
      <c r="E19" s="15"/>
    </row>
    <row r="20" spans="1:7">
      <c r="A20" s="173" t="s">
        <v>73</v>
      </c>
      <c r="B20" s="37">
        <f>aantalw2001_propaan</f>
        <v>196</v>
      </c>
      <c r="C20" s="169">
        <f>IF(ISERROR(B20/SUM($B$20,$B$21,$B$22)*100),0,B20/SUM($B$20,$B$21,$B$22)*100)</f>
        <v>6.4283371597244994</v>
      </c>
      <c r="D20" s="231"/>
      <c r="E20" s="15"/>
    </row>
    <row r="21" spans="1:7">
      <c r="A21" s="173" t="s">
        <v>74</v>
      </c>
      <c r="B21" s="37">
        <f>aantalw2001_elektriciteit</f>
        <v>2575</v>
      </c>
      <c r="C21" s="169">
        <f>IF(ISERROR(B21/SUM($B$20,$B$21,$B$22)*100),0,B21/SUM($B$20,$B$21,$B$22)*100)</f>
        <v>84.453919317809124</v>
      </c>
      <c r="D21" s="231"/>
      <c r="E21" s="15"/>
    </row>
    <row r="22" spans="1:7">
      <c r="A22" s="173" t="s">
        <v>75</v>
      </c>
      <c r="B22" s="37">
        <f>aantalw2001_hout</f>
        <v>278</v>
      </c>
      <c r="C22" s="169">
        <f>IF(ISERROR(B22/SUM($B$20,$B$21,$B$22)*100),0,B22/SUM($B$20,$B$21,$B$22)*100)</f>
        <v>9.1177435224663839</v>
      </c>
      <c r="D22" s="231"/>
      <c r="E22" s="15"/>
    </row>
    <row r="23" spans="1:7">
      <c r="A23" s="173" t="s">
        <v>76</v>
      </c>
      <c r="B23" s="37">
        <f>aantalw2001_niet_gespec</f>
        <v>715</v>
      </c>
      <c r="C23" s="168" t="s">
        <v>111</v>
      </c>
      <c r="D23" s="230"/>
      <c r="E23" s="15"/>
    </row>
    <row r="24" spans="1:7">
      <c r="A24" s="173" t="s">
        <v>77</v>
      </c>
      <c r="B24" s="37">
        <f>aantalw2001_steenkool</f>
        <v>618</v>
      </c>
      <c r="C24" s="168" t="s">
        <v>111</v>
      </c>
      <c r="D24" s="231"/>
      <c r="E24" s="15"/>
    </row>
    <row r="25" spans="1:7">
      <c r="A25" s="173" t="s">
        <v>78</v>
      </c>
      <c r="B25" s="37">
        <f>aantalw2001_stookolie</f>
        <v>6763</v>
      </c>
      <c r="C25" s="168" t="s">
        <v>111</v>
      </c>
      <c r="D25" s="230"/>
      <c r="E25" s="52"/>
    </row>
    <row r="26" spans="1:7">
      <c r="A26" s="173" t="s">
        <v>79</v>
      </c>
      <c r="B26" s="37">
        <f>aantalw2001_WP</f>
        <v>22</v>
      </c>
      <c r="C26" s="168" t="s">
        <v>111</v>
      </c>
      <c r="D26" s="230"/>
      <c r="E26" s="15"/>
    </row>
    <row r="27" spans="1:7" s="15" customFormat="1">
      <c r="A27" s="173"/>
      <c r="B27" s="29"/>
      <c r="C27" s="36"/>
      <c r="D27" s="230"/>
    </row>
    <row r="28" spans="1:7" s="15" customFormat="1">
      <c r="A28" s="232" t="s">
        <v>745</v>
      </c>
      <c r="B28" s="37">
        <f>aantalHuishoudens2011</f>
        <v>32652</v>
      </c>
      <c r="C28" s="36"/>
      <c r="D28" s="230"/>
    </row>
    <row r="29" spans="1:7" s="15" customFormat="1">
      <c r="A29" s="232" t="s">
        <v>746</v>
      </c>
      <c r="B29" s="37">
        <f>SUM(HH_hh_gas_aantal,HH_rest_gas_aantal)</f>
        <v>24887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24887</v>
      </c>
      <c r="C32" s="169">
        <f>IF(ISERROR(B32/SUM($B$32,$B$34,$B$35,$B$36,$B$38,$B$39)*100),0,B32/SUM($B$32,$B$34,$B$35,$B$36,$B$38,$B$39)*100)</f>
        <v>76.333466245437535</v>
      </c>
      <c r="D32" s="235"/>
      <c r="G32" s="15"/>
    </row>
    <row r="33" spans="1:7">
      <c r="A33" s="173" t="s">
        <v>72</v>
      </c>
      <c r="B33" s="34" t="s">
        <v>111</v>
      </c>
      <c r="C33" s="169"/>
      <c r="D33" s="235"/>
      <c r="G33" s="15"/>
    </row>
    <row r="34" spans="1:7">
      <c r="A34" s="173" t="s">
        <v>73</v>
      </c>
      <c r="B34" s="33">
        <f>IF((($B$28-$B$32-$B$39-$B$77-$B$38)*C20/100)&lt;0,0,($B$28-$B$32-$B$39-$B$77-$B$38)*C20/100)</f>
        <v>398.42833715972449</v>
      </c>
      <c r="C34" s="169">
        <f>IF(ISERROR(B34/SUM($B$32,$B$34,$B$35,$B$36,$B$38,$B$39)*100),0,B34/SUM($B$32,$B$34,$B$35,$B$36,$B$38,$B$39)*100)</f>
        <v>1.2220603538316244</v>
      </c>
      <c r="D34" s="235"/>
      <c r="G34" s="15"/>
    </row>
    <row r="35" spans="1:7">
      <c r="A35" s="173" t="s">
        <v>74</v>
      </c>
      <c r="B35" s="33">
        <f>IF((($B$28-$B$32-$B$39-$B$77-$B$38)*C21/100)&lt;0,0,($B$28-$B$32-$B$39-$B$77-$B$38)*C21/100)</f>
        <v>5234.4539193178098</v>
      </c>
      <c r="C35" s="169">
        <f>IF(ISERROR(B35/SUM($B$32,$B$34,$B$35,$B$36,$B$38,$B$39)*100),0,B35/SUM($B$32,$B$34,$B$35,$B$36,$B$38,$B$39)*100)</f>
        <v>16.055129648553233</v>
      </c>
      <c r="D35" s="235"/>
      <c r="G35" s="15"/>
    </row>
    <row r="36" spans="1:7">
      <c r="A36" s="173" t="s">
        <v>75</v>
      </c>
      <c r="B36" s="33">
        <f>IF((($B$28-$B$32-$B$39-$B$77-$B$38)*C22/100)&lt;0,0,($B$28-$B$32-$B$39-$B$77-$B$38)*C22/100)</f>
        <v>565.11774352246653</v>
      </c>
      <c r="C36" s="169">
        <f>IF(ISERROR(B36/SUM($B$32,$B$34,$B$35,$B$36,$B$38,$B$39)*100),0,B36/SUM($B$32,$B$34,$B$35,$B$36,$B$38,$B$39)*100)</f>
        <v>1.7333305018632228</v>
      </c>
      <c r="D36" s="235"/>
      <c r="G36" s="15"/>
    </row>
    <row r="37" spans="1:7">
      <c r="A37" s="173" t="s">
        <v>76</v>
      </c>
      <c r="B37" s="34" t="s">
        <v>111</v>
      </c>
      <c r="C37" s="169"/>
      <c r="D37" s="175"/>
      <c r="G37" s="15"/>
    </row>
    <row r="38" spans="1:7">
      <c r="A38" s="173" t="s">
        <v>77</v>
      </c>
      <c r="B38" s="33">
        <f>IF((B24-(B29-B18)*0.1)&lt;0,0,B24-(B29-B18)*0.1)</f>
        <v>31.699999999999932</v>
      </c>
      <c r="C38" s="169">
        <f>IF(ISERROR(B38/SUM($B$32,$B$34,$B$35,$B$36,$B$38,$B$39)*100),0,B38/SUM($B$32,$B$34,$B$35,$B$36,$B$38,$B$39)*100)</f>
        <v>9.7230316228567717E-2</v>
      </c>
      <c r="D38" s="236"/>
      <c r="G38" s="15"/>
    </row>
    <row r="39" spans="1:7">
      <c r="A39" s="173" t="s">
        <v>78</v>
      </c>
      <c r="B39" s="33">
        <f>IF((B25-(B29-B18))&lt;0,0,B25-(B29-B18)*0.9)</f>
        <v>1486.3000000000002</v>
      </c>
      <c r="C39" s="169">
        <f>IF(ISERROR(B39/SUM($B$32,$B$34,$B$35,$B$36,$B$38,$B$39)*100),0,B39/SUM($B$32,$B$34,$B$35,$B$36,$B$38,$B$39)*100)</f>
        <v>4.558782934085821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24887</v>
      </c>
      <c r="C44" s="34" t="s">
        <v>111</v>
      </c>
      <c r="D44" s="176"/>
    </row>
    <row r="45" spans="1:7">
      <c r="A45" s="173" t="s">
        <v>72</v>
      </c>
      <c r="B45" s="33" t="str">
        <f t="shared" si="0"/>
        <v>-</v>
      </c>
      <c r="C45" s="34" t="s">
        <v>111</v>
      </c>
      <c r="D45" s="176"/>
    </row>
    <row r="46" spans="1:7">
      <c r="A46" s="173" t="s">
        <v>73</v>
      </c>
      <c r="B46" s="33">
        <f t="shared" si="0"/>
        <v>398.42833715972449</v>
      </c>
      <c r="C46" s="34" t="s">
        <v>111</v>
      </c>
      <c r="D46" s="176"/>
    </row>
    <row r="47" spans="1:7">
      <c r="A47" s="173" t="s">
        <v>74</v>
      </c>
      <c r="B47" s="33">
        <f t="shared" si="0"/>
        <v>5234.4539193178098</v>
      </c>
      <c r="C47" s="34" t="s">
        <v>111</v>
      </c>
      <c r="D47" s="176"/>
    </row>
    <row r="48" spans="1:7">
      <c r="A48" s="173" t="s">
        <v>75</v>
      </c>
      <c r="B48" s="33">
        <f t="shared" si="0"/>
        <v>565.11774352246653</v>
      </c>
      <c r="C48" s="33">
        <f>B48*10</f>
        <v>5651.1774352246648</v>
      </c>
      <c r="D48" s="236"/>
    </row>
    <row r="49" spans="1:6">
      <c r="A49" s="173" t="s">
        <v>76</v>
      </c>
      <c r="B49" s="33" t="str">
        <f t="shared" si="0"/>
        <v>-</v>
      </c>
      <c r="C49" s="34" t="s">
        <v>111</v>
      </c>
      <c r="D49" s="236"/>
    </row>
    <row r="50" spans="1:6">
      <c r="A50" s="173" t="s">
        <v>77</v>
      </c>
      <c r="B50" s="33">
        <f t="shared" si="0"/>
        <v>31.699999999999932</v>
      </c>
      <c r="C50" s="33">
        <f>B50*2</f>
        <v>63.399999999999864</v>
      </c>
      <c r="D50" s="236"/>
    </row>
    <row r="51" spans="1:6">
      <c r="A51" s="173" t="s">
        <v>78</v>
      </c>
      <c r="B51" s="33">
        <f t="shared" si="0"/>
        <v>1486.3000000000002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181706.31087097086</v>
      </c>
      <c r="C5" s="17">
        <f>IF(ISERROR('Eigen informatie GS &amp; warmtenet'!B58),0,'Eigen informatie GS &amp; warmtenet'!B58)</f>
        <v>0</v>
      </c>
      <c r="D5" s="30">
        <f>SUM(D6:D12)</f>
        <v>227623.73480443691</v>
      </c>
      <c r="E5" s="17">
        <f>SUM(E6:E12)</f>
        <v>2176.1772351718528</v>
      </c>
      <c r="F5" s="17">
        <f>SUM(F6:F12)</f>
        <v>36146.665529761041</v>
      </c>
      <c r="G5" s="18"/>
      <c r="H5" s="17"/>
      <c r="I5" s="17"/>
      <c r="J5" s="17">
        <f>SUM(J6:J12)</f>
        <v>0</v>
      </c>
      <c r="K5" s="17"/>
      <c r="L5" s="17"/>
      <c r="M5" s="17"/>
      <c r="N5" s="17">
        <f>SUM(N6:N12)</f>
        <v>14227.928792307694</v>
      </c>
      <c r="O5" s="17">
        <f>B38*B39*B40</f>
        <v>9.3800000000000008</v>
      </c>
      <c r="P5" s="17">
        <f>B46*B47*B48/1000-B46*B47*B48/1000/B49</f>
        <v>114.4</v>
      </c>
      <c r="R5" s="32"/>
    </row>
    <row r="6" spans="1:18">
      <c r="A6" s="32" t="s">
        <v>54</v>
      </c>
      <c r="B6" s="37">
        <f>B26</f>
        <v>49832.479065624699</v>
      </c>
      <c r="C6" s="33"/>
      <c r="D6" s="37">
        <f>IF(ISERROR(TER_kantoor_gas_kWh/1000),0,TER_kantoor_gas_kWh/1000)*0.902</f>
        <v>64305.01032522579</v>
      </c>
      <c r="E6" s="33">
        <f>$C$26*'E Balans VL '!I12/100/3.6*1000000</f>
        <v>193.609731320473</v>
      </c>
      <c r="F6" s="33">
        <f>$C$26*('E Balans VL '!L12+'E Balans VL '!N12)/100/3.6*1000000</f>
        <v>7579.0666264733463</v>
      </c>
      <c r="G6" s="34"/>
      <c r="H6" s="33"/>
      <c r="I6" s="33"/>
      <c r="J6" s="33">
        <f>$C$26*('E Balans VL '!D12+'E Balans VL '!E12)/100/3.6*1000000</f>
        <v>0</v>
      </c>
      <c r="K6" s="33"/>
      <c r="L6" s="33"/>
      <c r="M6" s="33"/>
      <c r="N6" s="33">
        <f>$C$26*'E Balans VL '!Y12/100/3.6*1000000</f>
        <v>27.463665749133735</v>
      </c>
      <c r="O6" s="33"/>
      <c r="P6" s="33"/>
      <c r="R6" s="32"/>
    </row>
    <row r="7" spans="1:18">
      <c r="A7" s="32" t="s">
        <v>53</v>
      </c>
      <c r="B7" s="37">
        <f t="shared" ref="B7:B12" si="0">B27</f>
        <v>18165.142109582099</v>
      </c>
      <c r="C7" s="33"/>
      <c r="D7" s="37">
        <f>IF(ISERROR(TER_horeca_gas_kWh/1000),0,TER_horeca_gas_kWh/1000)*0.902</f>
        <v>26385.547174172167</v>
      </c>
      <c r="E7" s="33">
        <f>$C$27*'E Balans VL '!I9/100/3.6*1000000</f>
        <v>1023.2473115871137</v>
      </c>
      <c r="F7" s="33">
        <f>$C$27*('E Balans VL '!L9+'E Balans VL '!N9)/100/3.6*1000000</f>
        <v>5237.7394595461055</v>
      </c>
      <c r="G7" s="34"/>
      <c r="H7" s="33"/>
      <c r="I7" s="33"/>
      <c r="J7" s="33">
        <f>$C$27*('E Balans VL '!D9+'E Balans VL '!E9)/100/3.6*1000000</f>
        <v>0</v>
      </c>
      <c r="K7" s="33"/>
      <c r="L7" s="33"/>
      <c r="M7" s="33"/>
      <c r="N7" s="33">
        <f>$C$27*'E Balans VL '!Y9/100/3.6*1000000</f>
        <v>5.015301341495884</v>
      </c>
      <c r="O7" s="33"/>
      <c r="P7" s="33"/>
      <c r="R7" s="32"/>
    </row>
    <row r="8" spans="1:18">
      <c r="A8" s="6" t="s">
        <v>52</v>
      </c>
      <c r="B8" s="37">
        <f t="shared" si="0"/>
        <v>45626.228635056301</v>
      </c>
      <c r="C8" s="33"/>
      <c r="D8" s="37">
        <f>IF(ISERROR(TER_handel_gas_kWh/1000),0,TER_handel_gas_kWh/1000)*0.902</f>
        <v>31997.23493046264</v>
      </c>
      <c r="E8" s="33">
        <f>$C$28*'E Balans VL '!I13/100/3.6*1000000</f>
        <v>657.62874902664282</v>
      </c>
      <c r="F8" s="33">
        <f>$C$28*('E Balans VL '!L13+'E Balans VL '!N13)/100/3.6*1000000</f>
        <v>7926.3384770736475</v>
      </c>
      <c r="G8" s="34"/>
      <c r="H8" s="33"/>
      <c r="I8" s="33"/>
      <c r="J8" s="33">
        <f>$C$28*('E Balans VL '!D13+'E Balans VL '!E13)/100/3.6*1000000</f>
        <v>0</v>
      </c>
      <c r="K8" s="33"/>
      <c r="L8" s="33"/>
      <c r="M8" s="33"/>
      <c r="N8" s="33">
        <f>$C$28*'E Balans VL '!Y13/100/3.6*1000000</f>
        <v>136.70126020703296</v>
      </c>
      <c r="O8" s="33"/>
      <c r="P8" s="33"/>
      <c r="R8" s="32"/>
    </row>
    <row r="9" spans="1:18">
      <c r="A9" s="32" t="s">
        <v>51</v>
      </c>
      <c r="B9" s="37">
        <f t="shared" si="0"/>
        <v>28046.429579051302</v>
      </c>
      <c r="C9" s="33"/>
      <c r="D9" s="37">
        <f>IF(ISERROR(TER_gezond_gas_kWh/1000),0,TER_gezond_gas_kWh/1000)*0.902</f>
        <v>35460.982045292425</v>
      </c>
      <c r="E9" s="33">
        <f>$C$29*'E Balans VL '!I10/100/3.6*1000000</f>
        <v>29.960856158014622</v>
      </c>
      <c r="F9" s="33">
        <f>$C$29*('E Balans VL '!L10+'E Balans VL '!N10)/100/3.6*1000000</f>
        <v>4575.2250273233003</v>
      </c>
      <c r="G9" s="34"/>
      <c r="H9" s="33"/>
      <c r="I9" s="33"/>
      <c r="J9" s="33">
        <f>$C$29*('E Balans VL '!D10+'E Balans VL '!E10)/100/3.6*1000000</f>
        <v>0</v>
      </c>
      <c r="K9" s="33"/>
      <c r="L9" s="33"/>
      <c r="M9" s="33"/>
      <c r="N9" s="33">
        <f>$C$29*'E Balans VL '!Y10/100/3.6*1000000</f>
        <v>288.72198954287956</v>
      </c>
      <c r="O9" s="33"/>
      <c r="P9" s="33"/>
      <c r="R9" s="32"/>
    </row>
    <row r="10" spans="1:18">
      <c r="A10" s="32" t="s">
        <v>50</v>
      </c>
      <c r="B10" s="37">
        <f t="shared" si="0"/>
        <v>18069.725508283602</v>
      </c>
      <c r="C10" s="33"/>
      <c r="D10" s="37">
        <f>IF(ISERROR(TER_ander_gas_kWh/1000),0,TER_ander_gas_kWh/1000)*0.902</f>
        <v>28172.368634029131</v>
      </c>
      <c r="E10" s="33">
        <f>$C$30*'E Balans VL '!I14/100/3.6*1000000</f>
        <v>83.099919003307207</v>
      </c>
      <c r="F10" s="33">
        <f>$C$30*('E Balans VL '!L14+'E Balans VL '!N14)/100/3.6*1000000</f>
        <v>5416.066705203094</v>
      </c>
      <c r="G10" s="34"/>
      <c r="H10" s="33"/>
      <c r="I10" s="33"/>
      <c r="J10" s="33">
        <f>$C$30*('E Balans VL '!D14+'E Balans VL '!E14)/100/3.6*1000000</f>
        <v>0</v>
      </c>
      <c r="K10" s="33"/>
      <c r="L10" s="33"/>
      <c r="M10" s="33"/>
      <c r="N10" s="33">
        <f>$C$30*'E Balans VL '!Y14/100/3.6*1000000</f>
        <v>12577.721750236127</v>
      </c>
      <c r="O10" s="33"/>
      <c r="P10" s="33"/>
      <c r="R10" s="32"/>
    </row>
    <row r="11" spans="1:18">
      <c r="A11" s="32" t="s">
        <v>55</v>
      </c>
      <c r="B11" s="37">
        <f t="shared" si="0"/>
        <v>6946.1343139706996</v>
      </c>
      <c r="C11" s="33"/>
      <c r="D11" s="37">
        <f>IF(ISERROR(TER_onderwijs_gas_kWh/1000),0,TER_onderwijs_gas_kWh/1000)*0.902</f>
        <v>16526.534157036931</v>
      </c>
      <c r="E11" s="33">
        <f>$C$31*'E Balans VL '!I11/100/3.6*1000000</f>
        <v>6.4434530538448307</v>
      </c>
      <c r="F11" s="33">
        <f>$C$31*('E Balans VL '!L11+'E Balans VL '!N11)/100/3.6*1000000</f>
        <v>2440.0173390786008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15020.171659402198</v>
      </c>
      <c r="C12" s="33"/>
      <c r="D12" s="37">
        <f>IF(ISERROR(TER_rest_gas_kWh/1000),0,TER_rest_gas_kWh/1000)*0.902</f>
        <v>24776.057538217861</v>
      </c>
      <c r="E12" s="33">
        <f>$C$32*'E Balans VL '!I8/100/3.6*1000000</f>
        <v>182.18721502245668</v>
      </c>
      <c r="F12" s="33">
        <f>$C$32*('E Balans VL '!L8+'E Balans VL '!N8)/100/3.6*1000000</f>
        <v>2972.2118950629447</v>
      </c>
      <c r="G12" s="34"/>
      <c r="H12" s="33"/>
      <c r="I12" s="33"/>
      <c r="J12" s="33">
        <f>$C$32*('E Balans VL '!D8+'E Balans VL '!E8)/100/3.6*1000000</f>
        <v>0</v>
      </c>
      <c r="K12" s="33"/>
      <c r="L12" s="33"/>
      <c r="M12" s="33"/>
      <c r="N12" s="33">
        <f>$C$32*'E Balans VL '!Y8/100/3.6*1000000</f>
        <v>1192.3048252310236</v>
      </c>
      <c r="O12" s="33"/>
      <c r="P12" s="33"/>
      <c r="R12" s="32"/>
    </row>
    <row r="13" spans="1:18">
      <c r="A13" s="16" t="s">
        <v>497</v>
      </c>
      <c r="B13" s="249">
        <f ca="1">'lokale energieproductie'!N90+'lokale energieproductie'!N59</f>
        <v>641.25</v>
      </c>
      <c r="C13" s="249">
        <f ca="1">'lokale energieproductie'!O90+'lokale energieproductie'!O59</f>
        <v>916.07142857142856</v>
      </c>
      <c r="D13" s="312">
        <f ca="1">('lokale energieproductie'!P59+'lokale energieproductie'!P90)*(-1)</f>
        <v>-1832.1428571428573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182347.56087097086</v>
      </c>
      <c r="C16" s="21">
        <f t="shared" ca="1" si="1"/>
        <v>916.07142857142856</v>
      </c>
      <c r="D16" s="21">
        <f t="shared" ca="1" si="1"/>
        <v>225791.59194729404</v>
      </c>
      <c r="E16" s="21">
        <f t="shared" si="1"/>
        <v>2176.1772351718528</v>
      </c>
      <c r="F16" s="21">
        <f t="shared" ca="1" si="1"/>
        <v>36146.665529761041</v>
      </c>
      <c r="G16" s="21">
        <f t="shared" si="1"/>
        <v>0</v>
      </c>
      <c r="H16" s="21">
        <f t="shared" si="1"/>
        <v>0</v>
      </c>
      <c r="I16" s="21">
        <f t="shared" si="1"/>
        <v>0</v>
      </c>
      <c r="J16" s="21">
        <f t="shared" si="1"/>
        <v>0</v>
      </c>
      <c r="K16" s="21">
        <f t="shared" si="1"/>
        <v>0</v>
      </c>
      <c r="L16" s="21">
        <f t="shared" ca="1" si="1"/>
        <v>0</v>
      </c>
      <c r="M16" s="21">
        <f t="shared" si="1"/>
        <v>0</v>
      </c>
      <c r="N16" s="21">
        <f t="shared" ca="1" si="1"/>
        <v>14227.928792307694</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0.20590390544148574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37546.07493106195</v>
      </c>
      <c r="C20" s="23">
        <f t="shared" ref="C20:P20" ca="1" si="2">C16*C18</f>
        <v>217.70168067226894</v>
      </c>
      <c r="D20" s="23">
        <f t="shared" ca="1" si="2"/>
        <v>45609.901573353403</v>
      </c>
      <c r="E20" s="23">
        <f t="shared" si="2"/>
        <v>493.99223238401061</v>
      </c>
      <c r="F20" s="23">
        <f t="shared" ca="1" si="2"/>
        <v>9651.1596964461987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49832.479065624699</v>
      </c>
      <c r="C26" s="39">
        <f>IF(ISERROR(B26*3.6/1000000/'E Balans VL '!Z12*100),0,B26*3.6/1000000/'E Balans VL '!Z12*100)</f>
        <v>1.0584665391551473</v>
      </c>
      <c r="D26" s="239" t="s">
        <v>692</v>
      </c>
      <c r="F26" s="6"/>
    </row>
    <row r="27" spans="1:18">
      <c r="A27" s="233" t="s">
        <v>53</v>
      </c>
      <c r="B27" s="33">
        <f>IF(ISERROR(TER_horeca_ele_kWh/1000),0,TER_horeca_ele_kWh/1000)</f>
        <v>18165.142109582099</v>
      </c>
      <c r="C27" s="39">
        <f>IF(ISERROR(B27*3.6/1000000/'E Balans VL '!Z9*100),0,B27*3.6/1000000/'E Balans VL '!Z9*100)</f>
        <v>1.4124504261577095</v>
      </c>
      <c r="D27" s="239" t="s">
        <v>692</v>
      </c>
      <c r="F27" s="6"/>
    </row>
    <row r="28" spans="1:18">
      <c r="A28" s="173" t="s">
        <v>52</v>
      </c>
      <c r="B28" s="33">
        <f>IF(ISERROR(TER_handel_ele_kWh/1000),0,TER_handel_ele_kWh/1000)</f>
        <v>45626.228635056301</v>
      </c>
      <c r="C28" s="39">
        <f>IF(ISERROR(B28*3.6/1000000/'E Balans VL '!Z13*100),0,B28*3.6/1000000/'E Balans VL '!Z13*100)</f>
        <v>1.3054200979485104</v>
      </c>
      <c r="D28" s="239" t="s">
        <v>692</v>
      </c>
      <c r="F28" s="6"/>
    </row>
    <row r="29" spans="1:18">
      <c r="A29" s="233" t="s">
        <v>51</v>
      </c>
      <c r="B29" s="33">
        <f>IF(ISERROR(TER_gezond_ele_kWh/1000),0,TER_gezond_ele_kWh/1000)</f>
        <v>28046.429579051302</v>
      </c>
      <c r="C29" s="39">
        <f>IF(ISERROR(B29*3.6/1000000/'E Balans VL '!Z10*100),0,B29*3.6/1000000/'E Balans VL '!Z10*100)</f>
        <v>3.0577125449779365</v>
      </c>
      <c r="D29" s="239" t="s">
        <v>692</v>
      </c>
      <c r="F29" s="6"/>
    </row>
    <row r="30" spans="1:18">
      <c r="A30" s="233" t="s">
        <v>50</v>
      </c>
      <c r="B30" s="33">
        <f>IF(ISERROR(TER_ander_ele_kWh/1000),0,TER_ander_ele_kWh/1000)</f>
        <v>18069.725508283602</v>
      </c>
      <c r="C30" s="39">
        <f>IF(ISERROR(B30*3.6/1000000/'E Balans VL '!Z14*100),0,B30*3.6/1000000/'E Balans VL '!Z14*100)</f>
        <v>1.3223015224955694</v>
      </c>
      <c r="D30" s="239" t="s">
        <v>692</v>
      </c>
      <c r="F30" s="6"/>
    </row>
    <row r="31" spans="1:18">
      <c r="A31" s="233" t="s">
        <v>55</v>
      </c>
      <c r="B31" s="33">
        <f>IF(ISERROR(TER_onderwijs_ele_kWh/1000),0,TER_onderwijs_ele_kWh/1000)</f>
        <v>6946.1343139706996</v>
      </c>
      <c r="C31" s="39">
        <f>IF(ISERROR(B31*3.6/1000000/'E Balans VL '!Z11*100),0,B31*3.6/1000000/'E Balans VL '!Z11*100)</f>
        <v>1.3951362350181236</v>
      </c>
      <c r="D31" s="239" t="s">
        <v>692</v>
      </c>
    </row>
    <row r="32" spans="1:18">
      <c r="A32" s="233" t="s">
        <v>260</v>
      </c>
      <c r="B32" s="33">
        <f>IF(ISERROR(TER_rest_ele_kWh/1000),0,TER_rest_ele_kWh/1000)</f>
        <v>15020.171659402198</v>
      </c>
      <c r="C32" s="39">
        <f>IF(ISERROR(B32*3.6/1000000/'E Balans VL '!Z8*100),0,B32*3.6/1000000/'E Balans VL '!Z8*100)</f>
        <v>0.12240528374508777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110645.1962711403</v>
      </c>
      <c r="C5" s="17">
        <f>IF(ISERROR('Eigen informatie GS &amp; warmtenet'!B59),0,'Eigen informatie GS &amp; warmtenet'!B59)</f>
        <v>0</v>
      </c>
      <c r="D5" s="30">
        <f>SUM(D6:D15)</f>
        <v>172008.17314977638</v>
      </c>
      <c r="E5" s="17">
        <f>SUM(E6:E15)</f>
        <v>8618.0512881426494</v>
      </c>
      <c r="F5" s="17">
        <f>SUM(F6:F15)</f>
        <v>40544.063914110651</v>
      </c>
      <c r="G5" s="18"/>
      <c r="H5" s="17"/>
      <c r="I5" s="17"/>
      <c r="J5" s="17">
        <f>SUM(J6:J15)</f>
        <v>166.53195200742917</v>
      </c>
      <c r="K5" s="17"/>
      <c r="L5" s="17"/>
      <c r="M5" s="17"/>
      <c r="N5" s="17">
        <f>SUM(N6:N15)</f>
        <v>42846.872498825513</v>
      </c>
      <c r="O5" s="17">
        <f>B43*B44*B45</f>
        <v>0</v>
      </c>
      <c r="P5" s="17">
        <f>B51*B52*B53/1000-B51*B52*B53/1000/B54</f>
        <v>0</v>
      </c>
      <c r="R5" s="32"/>
    </row>
    <row r="6" spans="1:18">
      <c r="A6" s="6" t="s">
        <v>35</v>
      </c>
      <c r="B6" s="37">
        <f>IF( ISERROR(IND_ijzer_ele_kWh/1000),0,IND_ijzer_ele_kWh/1000)</f>
        <v>193.71470609580999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38.234068586366796</v>
      </c>
      <c r="C7" s="33"/>
      <c r="D7" s="37">
        <f>IF( ISERROR(IND_nonf_gas_kWhh/1000),0,IND_nonf_gas_kWh/1000)*0.902</f>
        <v>0</v>
      </c>
      <c r="E7" s="33">
        <f>C29*'E Balans VL '!I17/100/3.6*1000000</f>
        <v>9.0369668896022604E-3</v>
      </c>
      <c r="F7" s="33">
        <f>C29*'E Balans VL '!L17/100/3.6*1000000+C29*'E Balans VL '!N17/100/3.6*1000000</f>
        <v>8.6878673999348166</v>
      </c>
      <c r="G7" s="34"/>
      <c r="H7" s="33"/>
      <c r="I7" s="33"/>
      <c r="J7" s="40">
        <f>C29*'E Balans VL '!D17/100/3.6*1000000+C29*'E Balans VL '!E17/100/3.6*1000000</f>
        <v>12.191889531767886</v>
      </c>
      <c r="K7" s="33"/>
      <c r="L7" s="33"/>
      <c r="M7" s="33"/>
      <c r="N7" s="33">
        <f>C29*'E Balans VL '!Y17/100/3.6*1000000</f>
        <v>0</v>
      </c>
      <c r="O7" s="33"/>
      <c r="P7" s="33"/>
      <c r="R7" s="32"/>
    </row>
    <row r="8" spans="1:18">
      <c r="A8" s="6" t="s">
        <v>36</v>
      </c>
      <c r="B8" s="37">
        <f t="shared" si="0"/>
        <v>12565.5235919553</v>
      </c>
      <c r="C8" s="33"/>
      <c r="D8" s="37">
        <f>IF( ISERROR(IND_metaal_Gas_kWH/1000),0,IND_metaal_Gas_kWH/1000)*0.902</f>
        <v>1485.6771488299555</v>
      </c>
      <c r="E8" s="33">
        <f>C30*'E Balans VL '!I18/100/3.6*1000000</f>
        <v>360.92900275036305</v>
      </c>
      <c r="F8" s="33">
        <f>C30*'E Balans VL '!L18/100/3.6*1000000+C30*'E Balans VL '!N18/100/3.6*1000000</f>
        <v>3222.815131587191</v>
      </c>
      <c r="G8" s="34"/>
      <c r="H8" s="33"/>
      <c r="I8" s="33"/>
      <c r="J8" s="40">
        <f>C30*'E Balans VL '!D18/100/3.6*1000000+C30*'E Balans VL '!E18/100/3.6*1000000</f>
        <v>0</v>
      </c>
      <c r="K8" s="33"/>
      <c r="L8" s="33"/>
      <c r="M8" s="33"/>
      <c r="N8" s="33">
        <f>C30*'E Balans VL '!Y18/100/3.6*1000000</f>
        <v>341.17961538925238</v>
      </c>
      <c r="O8" s="33"/>
      <c r="P8" s="33"/>
      <c r="R8" s="32"/>
    </row>
    <row r="9" spans="1:18">
      <c r="A9" s="6" t="s">
        <v>33</v>
      </c>
      <c r="B9" s="37">
        <f t="shared" si="0"/>
        <v>15270.479122361399</v>
      </c>
      <c r="C9" s="33"/>
      <c r="D9" s="37">
        <f>IF( ISERROR(IND_andere_gas_kWh/1000),0,IND_andere_gas_kWh/1000)*0.902</f>
        <v>10026.93456572481</v>
      </c>
      <c r="E9" s="33">
        <f>C31*'E Balans VL '!I19/100/3.6*1000000</f>
        <v>4133.3432425354222</v>
      </c>
      <c r="F9" s="33">
        <f>C31*'E Balans VL '!L19/100/3.6*1000000+C31*'E Balans VL '!N19/100/3.6*1000000</f>
        <v>10171.755049740927</v>
      </c>
      <c r="G9" s="34"/>
      <c r="H9" s="33"/>
      <c r="I9" s="33"/>
      <c r="J9" s="40">
        <f>C31*'E Balans VL '!D19/100/3.6*1000000+C31*'E Balans VL '!E19/100/3.6*1000000</f>
        <v>0</v>
      </c>
      <c r="K9" s="33"/>
      <c r="L9" s="33"/>
      <c r="M9" s="33"/>
      <c r="N9" s="33">
        <f>C31*'E Balans VL '!Y19/100/3.6*1000000</f>
        <v>4985.557769076313</v>
      </c>
      <c r="O9" s="33"/>
      <c r="P9" s="33"/>
      <c r="R9" s="32"/>
    </row>
    <row r="10" spans="1:18">
      <c r="A10" s="6" t="s">
        <v>41</v>
      </c>
      <c r="B10" s="37">
        <f t="shared" si="0"/>
        <v>8088.7467201889503</v>
      </c>
      <c r="C10" s="33"/>
      <c r="D10" s="37">
        <f>IF( ISERROR(IND_voed_gas_kWh/1000),0,IND_voed_gas_kWh/1000)*0.902</f>
        <v>13681.014586639656</v>
      </c>
      <c r="E10" s="33">
        <f>C32*'E Balans VL '!I20/100/3.6*1000000</f>
        <v>659.73676591063486</v>
      </c>
      <c r="F10" s="33">
        <f>C32*'E Balans VL '!L20/100/3.6*1000000+C32*'E Balans VL '!N20/100/3.6*1000000</f>
        <v>12061.05523520729</v>
      </c>
      <c r="G10" s="34"/>
      <c r="H10" s="33"/>
      <c r="I10" s="33"/>
      <c r="J10" s="40">
        <f>C32*'E Balans VL '!D20/100/3.6*1000000+C32*'E Balans VL '!E20/100/3.6*1000000</f>
        <v>0.10700430068672873</v>
      </c>
      <c r="K10" s="33"/>
      <c r="L10" s="33"/>
      <c r="M10" s="33"/>
      <c r="N10" s="33">
        <f>C32*'E Balans VL '!Y20/100/3.6*1000000</f>
        <v>2376.1883652961042</v>
      </c>
      <c r="O10" s="33"/>
      <c r="P10" s="33"/>
      <c r="R10" s="32"/>
    </row>
    <row r="11" spans="1:18">
      <c r="A11" s="6" t="s">
        <v>40</v>
      </c>
      <c r="B11" s="37">
        <f t="shared" si="0"/>
        <v>3472.8577179424101</v>
      </c>
      <c r="C11" s="33"/>
      <c r="D11" s="37">
        <f>IF( ISERROR(IND_textiel_gas_kWh/1000),0,IND_textiel_gas_kWh/1000)*0.902</f>
        <v>846.76211120732751</v>
      </c>
      <c r="E11" s="33">
        <f>C33*'E Balans VL '!I21/100/3.6*1000000</f>
        <v>0.68839145335708674</v>
      </c>
      <c r="F11" s="33">
        <f>C33*'E Balans VL '!L21/100/3.6*1000000+C33*'E Balans VL '!N21/100/3.6*1000000</f>
        <v>127.90953976803152</v>
      </c>
      <c r="G11" s="34"/>
      <c r="H11" s="33"/>
      <c r="I11" s="33"/>
      <c r="J11" s="40">
        <f>C33*'E Balans VL '!D21/100/3.6*1000000+C33*'E Balans VL '!E21/100/3.6*1000000</f>
        <v>0</v>
      </c>
      <c r="K11" s="33"/>
      <c r="L11" s="33"/>
      <c r="M11" s="33"/>
      <c r="N11" s="33">
        <f>C33*'E Balans VL '!Y21/100/3.6*1000000</f>
        <v>16.147911693816692</v>
      </c>
      <c r="O11" s="33"/>
      <c r="P11" s="33"/>
      <c r="R11" s="32"/>
    </row>
    <row r="12" spans="1:18">
      <c r="A12" s="6" t="s">
        <v>37</v>
      </c>
      <c r="B12" s="37">
        <f t="shared" si="0"/>
        <v>73.026904809863311</v>
      </c>
      <c r="C12" s="33"/>
      <c r="D12" s="37">
        <f>IF( ISERROR(IND_min_gas_kWh/1000),0,IND_min_gas_kWh/1000)*0.902</f>
        <v>362.59178447746154</v>
      </c>
      <c r="E12" s="33">
        <f>C34*'E Balans VL '!I22/100/3.6*1000000</f>
        <v>0.56886367658357517</v>
      </c>
      <c r="F12" s="33">
        <f>C34*'E Balans VL '!L22/100/3.6*1000000+C34*'E Balans VL '!N22/100/3.6*1000000</f>
        <v>27.541260853917269</v>
      </c>
      <c r="G12" s="34"/>
      <c r="H12" s="33"/>
      <c r="I12" s="33"/>
      <c r="J12" s="40">
        <f>C34*'E Balans VL '!D22/100/3.6*1000000+C34*'E Balans VL '!E22/100/3.6*1000000</f>
        <v>0.40164159149817913</v>
      </c>
      <c r="K12" s="33"/>
      <c r="L12" s="33"/>
      <c r="M12" s="33"/>
      <c r="N12" s="33">
        <f>C34*'E Balans VL '!Y22/100/3.6*1000000</f>
        <v>0</v>
      </c>
      <c r="O12" s="33"/>
      <c r="P12" s="33"/>
      <c r="R12" s="32"/>
    </row>
    <row r="13" spans="1:18">
      <c r="A13" s="6" t="s">
        <v>39</v>
      </c>
      <c r="B13" s="37">
        <f t="shared" si="0"/>
        <v>10924.0249722429</v>
      </c>
      <c r="C13" s="33"/>
      <c r="D13" s="37">
        <f>IF( ISERROR(IND_papier_gas_kWh/1000),0,IND_papier_gas_kWh/1000)*0.902</f>
        <v>11473.556945548276</v>
      </c>
      <c r="E13" s="33">
        <f>C35*'E Balans VL '!I23/100/3.6*1000000</f>
        <v>114.44906272900305</v>
      </c>
      <c r="F13" s="33">
        <f>C35*'E Balans VL '!L23/100/3.6*1000000+C35*'E Balans VL '!N23/100/3.6*1000000</f>
        <v>815.15267966885585</v>
      </c>
      <c r="G13" s="34"/>
      <c r="H13" s="33"/>
      <c r="I13" s="33"/>
      <c r="J13" s="40">
        <f>C35*'E Balans VL '!D23/100/3.6*1000000+C35*'E Balans VL '!E23/100/3.6*1000000</f>
        <v>0</v>
      </c>
      <c r="K13" s="33"/>
      <c r="L13" s="33"/>
      <c r="M13" s="33"/>
      <c r="N13" s="33">
        <f>C35*'E Balans VL '!Y23/100/3.6*1000000</f>
        <v>23348.963163086835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60018.588466957299</v>
      </c>
      <c r="C15" s="33"/>
      <c r="D15" s="37">
        <f>IF( ISERROR(IND_rest_gas_kWh/1000),0,IND_rest_gas_kWh/1000)*0.902</f>
        <v>134131.63600734889</v>
      </c>
      <c r="E15" s="33">
        <f>C37*'E Balans VL '!I15/100/3.6*1000000</f>
        <v>3348.326922120395</v>
      </c>
      <c r="F15" s="33">
        <f>C37*'E Balans VL '!L15/100/3.6*1000000+C37*'E Balans VL '!N15/100/3.6*1000000</f>
        <v>14109.147149884502</v>
      </c>
      <c r="G15" s="34"/>
      <c r="H15" s="33"/>
      <c r="I15" s="33"/>
      <c r="J15" s="40">
        <f>C37*'E Balans VL '!D15/100/3.6*1000000+C37*'E Balans VL '!E15/100/3.6*1000000</f>
        <v>153.83141658347637</v>
      </c>
      <c r="K15" s="33"/>
      <c r="L15" s="33"/>
      <c r="M15" s="33"/>
      <c r="N15" s="33">
        <f>C37*'E Balans VL '!Y15/100/3.6*1000000</f>
        <v>11778.835674283197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110645.1962711403</v>
      </c>
      <c r="C18" s="21">
        <f>C5+C16</f>
        <v>0</v>
      </c>
      <c r="D18" s="21">
        <f>MAX((D5+D16),0)</f>
        <v>172008.17314977638</v>
      </c>
      <c r="E18" s="21">
        <f>MAX((E5+E16),0)</f>
        <v>8618.0512881426494</v>
      </c>
      <c r="F18" s="21">
        <f>MAX((F5+F16),0)</f>
        <v>40544.063914110651</v>
      </c>
      <c r="G18" s="21"/>
      <c r="H18" s="21"/>
      <c r="I18" s="21"/>
      <c r="J18" s="21">
        <f>MAX((J5+J16),0)</f>
        <v>166.53195200742917</v>
      </c>
      <c r="K18" s="21"/>
      <c r="L18" s="21">
        <f>MAX((L5+L16),0)</f>
        <v>0</v>
      </c>
      <c r="M18" s="21"/>
      <c r="N18" s="21">
        <f>MAX((N5+N16),0)</f>
        <v>42846.872498825513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0.20590390544148574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22782.278030567504</v>
      </c>
      <c r="C22" s="23">
        <f ca="1">C18*C20</f>
        <v>0</v>
      </c>
      <c r="D22" s="23">
        <f>D18*D20</f>
        <v>34745.65097625483</v>
      </c>
      <c r="E22" s="23">
        <f>E18*E20</f>
        <v>1956.2976424083815</v>
      </c>
      <c r="F22" s="23">
        <f>F18*F20</f>
        <v>10825.265065067544</v>
      </c>
      <c r="G22" s="23"/>
      <c r="H22" s="23"/>
      <c r="I22" s="23"/>
      <c r="J22" s="23">
        <f>J18*J20</f>
        <v>58.95231101062992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38.234068586366796</v>
      </c>
      <c r="C29" s="39">
        <f>IF(ISERROR(B29*3.6/1000000/'E Balans VL '!Z17*100),0,B29*3.6/1000000/'E Balans VL '!Z17*100)</f>
        <v>4.1552128636794465E-2</v>
      </c>
      <c r="D29" s="239" t="s">
        <v>692</v>
      </c>
    </row>
    <row r="30" spans="1:18">
      <c r="A30" s="173" t="s">
        <v>36</v>
      </c>
      <c r="B30" s="37">
        <f>IF( ISERROR(IND_metaal_ele_kWh/1000),0,IND_metaal_ele_kWh/1000)</f>
        <v>12565.5235919553</v>
      </c>
      <c r="C30" s="39">
        <f>IF(ISERROR(B30*3.6/1000000/'E Balans VL '!Z18*100),0,B30*3.6/1000000/'E Balans VL '!Z18*100)</f>
        <v>1.2364154450836078</v>
      </c>
      <c r="D30" s="239" t="s">
        <v>692</v>
      </c>
    </row>
    <row r="31" spans="1:18">
      <c r="A31" s="6" t="s">
        <v>33</v>
      </c>
      <c r="B31" s="37">
        <f>IF( ISERROR(IND_ander_ele_kWh/1000),0,IND_ander_ele_kWh/1000)</f>
        <v>15270.479122361399</v>
      </c>
      <c r="C31" s="39">
        <f>IF(ISERROR(B31*3.6/1000000/'E Balans VL '!Z19*100),0,B31*3.6/1000000/'E Balans VL '!Z19*100)</f>
        <v>0.66501718463763515</v>
      </c>
      <c r="D31" s="239" t="s">
        <v>692</v>
      </c>
    </row>
    <row r="32" spans="1:18">
      <c r="A32" s="173" t="s">
        <v>41</v>
      </c>
      <c r="B32" s="37">
        <f>IF( ISERROR(IND_voed_ele_kWh/1000),0,IND_voed_ele_kWh/1000)</f>
        <v>8088.7467201889503</v>
      </c>
      <c r="C32" s="39">
        <f>IF(ISERROR(B32*3.6/1000000/'E Balans VL '!Z20*100),0,B32*3.6/1000000/'E Balans VL '!Z20*100)</f>
        <v>1.5347230377378815</v>
      </c>
      <c r="D32" s="239" t="s">
        <v>692</v>
      </c>
    </row>
    <row r="33" spans="1:5">
      <c r="A33" s="173" t="s">
        <v>40</v>
      </c>
      <c r="B33" s="37">
        <f>IF( ISERROR(IND_textiel_ele_kWh/1000),0,IND_textiel_ele_kWh/1000)</f>
        <v>3472.8577179424101</v>
      </c>
      <c r="C33" s="39">
        <f>IF(ISERROR(B33*3.6/1000000/'E Balans VL '!Z21*100),0,B33*3.6/1000000/'E Balans VL '!Z21*100)</f>
        <v>0.19828256394617674</v>
      </c>
      <c r="D33" s="239" t="s">
        <v>692</v>
      </c>
    </row>
    <row r="34" spans="1:5">
      <c r="A34" s="173" t="s">
        <v>37</v>
      </c>
      <c r="B34" s="37">
        <f>IF( ISERROR(IND_min_ele_kWh/1000),0,IND_min_ele_kWh/1000)</f>
        <v>73.026904809863311</v>
      </c>
      <c r="C34" s="39">
        <f>IF(ISERROR(B34*3.6/1000000/'E Balans VL '!Z22*100),0,B34*3.6/1000000/'E Balans VL '!Z22*100)</f>
        <v>1.0268316129587776E-2</v>
      </c>
      <c r="D34" s="239" t="s">
        <v>692</v>
      </c>
    </row>
    <row r="35" spans="1:5">
      <c r="A35" s="173" t="s">
        <v>39</v>
      </c>
      <c r="B35" s="37">
        <f>IF( ISERROR(IND_papier_ele_kWh/1000),0,IND_papier_ele_kWh/1000)</f>
        <v>10924.0249722429</v>
      </c>
      <c r="C35" s="39">
        <f>IF(ISERROR(B35*3.6/1000000/'E Balans VL '!Z22*100),0,B35*3.6/1000000/'E Balans VL '!Z22*100)</f>
        <v>1.5360276067369503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60018.588466957299</v>
      </c>
      <c r="C37" s="39">
        <f>IF(ISERROR(B37*3.6/1000000/'E Balans VL '!Z15*100),0,B37*3.6/1000000/'E Balans VL '!Z15*100)</f>
        <v>0.46251694215993217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2773.2729691383697</v>
      </c>
      <c r="C5" s="17">
        <f>'Eigen informatie GS &amp; warmtenet'!B60</f>
        <v>0</v>
      </c>
      <c r="D5" s="30">
        <f>IF(ISERROR(SUM(LB_lb_gas_kWh,LB_rest_gas_kWh,onbekend_gas_kWh)/1000),0,SUM(LB_lb_gas_kWh,LB_rest_gas_kWh,onbekend_gas_kWh)/1000)*0.902</f>
        <v>40802.973755393439</v>
      </c>
      <c r="E5" s="17">
        <f>B17*'E Balans VL '!I25/3.6*1000000/100</f>
        <v>34.946812113131536</v>
      </c>
      <c r="F5" s="17">
        <f>B17*('E Balans VL '!L25/3.6*1000000+'E Balans VL '!N25/3.6*1000000)/100</f>
        <v>9568.4864899189452</v>
      </c>
      <c r="G5" s="18"/>
      <c r="H5" s="17"/>
      <c r="I5" s="17"/>
      <c r="J5" s="17">
        <f>('E Balans VL '!D25+'E Balans VL '!E25)/3.6*1000000*landbouw!B17/100</f>
        <v>417.06872910393446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2773.2729691383697</v>
      </c>
      <c r="C8" s="21">
        <f>C5+C6</f>
        <v>0</v>
      </c>
      <c r="D8" s="21">
        <f>MAX((D5+D6),0)</f>
        <v>40802.973755393439</v>
      </c>
      <c r="E8" s="21">
        <f>MAX((E5+E6),0)</f>
        <v>34.946812113131536</v>
      </c>
      <c r="F8" s="21">
        <f>MAX((F5+F6),0)</f>
        <v>9568.4864899189452</v>
      </c>
      <c r="G8" s="21"/>
      <c r="H8" s="21"/>
      <c r="I8" s="21"/>
      <c r="J8" s="21">
        <f>MAX((J5+J6),0)</f>
        <v>417.06872910393446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0.20590390544148574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571.02773520089522</v>
      </c>
      <c r="C12" s="23">
        <f ca="1">C8*C10</f>
        <v>0</v>
      </c>
      <c r="D12" s="23">
        <f>D8*D10</f>
        <v>8242.200698589475</v>
      </c>
      <c r="E12" s="23">
        <f>E8*E10</f>
        <v>7.9329263496808586</v>
      </c>
      <c r="F12" s="23">
        <f>F8*F10</f>
        <v>2554.7858928083583</v>
      </c>
      <c r="G12" s="23"/>
      <c r="H12" s="23"/>
      <c r="I12" s="23"/>
      <c r="J12" s="23">
        <f>J8*J10</f>
        <v>147.64233010279278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0.38678417070455479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419.75849173140585</v>
      </c>
      <c r="C26" s="249">
        <f>B26*'GWP N2O_CH4'!B5</f>
        <v>8814.9283263595225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127.38772680342223</v>
      </c>
      <c r="C27" s="249">
        <f>B27*'GWP N2O_CH4'!B5</f>
        <v>2675.1422628718669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5.9183138180648669</v>
      </c>
      <c r="C28" s="249">
        <f>B28*'GWP N2O_CH4'!B4</f>
        <v>1834.6772836001087</v>
      </c>
      <c r="D28" s="50"/>
    </row>
    <row r="29" spans="1:4">
      <c r="A29" s="41" t="s">
        <v>277</v>
      </c>
      <c r="B29" s="249">
        <f>B34*'ha_N2O bodem landbouw'!B4</f>
        <v>21.890593772118443</v>
      </c>
      <c r="C29" s="249">
        <f>B29*'GWP N2O_CH4'!B4</f>
        <v>6786.084069356717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5.4658625279800106E-3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1.1465749518680783E-4</v>
      </c>
      <c r="C5" s="448" t="s">
        <v>211</v>
      </c>
      <c r="D5" s="433">
        <f>SUM(D6:D11)</f>
        <v>1.8527919484726804E-4</v>
      </c>
      <c r="E5" s="433">
        <f>SUM(E6:E11)</f>
        <v>6.2932913312537348E-3</v>
      </c>
      <c r="F5" s="446" t="s">
        <v>211</v>
      </c>
      <c r="G5" s="433">
        <f>SUM(G6:G11)</f>
        <v>2.0392986526987764</v>
      </c>
      <c r="H5" s="433">
        <f>SUM(H6:H11)</f>
        <v>0.28380550555303119</v>
      </c>
      <c r="I5" s="448" t="s">
        <v>211</v>
      </c>
      <c r="J5" s="448" t="s">
        <v>211</v>
      </c>
      <c r="K5" s="448" t="s">
        <v>211</v>
      </c>
      <c r="L5" s="448" t="s">
        <v>211</v>
      </c>
      <c r="M5" s="433">
        <f>SUM(M6:M11)</f>
        <v>0.10414514874181567</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4.6160800840870979E-5</v>
      </c>
      <c r="C6" s="949"/>
      <c r="D6" s="949">
        <f>vkm_2011_GW_PW*SUMIFS(TableVerdeelsleutelVkm[CNG],TableVerdeelsleutelVkm[Voertuigtype],"Lichte voertuigen")*SUMIFS(TableECFTransport[EnergieConsumptieFactor (PJ per km)],TableECFTransport[Index],CONCATENATE($A6,"_CNG_CNG"))</f>
        <v>6.5372722148465088E-5</v>
      </c>
      <c r="E6" s="949">
        <f>vkm_2011_GW_PW*SUMIFS(TableVerdeelsleutelVkm[LPG],TableVerdeelsleutelVkm[Voertuigtype],"Lichte voertuigen")*SUMIFS(TableECFTransport[EnergieConsumptieFactor (PJ per km)],TableECFTransport[Index],CONCATENATE($A6,"_LPG_LPG"))</f>
        <v>2.0531419900003162E-3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0.36900583481758464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9.91552248372118E-2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2.0891421290768444E-2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0.27840162437409283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9.9190451631220449E-5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1.2563106987018832E-2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1.7830590809474715E-5</v>
      </c>
      <c r="C8" s="949"/>
      <c r="D8" s="436">
        <f>vkm_2011_NGW_PW*SUMIFS(TableVerdeelsleutelVkm[CNG],TableVerdeelsleutelVkm[Voertuigtype],"Lichte voertuigen")*SUMIFS(TableECFTransport[EnergieConsumptieFactor (PJ per km)],TableECFTransport[Index],CONCATENATE($A8,"_CNG_CNG"))</f>
        <v>4.4986162923293237E-5</v>
      </c>
      <c r="E8" s="436">
        <f>vkm_2011_NGW_PW*SUMIFS(TableVerdeelsleutelVkm[LPG],TableVerdeelsleutelVkm[Voertuigtype],"Lichte voertuigen")*SUMIFS(TableECFTransport[EnergieConsumptieFactor (PJ per km)],TableECFTransport[Index],CONCATENATE($A8,"_LPG_LPG"))</f>
        <v>1.3013485424569898E-3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0.22059119711884731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6.5838666750130628E-2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1.276989458410974E-2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3.2536071838798204E-2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1.0969527539781103E-5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1.468190895299127E-3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5.0666103536462138E-5</v>
      </c>
      <c r="C10" s="949"/>
      <c r="D10" s="436">
        <f>vkm_2011_SW_PW*SUMIFS(TableVerdeelsleutelVkm[CNG],TableVerdeelsleutelVkm[Voertuigtype],"Lichte voertuigen")*SUMIFS(TableECFTransport[EnergieConsumptieFactor (PJ per km)],TableECFTransport[Index],CONCATENATE($A10,"_CNG_CNG"))</f>
        <v>7.4920309775509722E-5</v>
      </c>
      <c r="E10" s="436">
        <f>vkm_2011_SW_PW*SUMIFS(TableVerdeelsleutelVkm[LPG],TableVerdeelsleutelVkm[Voertuigtype],"Lichte voertuigen")*SUMIFS(TableECFTransport[EnergieConsumptieFactor (PJ per km)],TableECFTransport[Index],CONCATENATE($A10,"_LPG_LPG"))</f>
        <v>2.9388007987964288E-3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0.4783503745954425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0.11844771131712457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2.6650029390443305E-2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0.66041354995401114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2.5374266939317988E-4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2.9802505594176226E-2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31.849304218557734</v>
      </c>
      <c r="C14" s="21"/>
      <c r="D14" s="21">
        <f t="shared" ref="D14:M14" si="0">((D5)*10^9/3600)+D12</f>
        <v>51.466443013130018</v>
      </c>
      <c r="E14" s="21">
        <f t="shared" si="0"/>
        <v>1748.136480903815</v>
      </c>
      <c r="F14" s="21"/>
      <c r="G14" s="21">
        <f t="shared" si="0"/>
        <v>566471.84797188232</v>
      </c>
      <c r="H14" s="21">
        <f t="shared" si="0"/>
        <v>78834.862653619784</v>
      </c>
      <c r="I14" s="21"/>
      <c r="J14" s="21"/>
      <c r="K14" s="21"/>
      <c r="L14" s="21"/>
      <c r="M14" s="21">
        <f t="shared" si="0"/>
        <v>28929.207983837685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0.20590390544148574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6.5578961241950244</v>
      </c>
      <c r="C18" s="23"/>
      <c r="D18" s="23">
        <f t="shared" ref="D18:M18" si="1">D14*D16</f>
        <v>10.396221488652264</v>
      </c>
      <c r="E18" s="23">
        <f t="shared" si="1"/>
        <v>396.82698116516605</v>
      </c>
      <c r="F18" s="23"/>
      <c r="G18" s="23">
        <f t="shared" si="1"/>
        <v>151247.98340849258</v>
      </c>
      <c r="H18" s="23">
        <f t="shared" si="1"/>
        <v>19629.880800751325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3.7992858666439984E-2</v>
      </c>
      <c r="H50" s="323">
        <f t="shared" si="2"/>
        <v>0</v>
      </c>
      <c r="I50" s="323">
        <f t="shared" si="2"/>
        <v>0</v>
      </c>
      <c r="J50" s="323">
        <f t="shared" si="2"/>
        <v>0</v>
      </c>
      <c r="K50" s="323">
        <f t="shared" si="2"/>
        <v>0</v>
      </c>
      <c r="L50" s="323">
        <f t="shared" si="2"/>
        <v>0</v>
      </c>
      <c r="M50" s="323">
        <f t="shared" si="2"/>
        <v>1.6896353522518597E-3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3.7992858666439984E-2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1.6896353522518597E-3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10553.571851788884</v>
      </c>
      <c r="H54" s="21">
        <f t="shared" si="3"/>
        <v>0</v>
      </c>
      <c r="I54" s="21">
        <f t="shared" si="3"/>
        <v>0</v>
      </c>
      <c r="J54" s="21">
        <f t="shared" si="3"/>
        <v>0</v>
      </c>
      <c r="K54" s="21">
        <f t="shared" si="3"/>
        <v>0</v>
      </c>
      <c r="L54" s="21">
        <f t="shared" si="3"/>
        <v>0</v>
      </c>
      <c r="M54" s="21">
        <f t="shared" si="3"/>
        <v>469.34315340329431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0.20590390544148574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2817.8036844276321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11040.927317335701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18144.740630032698</v>
      </c>
      <c r="C6" s="1142"/>
      <c r="D6" s="1145"/>
      <c r="E6" s="1145"/>
      <c r="F6" s="1148"/>
      <c r="G6" s="1151"/>
      <c r="H6" s="1139"/>
      <c r="I6" s="1145"/>
      <c r="J6" s="1145"/>
      <c r="K6" s="1145"/>
      <c r="L6" s="1175"/>
      <c r="M6" s="561"/>
      <c r="N6" s="1187"/>
      <c r="O6" s="1188"/>
      <c r="Q6" s="559"/>
      <c r="R6" s="1172"/>
      <c r="S6" s="1172"/>
    </row>
    <row r="7" spans="1:19" s="549" customFormat="1">
      <c r="A7" s="562" t="s">
        <v>252</v>
      </c>
      <c r="B7" s="563">
        <f>N57</f>
        <v>641.25</v>
      </c>
      <c r="C7" s="564">
        <f>B100</f>
        <v>754.41176470588255</v>
      </c>
      <c r="D7" s="565"/>
      <c r="E7" s="565">
        <f>E100</f>
        <v>0</v>
      </c>
      <c r="F7" s="566"/>
      <c r="G7" s="567"/>
      <c r="H7" s="565">
        <f>I100</f>
        <v>0</v>
      </c>
      <c r="I7" s="565">
        <f>G100+F100</f>
        <v>0</v>
      </c>
      <c r="J7" s="565">
        <f>H100+D100+C100</f>
        <v>0</v>
      </c>
      <c r="K7" s="565"/>
      <c r="L7" s="568"/>
      <c r="M7" s="569">
        <f>C7*$C$11+D7*$D$11+E7*$E$11+F7*$F$11+G7*$G$11+H7*$H$11+I7*$I$11+J7*$J$11</f>
        <v>152.39117647058828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29826.917947368398</v>
      </c>
      <c r="C9" s="580">
        <f t="shared" ref="C9:L9" si="0">SUM(C7:C8)</f>
        <v>754.41176470588255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152.39117647058828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916.07142857142856</v>
      </c>
      <c r="C16" s="596">
        <f>B101</f>
        <v>1077.7310924369749</v>
      </c>
      <c r="D16" s="597"/>
      <c r="E16" s="597">
        <f>E101</f>
        <v>0</v>
      </c>
      <c r="F16" s="598"/>
      <c r="G16" s="599"/>
      <c r="H16" s="596">
        <f>I101</f>
        <v>0</v>
      </c>
      <c r="I16" s="597">
        <f>G101+F101</f>
        <v>0</v>
      </c>
      <c r="J16" s="597">
        <f>H101+D101+C101</f>
        <v>0</v>
      </c>
      <c r="K16" s="597"/>
      <c r="L16" s="600"/>
      <c r="M16" s="601">
        <f>C16*$C$21+E16*$E$21+H16*$H$21+I16*$I$21+J16*$J$21+D16*$D$21+F16*$F$21+G16*$G$21+K16*$K$21+L16*$L$21</f>
        <v>217.70168067226894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916.07142857142856</v>
      </c>
      <c r="C19" s="579">
        <f>SUM(C16:C18)</f>
        <v>1077.7310924369749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217.70168067226894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34022</v>
      </c>
      <c r="C27" s="839">
        <v>8500</v>
      </c>
      <c r="D27" s="658" t="s">
        <v>840</v>
      </c>
      <c r="E27" s="657" t="s">
        <v>841</v>
      </c>
      <c r="F27" s="657" t="s">
        <v>842</v>
      </c>
      <c r="G27" s="657" t="s">
        <v>843</v>
      </c>
      <c r="H27" s="657" t="s">
        <v>844</v>
      </c>
      <c r="I27" s="657" t="s">
        <v>841</v>
      </c>
      <c r="J27" s="838">
        <v>39953</v>
      </c>
      <c r="K27" s="838">
        <v>40179</v>
      </c>
      <c r="L27" s="657" t="s">
        <v>845</v>
      </c>
      <c r="M27" s="657">
        <v>142.5</v>
      </c>
      <c r="N27" s="657">
        <v>641.25</v>
      </c>
      <c r="O27" s="657">
        <v>916.07142857142856</v>
      </c>
      <c r="P27" s="657">
        <v>1832.1428571428573</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142.5</v>
      </c>
      <c r="N57" s="615">
        <f>SUM(N27:N56)</f>
        <v>641.25</v>
      </c>
      <c r="O57" s="615">
        <f t="shared" ref="O57:W57" si="2">SUM(O27:O56)</f>
        <v>916.07142857142856</v>
      </c>
      <c r="P57" s="615">
        <f t="shared" si="2"/>
        <v>1832.1428571428573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142.5</v>
      </c>
      <c r="N59" s="615">
        <f ca="1">SUMIF($Z$27:AB56,"tertiair",N27:N56)</f>
        <v>641.25</v>
      </c>
      <c r="O59" s="615">
        <f ca="1">SUMIF($Z$27:AC56,"tertiair",O27:O56)</f>
        <v>916.07142857142856</v>
      </c>
      <c r="P59" s="615">
        <f ca="1">SUMIF($Z$27:AD56,"tertiair",P27:P56)</f>
        <v>1832.1428571428573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754.41176470588255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1077.7310924369749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188987.91287097087</v>
      </c>
      <c r="D10" s="704">
        <f ca="1">tertiair!C16</f>
        <v>916.07142857142856</v>
      </c>
      <c r="E10" s="704">
        <f ca="1">tertiair!D16</f>
        <v>225791.59194729404</v>
      </c>
      <c r="F10" s="704">
        <f>tertiair!E16</f>
        <v>2176.1772351718528</v>
      </c>
      <c r="G10" s="704">
        <f ca="1">tertiair!F16</f>
        <v>36146.665529761041</v>
      </c>
      <c r="H10" s="704">
        <f>tertiair!G16</f>
        <v>0</v>
      </c>
      <c r="I10" s="704">
        <f>tertiair!H16</f>
        <v>0</v>
      </c>
      <c r="J10" s="704">
        <f>tertiair!I16</f>
        <v>0</v>
      </c>
      <c r="K10" s="704">
        <f>tertiair!J16</f>
        <v>0</v>
      </c>
      <c r="L10" s="704">
        <f>tertiair!K16</f>
        <v>0</v>
      </c>
      <c r="M10" s="704">
        <f ca="1">tertiair!L16</f>
        <v>0</v>
      </c>
      <c r="N10" s="704">
        <f>tertiair!M16</f>
        <v>0</v>
      </c>
      <c r="O10" s="704">
        <f ca="1">tertiair!N16</f>
        <v>14227.928792307694</v>
      </c>
      <c r="P10" s="704">
        <f>tertiair!O16</f>
        <v>9.3800000000000008</v>
      </c>
      <c r="Q10" s="705">
        <f>tertiair!P16</f>
        <v>114.4</v>
      </c>
      <c r="R10" s="707">
        <f ca="1">SUM(C10:Q10)</f>
        <v>468370.12780407694</v>
      </c>
      <c r="S10" s="67"/>
    </row>
    <row r="11" spans="1:19" s="459" customFormat="1">
      <c r="A11" s="858" t="s">
        <v>225</v>
      </c>
      <c r="B11" s="863"/>
      <c r="C11" s="704">
        <f>huishoudens!B8</f>
        <v>124119.62200404456</v>
      </c>
      <c r="D11" s="704">
        <f>huishoudens!C8</f>
        <v>0</v>
      </c>
      <c r="E11" s="704">
        <f>huishoudens!D8</f>
        <v>382972.81437249837</v>
      </c>
      <c r="F11" s="704">
        <f>huishoudens!E8</f>
        <v>8302.3314318173707</v>
      </c>
      <c r="G11" s="704">
        <f>huishoudens!F8</f>
        <v>37583.888721779978</v>
      </c>
      <c r="H11" s="704">
        <f>huishoudens!G8</f>
        <v>0</v>
      </c>
      <c r="I11" s="704">
        <f>huishoudens!H8</f>
        <v>0</v>
      </c>
      <c r="J11" s="704">
        <f>huishoudens!I8</f>
        <v>0</v>
      </c>
      <c r="K11" s="704">
        <f>huishoudens!J8</f>
        <v>1289.6534632028959</v>
      </c>
      <c r="L11" s="704">
        <f>huishoudens!K8</f>
        <v>0</v>
      </c>
      <c r="M11" s="704">
        <f>huishoudens!L8</f>
        <v>0</v>
      </c>
      <c r="N11" s="704">
        <f>huishoudens!M8</f>
        <v>0</v>
      </c>
      <c r="O11" s="704">
        <f>huishoudens!N8</f>
        <v>44146.453281036935</v>
      </c>
      <c r="P11" s="704">
        <f>huishoudens!O8</f>
        <v>601.88333333333333</v>
      </c>
      <c r="Q11" s="705">
        <f>huishoudens!P8</f>
        <v>934.26666666666665</v>
      </c>
      <c r="R11" s="707">
        <f>SUM(C11:Q11)</f>
        <v>599950.91327438003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110645.1962711403</v>
      </c>
      <c r="D13" s="704">
        <f>industrie!C18</f>
        <v>0</v>
      </c>
      <c r="E13" s="704">
        <f>industrie!D18</f>
        <v>172008.17314977638</v>
      </c>
      <c r="F13" s="704">
        <f>industrie!E18</f>
        <v>8618.0512881426494</v>
      </c>
      <c r="G13" s="704">
        <f>industrie!F18</f>
        <v>40544.063914110651</v>
      </c>
      <c r="H13" s="704">
        <f>industrie!G18</f>
        <v>0</v>
      </c>
      <c r="I13" s="704">
        <f>industrie!H18</f>
        <v>0</v>
      </c>
      <c r="J13" s="704">
        <f>industrie!I18</f>
        <v>0</v>
      </c>
      <c r="K13" s="704">
        <f>industrie!J18</f>
        <v>166.53195200742917</v>
      </c>
      <c r="L13" s="704">
        <f>industrie!K18</f>
        <v>0</v>
      </c>
      <c r="M13" s="704">
        <f>industrie!L18</f>
        <v>0</v>
      </c>
      <c r="N13" s="704">
        <f>industrie!M18</f>
        <v>0</v>
      </c>
      <c r="O13" s="704">
        <f>industrie!N18</f>
        <v>42846.872498825513</v>
      </c>
      <c r="P13" s="704">
        <f>industrie!O18</f>
        <v>0</v>
      </c>
      <c r="Q13" s="705">
        <f>industrie!P18</f>
        <v>0</v>
      </c>
      <c r="R13" s="707">
        <f>SUM(C13:Q13)</f>
        <v>374828.88907400286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423752.73114615574</v>
      </c>
      <c r="D15" s="709">
        <f t="shared" ref="D15:Q15" ca="1" si="0">SUM(D9:D14)</f>
        <v>916.07142857142856</v>
      </c>
      <c r="E15" s="709">
        <f t="shared" ca="1" si="0"/>
        <v>780772.57946956879</v>
      </c>
      <c r="F15" s="709">
        <f t="shared" si="0"/>
        <v>19096.559955131874</v>
      </c>
      <c r="G15" s="709">
        <f t="shared" ca="1" si="0"/>
        <v>114274.61816565167</v>
      </c>
      <c r="H15" s="709">
        <f t="shared" si="0"/>
        <v>0</v>
      </c>
      <c r="I15" s="709">
        <f t="shared" si="0"/>
        <v>0</v>
      </c>
      <c r="J15" s="709">
        <f t="shared" si="0"/>
        <v>0</v>
      </c>
      <c r="K15" s="709">
        <f t="shared" si="0"/>
        <v>1456.1854152103251</v>
      </c>
      <c r="L15" s="709">
        <f t="shared" si="0"/>
        <v>0</v>
      </c>
      <c r="M15" s="709">
        <f t="shared" ca="1" si="0"/>
        <v>0</v>
      </c>
      <c r="N15" s="709">
        <f t="shared" si="0"/>
        <v>0</v>
      </c>
      <c r="O15" s="709">
        <f t="shared" ca="1" si="0"/>
        <v>101221.25457217015</v>
      </c>
      <c r="P15" s="709">
        <f t="shared" si="0"/>
        <v>611.26333333333332</v>
      </c>
      <c r="Q15" s="710">
        <f t="shared" si="0"/>
        <v>1048.6666666666667</v>
      </c>
      <c r="R15" s="711">
        <f ca="1">SUM(R9:R14)</f>
        <v>1443149.9301524598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10553.571851788884</v>
      </c>
      <c r="I18" s="704">
        <f>transport!H54</f>
        <v>0</v>
      </c>
      <c r="J18" s="704">
        <f>transport!I54</f>
        <v>0</v>
      </c>
      <c r="K18" s="704">
        <f>transport!J54</f>
        <v>0</v>
      </c>
      <c r="L18" s="704">
        <f>transport!K54</f>
        <v>0</v>
      </c>
      <c r="M18" s="704">
        <f>transport!L54</f>
        <v>0</v>
      </c>
      <c r="N18" s="704">
        <f>transport!M54</f>
        <v>469.34315340329431</v>
      </c>
      <c r="O18" s="704">
        <f>transport!N54</f>
        <v>0</v>
      </c>
      <c r="P18" s="704">
        <f>transport!O54</f>
        <v>0</v>
      </c>
      <c r="Q18" s="705">
        <f>transport!P54</f>
        <v>0</v>
      </c>
      <c r="R18" s="707">
        <f>SUM(C18:Q18)</f>
        <v>11022.915005192179</v>
      </c>
      <c r="S18" s="67"/>
    </row>
    <row r="19" spans="1:19" s="459" customFormat="1" ht="15" thickBot="1">
      <c r="A19" s="858" t="s">
        <v>307</v>
      </c>
      <c r="B19" s="863"/>
      <c r="C19" s="713">
        <f>transport!B14</f>
        <v>31.849304218557734</v>
      </c>
      <c r="D19" s="713">
        <f>transport!C14</f>
        <v>0</v>
      </c>
      <c r="E19" s="713">
        <f>transport!D14</f>
        <v>51.466443013130018</v>
      </c>
      <c r="F19" s="713">
        <f>transport!E14</f>
        <v>1748.136480903815</v>
      </c>
      <c r="G19" s="713">
        <f>transport!F14</f>
        <v>0</v>
      </c>
      <c r="H19" s="713">
        <f>transport!G14</f>
        <v>566471.84797188232</v>
      </c>
      <c r="I19" s="713">
        <f>transport!H14</f>
        <v>78834.862653619784</v>
      </c>
      <c r="J19" s="713">
        <f>transport!I14</f>
        <v>0</v>
      </c>
      <c r="K19" s="713">
        <f>transport!J14</f>
        <v>0</v>
      </c>
      <c r="L19" s="713">
        <f>transport!K14</f>
        <v>0</v>
      </c>
      <c r="M19" s="713">
        <f>transport!L14</f>
        <v>0</v>
      </c>
      <c r="N19" s="713">
        <f>transport!M14</f>
        <v>28929.207983837685</v>
      </c>
      <c r="O19" s="713">
        <f>transport!N14</f>
        <v>0</v>
      </c>
      <c r="P19" s="713">
        <f>transport!O14</f>
        <v>0</v>
      </c>
      <c r="Q19" s="714">
        <f>transport!P14</f>
        <v>0</v>
      </c>
      <c r="R19" s="715">
        <f>SUM(C19:Q19)</f>
        <v>676067.37083747541</v>
      </c>
      <c r="S19" s="67"/>
    </row>
    <row r="20" spans="1:19" s="459" customFormat="1" ht="15.75" thickBot="1">
      <c r="A20" s="716" t="s">
        <v>230</v>
      </c>
      <c r="B20" s="866"/>
      <c r="C20" s="861">
        <f>SUM(C17:C19)</f>
        <v>31.849304218557734</v>
      </c>
      <c r="D20" s="717">
        <f t="shared" ref="D20:R20" si="1">SUM(D17:D19)</f>
        <v>0</v>
      </c>
      <c r="E20" s="717">
        <f t="shared" si="1"/>
        <v>51.466443013130018</v>
      </c>
      <c r="F20" s="717">
        <f t="shared" si="1"/>
        <v>1748.136480903815</v>
      </c>
      <c r="G20" s="717">
        <f t="shared" si="1"/>
        <v>0</v>
      </c>
      <c r="H20" s="717">
        <f t="shared" si="1"/>
        <v>577025.41982367123</v>
      </c>
      <c r="I20" s="717">
        <f t="shared" si="1"/>
        <v>78834.862653619784</v>
      </c>
      <c r="J20" s="717">
        <f t="shared" si="1"/>
        <v>0</v>
      </c>
      <c r="K20" s="717">
        <f t="shared" si="1"/>
        <v>0</v>
      </c>
      <c r="L20" s="717">
        <f t="shared" si="1"/>
        <v>0</v>
      </c>
      <c r="M20" s="717">
        <f t="shared" si="1"/>
        <v>0</v>
      </c>
      <c r="N20" s="717">
        <f t="shared" si="1"/>
        <v>29398.551137240978</v>
      </c>
      <c r="O20" s="717">
        <f t="shared" si="1"/>
        <v>0</v>
      </c>
      <c r="P20" s="717">
        <f t="shared" si="1"/>
        <v>0</v>
      </c>
      <c r="Q20" s="718">
        <f t="shared" si="1"/>
        <v>0</v>
      </c>
      <c r="R20" s="719">
        <f t="shared" si="1"/>
        <v>687090.28584266757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2773.2729691383697</v>
      </c>
      <c r="D22" s="713">
        <f>+landbouw!C8</f>
        <v>0</v>
      </c>
      <c r="E22" s="713">
        <f>+landbouw!D8</f>
        <v>40802.973755393439</v>
      </c>
      <c r="F22" s="713">
        <f>+landbouw!E8</f>
        <v>34.946812113131536</v>
      </c>
      <c r="G22" s="713">
        <f>+landbouw!F8</f>
        <v>9568.4864899189452</v>
      </c>
      <c r="H22" s="713">
        <f>+landbouw!G8</f>
        <v>0</v>
      </c>
      <c r="I22" s="713">
        <f>+landbouw!H8</f>
        <v>0</v>
      </c>
      <c r="J22" s="713">
        <f>+landbouw!I8</f>
        <v>0</v>
      </c>
      <c r="K22" s="713">
        <f>+landbouw!J8</f>
        <v>417.06872910393446</v>
      </c>
      <c r="L22" s="713">
        <f>+landbouw!K8</f>
        <v>0</v>
      </c>
      <c r="M22" s="713">
        <f>+landbouw!L8</f>
        <v>0</v>
      </c>
      <c r="N22" s="713">
        <f>+landbouw!M8</f>
        <v>0</v>
      </c>
      <c r="O22" s="713">
        <f>+landbouw!N8</f>
        <v>0</v>
      </c>
      <c r="P22" s="713">
        <f>+landbouw!O8</f>
        <v>0</v>
      </c>
      <c r="Q22" s="714">
        <f>+landbouw!P8</f>
        <v>0</v>
      </c>
      <c r="R22" s="715">
        <f>SUM(C22:Q22)</f>
        <v>53596.748755667824</v>
      </c>
      <c r="S22" s="67"/>
    </row>
    <row r="23" spans="1:19" s="459" customFormat="1" ht="17.25" thickTop="1" thickBot="1">
      <c r="A23" s="720" t="s">
        <v>116</v>
      </c>
      <c r="B23" s="852"/>
      <c r="C23" s="721">
        <f ca="1">C20+C15+C22</f>
        <v>426557.85341951263</v>
      </c>
      <c r="D23" s="721">
        <f t="shared" ref="D23:Q23" ca="1" si="2">D20+D15+D22</f>
        <v>916.07142857142856</v>
      </c>
      <c r="E23" s="721">
        <f t="shared" ca="1" si="2"/>
        <v>821627.01966797537</v>
      </c>
      <c r="F23" s="721">
        <f t="shared" si="2"/>
        <v>20879.643248148819</v>
      </c>
      <c r="G23" s="721">
        <f t="shared" ca="1" si="2"/>
        <v>123843.10465557061</v>
      </c>
      <c r="H23" s="721">
        <f t="shared" si="2"/>
        <v>577025.41982367123</v>
      </c>
      <c r="I23" s="721">
        <f t="shared" si="2"/>
        <v>78834.862653619784</v>
      </c>
      <c r="J23" s="721">
        <f t="shared" si="2"/>
        <v>0</v>
      </c>
      <c r="K23" s="721">
        <f t="shared" si="2"/>
        <v>1873.2541443142595</v>
      </c>
      <c r="L23" s="721">
        <f t="shared" si="2"/>
        <v>0</v>
      </c>
      <c r="M23" s="721">
        <f t="shared" ca="1" si="2"/>
        <v>0</v>
      </c>
      <c r="N23" s="721">
        <f t="shared" si="2"/>
        <v>29398.551137240978</v>
      </c>
      <c r="O23" s="721">
        <f t="shared" ca="1" si="2"/>
        <v>101221.25457217015</v>
      </c>
      <c r="P23" s="721">
        <f t="shared" si="2"/>
        <v>611.26333333333332</v>
      </c>
      <c r="Q23" s="722">
        <f t="shared" si="2"/>
        <v>1048.6666666666667</v>
      </c>
      <c r="R23" s="723">
        <f ca="1">R20+R15+R22</f>
        <v>2183836.9647507952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38913.349341368128</v>
      </c>
      <c r="D36" s="704">
        <f ca="1">tertiair!C20</f>
        <v>217.70168067226894</v>
      </c>
      <c r="E36" s="704">
        <f ca="1">tertiair!D20</f>
        <v>45609.901573353403</v>
      </c>
      <c r="F36" s="704">
        <f>tertiair!E20</f>
        <v>493.99223238401061</v>
      </c>
      <c r="G36" s="704">
        <f ca="1">tertiair!F20</f>
        <v>9651.1596964461987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94886.104524224007</v>
      </c>
    </row>
    <row r="37" spans="1:18">
      <c r="A37" s="873" t="s">
        <v>225</v>
      </c>
      <c r="B37" s="880"/>
      <c r="C37" s="704">
        <f ca="1">huishoudens!B12</f>
        <v>25556.714912553743</v>
      </c>
      <c r="D37" s="704">
        <f ca="1">huishoudens!C12</f>
        <v>0</v>
      </c>
      <c r="E37" s="704">
        <f>huishoudens!D12</f>
        <v>77360.50850324468</v>
      </c>
      <c r="F37" s="704">
        <f>huishoudens!E12</f>
        <v>1884.6292350225433</v>
      </c>
      <c r="G37" s="704">
        <f>huishoudens!F12</f>
        <v>10034.898288715254</v>
      </c>
      <c r="H37" s="704">
        <f>huishoudens!G12</f>
        <v>0</v>
      </c>
      <c r="I37" s="704">
        <f>huishoudens!H12</f>
        <v>0</v>
      </c>
      <c r="J37" s="704">
        <f>huishoudens!I12</f>
        <v>0</v>
      </c>
      <c r="K37" s="704">
        <f>huishoudens!J12</f>
        <v>456.53732597382509</v>
      </c>
      <c r="L37" s="704">
        <f>huishoudens!K12</f>
        <v>0</v>
      </c>
      <c r="M37" s="704">
        <f>huishoudens!L12</f>
        <v>0</v>
      </c>
      <c r="N37" s="704">
        <f>huishoudens!M12</f>
        <v>0</v>
      </c>
      <c r="O37" s="704">
        <f>huishoudens!N12</f>
        <v>0</v>
      </c>
      <c r="P37" s="704">
        <f>huishoudens!O12</f>
        <v>0</v>
      </c>
      <c r="Q37" s="814">
        <f>huishoudens!P12</f>
        <v>0</v>
      </c>
      <c r="R37" s="905">
        <f ca="1">SUM(C37:Q37)</f>
        <v>115293.28826551004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22782.278030567504</v>
      </c>
      <c r="D39" s="704">
        <f ca="1">industrie!C22</f>
        <v>0</v>
      </c>
      <c r="E39" s="704">
        <f>industrie!D22</f>
        <v>34745.65097625483</v>
      </c>
      <c r="F39" s="704">
        <f>industrie!E22</f>
        <v>1956.2976424083815</v>
      </c>
      <c r="G39" s="704">
        <f>industrie!F22</f>
        <v>10825.265065067544</v>
      </c>
      <c r="H39" s="704">
        <f>industrie!G22</f>
        <v>0</v>
      </c>
      <c r="I39" s="704">
        <f>industrie!H22</f>
        <v>0</v>
      </c>
      <c r="J39" s="704">
        <f>industrie!I22</f>
        <v>0</v>
      </c>
      <c r="K39" s="704">
        <f>industrie!J22</f>
        <v>58.95231101062992</v>
      </c>
      <c r="L39" s="704">
        <f>industrie!K22</f>
        <v>0</v>
      </c>
      <c r="M39" s="704">
        <f>industrie!L22</f>
        <v>0</v>
      </c>
      <c r="N39" s="704">
        <f>industrie!M22</f>
        <v>0</v>
      </c>
      <c r="O39" s="704">
        <f>industrie!N22</f>
        <v>0</v>
      </c>
      <c r="P39" s="704">
        <f>industrie!O22</f>
        <v>0</v>
      </c>
      <c r="Q39" s="814">
        <f>industrie!P22</f>
        <v>0</v>
      </c>
      <c r="R39" s="906">
        <f ca="1">SUM(C39:Q39)</f>
        <v>70368.444025308883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87252.342284489365</v>
      </c>
      <c r="D41" s="749">
        <f t="shared" ref="D41:R41" ca="1" si="4">SUM(D35:D40)</f>
        <v>217.70168067226894</v>
      </c>
      <c r="E41" s="749">
        <f t="shared" ca="1" si="4"/>
        <v>157716.06105285292</v>
      </c>
      <c r="F41" s="749">
        <f t="shared" si="4"/>
        <v>4334.9191098149358</v>
      </c>
      <c r="G41" s="749">
        <f t="shared" ca="1" si="4"/>
        <v>30511.323050228995</v>
      </c>
      <c r="H41" s="749">
        <f t="shared" si="4"/>
        <v>0</v>
      </c>
      <c r="I41" s="749">
        <f t="shared" si="4"/>
        <v>0</v>
      </c>
      <c r="J41" s="749">
        <f t="shared" si="4"/>
        <v>0</v>
      </c>
      <c r="K41" s="749">
        <f t="shared" si="4"/>
        <v>515.48963698445505</v>
      </c>
      <c r="L41" s="749">
        <f t="shared" si="4"/>
        <v>0</v>
      </c>
      <c r="M41" s="749">
        <f t="shared" ca="1" si="4"/>
        <v>0</v>
      </c>
      <c r="N41" s="749">
        <f t="shared" si="4"/>
        <v>0</v>
      </c>
      <c r="O41" s="749">
        <f t="shared" ca="1" si="4"/>
        <v>0</v>
      </c>
      <c r="P41" s="749">
        <f t="shared" si="4"/>
        <v>0</v>
      </c>
      <c r="Q41" s="750">
        <f t="shared" si="4"/>
        <v>0</v>
      </c>
      <c r="R41" s="751">
        <f t="shared" ca="1" si="4"/>
        <v>280547.83681504295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2817.8036844276321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2817.8036844276321</v>
      </c>
    </row>
    <row r="45" spans="1:18" ht="15" thickBot="1">
      <c r="A45" s="876" t="s">
        <v>307</v>
      </c>
      <c r="B45" s="886"/>
      <c r="C45" s="713">
        <f ca="1">transport!B18</f>
        <v>6.5578961241950244</v>
      </c>
      <c r="D45" s="713">
        <f>transport!C18</f>
        <v>0</v>
      </c>
      <c r="E45" s="713">
        <f>transport!D18</f>
        <v>10.396221488652264</v>
      </c>
      <c r="F45" s="713">
        <f>transport!E18</f>
        <v>396.82698116516605</v>
      </c>
      <c r="G45" s="713">
        <f>transport!F18</f>
        <v>0</v>
      </c>
      <c r="H45" s="713">
        <f>transport!G18</f>
        <v>151247.98340849258</v>
      </c>
      <c r="I45" s="713">
        <f>transport!H18</f>
        <v>19629.880800751325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171291.64530802192</v>
      </c>
    </row>
    <row r="46" spans="1:18" ht="15.75" thickBot="1">
      <c r="A46" s="874" t="s">
        <v>230</v>
      </c>
      <c r="B46" s="887"/>
      <c r="C46" s="749">
        <f t="shared" ref="C46:R46" ca="1" si="5">SUM(C43:C45)</f>
        <v>6.5578961241950244</v>
      </c>
      <c r="D46" s="749">
        <f t="shared" ca="1" si="5"/>
        <v>0</v>
      </c>
      <c r="E46" s="749">
        <f t="shared" si="5"/>
        <v>10.396221488652264</v>
      </c>
      <c r="F46" s="749">
        <f t="shared" si="5"/>
        <v>396.82698116516605</v>
      </c>
      <c r="G46" s="749">
        <f t="shared" si="5"/>
        <v>0</v>
      </c>
      <c r="H46" s="749">
        <f t="shared" si="5"/>
        <v>154065.78709292022</v>
      </c>
      <c r="I46" s="749">
        <f t="shared" si="5"/>
        <v>19629.880800751325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174109.44899244956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571.02773520089522</v>
      </c>
      <c r="D48" s="704">
        <f ca="1">+landbouw!C12</f>
        <v>0</v>
      </c>
      <c r="E48" s="704">
        <f>+landbouw!D12</f>
        <v>8242.200698589475</v>
      </c>
      <c r="F48" s="704">
        <f>+landbouw!E12</f>
        <v>7.9329263496808586</v>
      </c>
      <c r="G48" s="704">
        <f>+landbouw!F12</f>
        <v>2554.7858928083583</v>
      </c>
      <c r="H48" s="704">
        <f>+landbouw!G12</f>
        <v>0</v>
      </c>
      <c r="I48" s="704">
        <f>+landbouw!H12</f>
        <v>0</v>
      </c>
      <c r="J48" s="704">
        <f>+landbouw!I12</f>
        <v>0</v>
      </c>
      <c r="K48" s="704">
        <f>+landbouw!J12</f>
        <v>147.64233010279278</v>
      </c>
      <c r="L48" s="704">
        <f>+landbouw!K12</f>
        <v>0</v>
      </c>
      <c r="M48" s="704">
        <f>+landbouw!L12</f>
        <v>0</v>
      </c>
      <c r="N48" s="704">
        <f>+landbouw!M12</f>
        <v>0</v>
      </c>
      <c r="O48" s="704">
        <f>+landbouw!N12</f>
        <v>0</v>
      </c>
      <c r="P48" s="704">
        <f>+landbouw!O12</f>
        <v>0</v>
      </c>
      <c r="Q48" s="705">
        <f>+landbouw!P12</f>
        <v>0</v>
      </c>
      <c r="R48" s="747">
        <f ca="1">SUM(C48:Q48)</f>
        <v>11523.589583051202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87829.927915814464</v>
      </c>
      <c r="D53" s="759">
        <f t="shared" ref="D53:Q53" ca="1" si="6">D41+D46+D48</f>
        <v>217.70168067226894</v>
      </c>
      <c r="E53" s="759">
        <f t="shared" ca="1" si="6"/>
        <v>165968.65797293105</v>
      </c>
      <c r="F53" s="759">
        <f t="shared" si="6"/>
        <v>4739.6790173297832</v>
      </c>
      <c r="G53" s="759">
        <f t="shared" ca="1" si="6"/>
        <v>33066.108943037354</v>
      </c>
      <c r="H53" s="759">
        <f t="shared" si="6"/>
        <v>154065.78709292022</v>
      </c>
      <c r="I53" s="759">
        <f t="shared" si="6"/>
        <v>19629.880800751325</v>
      </c>
      <c r="J53" s="759">
        <f t="shared" si="6"/>
        <v>0</v>
      </c>
      <c r="K53" s="759">
        <f t="shared" si="6"/>
        <v>663.13196708724786</v>
      </c>
      <c r="L53" s="759">
        <f t="shared" si="6"/>
        <v>0</v>
      </c>
      <c r="M53" s="759">
        <f t="shared" ca="1" si="6"/>
        <v>0</v>
      </c>
      <c r="N53" s="759">
        <f t="shared" si="6"/>
        <v>0</v>
      </c>
      <c r="O53" s="759">
        <f t="shared" ca="1" si="6"/>
        <v>0</v>
      </c>
      <c r="P53" s="759">
        <f>P41+P46+P48</f>
        <v>0</v>
      </c>
      <c r="Q53" s="760">
        <f t="shared" si="6"/>
        <v>0</v>
      </c>
      <c r="R53" s="761">
        <f ca="1">R41+R46+R48</f>
        <v>466180.87539054372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0.20590390544148574</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11040.927317335701</v>
      </c>
      <c r="C64" s="781">
        <f>'lokale energieproductie'!B4</f>
        <v>11040.927317335701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18144.740630032698</v>
      </c>
      <c r="C66" s="781">
        <f>'lokale energieproductie'!B6</f>
        <v>18144.740630032698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641.25</v>
      </c>
      <c r="C67" s="780">
        <f>B67*IFERROR(SUM(J67:L67)/SUM(D67:M67),0)</f>
        <v>0</v>
      </c>
      <c r="D67" s="812">
        <f>'lokale energieproductie'!C7</f>
        <v>754.41176470588255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152.39117647058828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29826.917947368398</v>
      </c>
      <c r="C69" s="789">
        <f>SUM(C64:C68)</f>
        <v>29185.667947368398</v>
      </c>
      <c r="D69" s="790">
        <f t="shared" ref="D69:M69" si="8">SUM(D67:D68)</f>
        <v>754.41176470588255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152.39117647058828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916.07142857142856</v>
      </c>
      <c r="C78" s="803">
        <f>B78*IFERROR(SUM(I78:L78)/SUM(D78:M78),0)</f>
        <v>0</v>
      </c>
      <c r="D78" s="818">
        <f>'lokale energieproductie'!C16</f>
        <v>1077.7310924369749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217.70168067226894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916.07142857142856</v>
      </c>
      <c r="C81" s="789">
        <f>SUM(C78:C80)</f>
        <v>0</v>
      </c>
      <c r="D81" s="789">
        <f t="shared" ref="D81:P81" si="9">SUM(D78:D80)</f>
        <v>1077.7310924369749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217.70168067226894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124119.62200404456</v>
      </c>
      <c r="C4" s="463">
        <f>huishoudens!C8</f>
        <v>0</v>
      </c>
      <c r="D4" s="463">
        <f>huishoudens!D8</f>
        <v>382972.81437249837</v>
      </c>
      <c r="E4" s="463">
        <f>huishoudens!E8</f>
        <v>8302.3314318173707</v>
      </c>
      <c r="F4" s="463">
        <f>huishoudens!F8</f>
        <v>37583.888721779978</v>
      </c>
      <c r="G4" s="463">
        <f>huishoudens!G8</f>
        <v>0</v>
      </c>
      <c r="H4" s="463">
        <f>huishoudens!H8</f>
        <v>0</v>
      </c>
      <c r="I4" s="463">
        <f>huishoudens!I8</f>
        <v>0</v>
      </c>
      <c r="J4" s="463">
        <f>huishoudens!J8</f>
        <v>1289.6534632028959</v>
      </c>
      <c r="K4" s="463">
        <f>huishoudens!K8</f>
        <v>0</v>
      </c>
      <c r="L4" s="463">
        <f>huishoudens!L8</f>
        <v>0</v>
      </c>
      <c r="M4" s="463">
        <f>huishoudens!M8</f>
        <v>0</v>
      </c>
      <c r="N4" s="463">
        <f>huishoudens!N8</f>
        <v>44146.453281036935</v>
      </c>
      <c r="O4" s="463">
        <f>huishoudens!O8</f>
        <v>601.88333333333333</v>
      </c>
      <c r="P4" s="464">
        <f>huishoudens!P8</f>
        <v>934.26666666666665</v>
      </c>
      <c r="Q4" s="465">
        <f>SUM(B4:P4)</f>
        <v>599950.91327438003</v>
      </c>
    </row>
    <row r="5" spans="1:17">
      <c r="A5" s="462" t="s">
        <v>156</v>
      </c>
      <c r="B5" s="463">
        <f ca="1">tertiair!B16</f>
        <v>182347.56087097086</v>
      </c>
      <c r="C5" s="463">
        <f ca="1">tertiair!C16</f>
        <v>916.07142857142856</v>
      </c>
      <c r="D5" s="463">
        <f ca="1">tertiair!D16</f>
        <v>225791.59194729404</v>
      </c>
      <c r="E5" s="463">
        <f>tertiair!E16</f>
        <v>2176.1772351718528</v>
      </c>
      <c r="F5" s="463">
        <f ca="1">tertiair!F16</f>
        <v>36146.665529761041</v>
      </c>
      <c r="G5" s="463">
        <f>tertiair!G16</f>
        <v>0</v>
      </c>
      <c r="H5" s="463">
        <f>tertiair!H16</f>
        <v>0</v>
      </c>
      <c r="I5" s="463">
        <f>tertiair!I16</f>
        <v>0</v>
      </c>
      <c r="J5" s="463">
        <f>tertiair!J16</f>
        <v>0</v>
      </c>
      <c r="K5" s="463">
        <f>tertiair!K16</f>
        <v>0</v>
      </c>
      <c r="L5" s="463">
        <f ca="1">tertiair!L16</f>
        <v>0</v>
      </c>
      <c r="M5" s="463">
        <f>tertiair!M16</f>
        <v>0</v>
      </c>
      <c r="N5" s="463">
        <f ca="1">tertiair!N16</f>
        <v>14227.928792307694</v>
      </c>
      <c r="O5" s="463">
        <f>tertiair!O16</f>
        <v>9.3800000000000008</v>
      </c>
      <c r="P5" s="464">
        <f>tertiair!P16</f>
        <v>114.4</v>
      </c>
      <c r="Q5" s="462">
        <f t="shared" ref="Q5:Q13" ca="1" si="0">SUM(B5:P5)</f>
        <v>461729.77580407693</v>
      </c>
    </row>
    <row r="6" spans="1:17">
      <c r="A6" s="462" t="s">
        <v>194</v>
      </c>
      <c r="B6" s="463">
        <f>'openbare verlichting'!B8</f>
        <v>6640.3519999999999</v>
      </c>
      <c r="C6" s="463"/>
      <c r="D6" s="463"/>
      <c r="E6" s="463"/>
      <c r="F6" s="463"/>
      <c r="G6" s="463"/>
      <c r="H6" s="463"/>
      <c r="I6" s="463"/>
      <c r="J6" s="463"/>
      <c r="K6" s="463"/>
      <c r="L6" s="463"/>
      <c r="M6" s="463"/>
      <c r="N6" s="463"/>
      <c r="O6" s="463"/>
      <c r="P6" s="464"/>
      <c r="Q6" s="462">
        <f t="shared" si="0"/>
        <v>6640.3519999999999</v>
      </c>
    </row>
    <row r="7" spans="1:17">
      <c r="A7" s="462" t="s">
        <v>112</v>
      </c>
      <c r="B7" s="463">
        <f>landbouw!B8</f>
        <v>2773.2729691383697</v>
      </c>
      <c r="C7" s="463">
        <f>landbouw!C8</f>
        <v>0</v>
      </c>
      <c r="D7" s="463">
        <f>landbouw!D8</f>
        <v>40802.973755393439</v>
      </c>
      <c r="E7" s="463">
        <f>landbouw!E8</f>
        <v>34.946812113131536</v>
      </c>
      <c r="F7" s="463">
        <f>landbouw!F8</f>
        <v>9568.4864899189452</v>
      </c>
      <c r="G7" s="463">
        <f>landbouw!G8</f>
        <v>0</v>
      </c>
      <c r="H7" s="463">
        <f>landbouw!H8</f>
        <v>0</v>
      </c>
      <c r="I7" s="463">
        <f>landbouw!I8</f>
        <v>0</v>
      </c>
      <c r="J7" s="463">
        <f>landbouw!J8</f>
        <v>417.06872910393446</v>
      </c>
      <c r="K7" s="463">
        <f>landbouw!K8</f>
        <v>0</v>
      </c>
      <c r="L7" s="463">
        <f>landbouw!L8</f>
        <v>0</v>
      </c>
      <c r="M7" s="463">
        <f>landbouw!M8</f>
        <v>0</v>
      </c>
      <c r="N7" s="463">
        <f>landbouw!N8</f>
        <v>0</v>
      </c>
      <c r="O7" s="463">
        <f>landbouw!O8</f>
        <v>0</v>
      </c>
      <c r="P7" s="464">
        <f>landbouw!P8</f>
        <v>0</v>
      </c>
      <c r="Q7" s="462">
        <f t="shared" si="0"/>
        <v>53596.748755667824</v>
      </c>
    </row>
    <row r="8" spans="1:17">
      <c r="A8" s="462" t="s">
        <v>657</v>
      </c>
      <c r="B8" s="463">
        <f>industrie!B18</f>
        <v>110645.1962711403</v>
      </c>
      <c r="C8" s="463">
        <f>industrie!C18</f>
        <v>0</v>
      </c>
      <c r="D8" s="463">
        <f>industrie!D18</f>
        <v>172008.17314977638</v>
      </c>
      <c r="E8" s="463">
        <f>industrie!E18</f>
        <v>8618.0512881426494</v>
      </c>
      <c r="F8" s="463">
        <f>industrie!F18</f>
        <v>40544.063914110651</v>
      </c>
      <c r="G8" s="463">
        <f>industrie!G18</f>
        <v>0</v>
      </c>
      <c r="H8" s="463">
        <f>industrie!H18</f>
        <v>0</v>
      </c>
      <c r="I8" s="463">
        <f>industrie!I18</f>
        <v>0</v>
      </c>
      <c r="J8" s="463">
        <f>industrie!J18</f>
        <v>166.53195200742917</v>
      </c>
      <c r="K8" s="463">
        <f>industrie!K18</f>
        <v>0</v>
      </c>
      <c r="L8" s="463">
        <f>industrie!L18</f>
        <v>0</v>
      </c>
      <c r="M8" s="463">
        <f>industrie!M18</f>
        <v>0</v>
      </c>
      <c r="N8" s="463">
        <f>industrie!N18</f>
        <v>42846.872498825513</v>
      </c>
      <c r="O8" s="463">
        <f>industrie!O18</f>
        <v>0</v>
      </c>
      <c r="P8" s="464">
        <f>industrie!P18</f>
        <v>0</v>
      </c>
      <c r="Q8" s="462">
        <f t="shared" si="0"/>
        <v>374828.88907400286</v>
      </c>
    </row>
    <row r="9" spans="1:17" s="468" customFormat="1">
      <c r="A9" s="466" t="s">
        <v>574</v>
      </c>
      <c r="B9" s="467">
        <f>transport!B14</f>
        <v>31.849304218557734</v>
      </c>
      <c r="C9" s="467">
        <f>transport!C14</f>
        <v>0</v>
      </c>
      <c r="D9" s="467">
        <f>transport!D14</f>
        <v>51.466443013130018</v>
      </c>
      <c r="E9" s="467">
        <f>transport!E14</f>
        <v>1748.136480903815</v>
      </c>
      <c r="F9" s="467">
        <f>transport!F14</f>
        <v>0</v>
      </c>
      <c r="G9" s="467">
        <f>transport!G14</f>
        <v>566471.84797188232</v>
      </c>
      <c r="H9" s="467">
        <f>transport!H14</f>
        <v>78834.862653619784</v>
      </c>
      <c r="I9" s="467">
        <f>transport!I14</f>
        <v>0</v>
      </c>
      <c r="J9" s="467">
        <f>transport!J14</f>
        <v>0</v>
      </c>
      <c r="K9" s="467">
        <f>transport!K14</f>
        <v>0</v>
      </c>
      <c r="L9" s="467">
        <f>transport!L14</f>
        <v>0</v>
      </c>
      <c r="M9" s="467">
        <f>transport!M14</f>
        <v>28929.207983837685</v>
      </c>
      <c r="N9" s="467">
        <f>transport!N14</f>
        <v>0</v>
      </c>
      <c r="O9" s="467">
        <f>transport!O14</f>
        <v>0</v>
      </c>
      <c r="P9" s="467">
        <f>transport!P14</f>
        <v>0</v>
      </c>
      <c r="Q9" s="466">
        <f>SUM(B9:P9)</f>
        <v>676067.37083747541</v>
      </c>
    </row>
    <row r="10" spans="1:17">
      <c r="A10" s="462" t="s">
        <v>564</v>
      </c>
      <c r="B10" s="463">
        <f>transport!B54</f>
        <v>0</v>
      </c>
      <c r="C10" s="463">
        <f>transport!C54</f>
        <v>0</v>
      </c>
      <c r="D10" s="463">
        <f>transport!D54</f>
        <v>0</v>
      </c>
      <c r="E10" s="463">
        <f>transport!E54</f>
        <v>0</v>
      </c>
      <c r="F10" s="463">
        <f>transport!F54</f>
        <v>0</v>
      </c>
      <c r="G10" s="463">
        <f>transport!G54</f>
        <v>10553.571851788884</v>
      </c>
      <c r="H10" s="463">
        <f>transport!H54</f>
        <v>0</v>
      </c>
      <c r="I10" s="463">
        <f>transport!I54</f>
        <v>0</v>
      </c>
      <c r="J10" s="463">
        <f>transport!J54</f>
        <v>0</v>
      </c>
      <c r="K10" s="463">
        <f>transport!K54</f>
        <v>0</v>
      </c>
      <c r="L10" s="463">
        <f>transport!L54</f>
        <v>0</v>
      </c>
      <c r="M10" s="463">
        <f>transport!M54</f>
        <v>469.34315340329431</v>
      </c>
      <c r="N10" s="463">
        <f>transport!N54</f>
        <v>0</v>
      </c>
      <c r="O10" s="463">
        <f>transport!O54</f>
        <v>0</v>
      </c>
      <c r="P10" s="464">
        <f>transport!P54</f>
        <v>0</v>
      </c>
      <c r="Q10" s="462">
        <f t="shared" si="0"/>
        <v>11022.915005192179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426557.85341951263</v>
      </c>
      <c r="C14" s="473">
        <f t="shared" ref="C14:Q14" ca="1" si="1">SUM(C4:C13)</f>
        <v>916.07142857142856</v>
      </c>
      <c r="D14" s="473">
        <f t="shared" ca="1" si="1"/>
        <v>821627.01966797537</v>
      </c>
      <c r="E14" s="473">
        <f t="shared" si="1"/>
        <v>20879.643248148815</v>
      </c>
      <c r="F14" s="473">
        <f t="shared" ca="1" si="1"/>
        <v>123843.10465557061</v>
      </c>
      <c r="G14" s="473">
        <f t="shared" si="1"/>
        <v>577025.41982367123</v>
      </c>
      <c r="H14" s="473">
        <f t="shared" si="1"/>
        <v>78834.862653619784</v>
      </c>
      <c r="I14" s="473">
        <f t="shared" si="1"/>
        <v>0</v>
      </c>
      <c r="J14" s="473">
        <f t="shared" si="1"/>
        <v>1873.2541443142595</v>
      </c>
      <c r="K14" s="473">
        <f t="shared" si="1"/>
        <v>0</v>
      </c>
      <c r="L14" s="473">
        <f t="shared" ca="1" si="1"/>
        <v>0</v>
      </c>
      <c r="M14" s="473">
        <f t="shared" si="1"/>
        <v>29398.551137240978</v>
      </c>
      <c r="N14" s="473">
        <f t="shared" ca="1" si="1"/>
        <v>101221.25457217015</v>
      </c>
      <c r="O14" s="473">
        <f t="shared" si="1"/>
        <v>611.26333333333332</v>
      </c>
      <c r="P14" s="474">
        <f t="shared" si="1"/>
        <v>1048.6666666666667</v>
      </c>
      <c r="Q14" s="474">
        <f t="shared" ca="1" si="1"/>
        <v>2183836.9647507952</v>
      </c>
    </row>
    <row r="16" spans="1:17">
      <c r="A16" s="476" t="s">
        <v>569</v>
      </c>
      <c r="B16" s="829">
        <f ca="1">huishoudens!B10</f>
        <v>0.20590390544148574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25556.714912553743</v>
      </c>
      <c r="C21" s="463">
        <f t="shared" ref="C21:C30" ca="1" si="3">C4*$C$16</f>
        <v>0</v>
      </c>
      <c r="D21" s="463">
        <f t="shared" ref="D21:D30" si="4">D4*$D$16</f>
        <v>77360.50850324468</v>
      </c>
      <c r="E21" s="463">
        <f t="shared" ref="E21:E30" si="5">E4*$E$16</f>
        <v>1884.6292350225433</v>
      </c>
      <c r="F21" s="463">
        <f t="shared" ref="F21:F30" si="6">F4*$F$16</f>
        <v>10034.898288715254</v>
      </c>
      <c r="G21" s="463">
        <f t="shared" ref="G21:G30" si="7">G4*$G$16</f>
        <v>0</v>
      </c>
      <c r="H21" s="463">
        <f t="shared" ref="H21:H30" si="8">H4*$H$16</f>
        <v>0</v>
      </c>
      <c r="I21" s="463">
        <f t="shared" ref="I21:I30" si="9">I4*$I$16</f>
        <v>0</v>
      </c>
      <c r="J21" s="463">
        <f t="shared" ref="J21:J30" si="10">J4*$J$16</f>
        <v>456.53732597382509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115293.28826551004</v>
      </c>
    </row>
    <row r="22" spans="1:17">
      <c r="A22" s="462" t="s">
        <v>156</v>
      </c>
      <c r="B22" s="463">
        <f t="shared" ca="1" si="2"/>
        <v>37546.07493106195</v>
      </c>
      <c r="C22" s="463">
        <f t="shared" ca="1" si="3"/>
        <v>217.70168067226894</v>
      </c>
      <c r="D22" s="463">
        <f t="shared" ca="1" si="4"/>
        <v>45609.901573353403</v>
      </c>
      <c r="E22" s="463">
        <f t="shared" si="5"/>
        <v>493.99223238401061</v>
      </c>
      <c r="F22" s="463">
        <f t="shared" ca="1" si="6"/>
        <v>9651.1596964461987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93518.830113917837</v>
      </c>
    </row>
    <row r="23" spans="1:17">
      <c r="A23" s="462" t="s">
        <v>194</v>
      </c>
      <c r="B23" s="463">
        <f t="shared" ca="1" si="2"/>
        <v>1367.2744103061807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1367.2744103061807</v>
      </c>
    </row>
    <row r="24" spans="1:17">
      <c r="A24" s="462" t="s">
        <v>112</v>
      </c>
      <c r="B24" s="463">
        <f t="shared" ca="1" si="2"/>
        <v>571.02773520089522</v>
      </c>
      <c r="C24" s="463">
        <f t="shared" ca="1" si="3"/>
        <v>0</v>
      </c>
      <c r="D24" s="463">
        <f t="shared" si="4"/>
        <v>8242.200698589475</v>
      </c>
      <c r="E24" s="463">
        <f t="shared" si="5"/>
        <v>7.9329263496808586</v>
      </c>
      <c r="F24" s="463">
        <f t="shared" si="6"/>
        <v>2554.7858928083583</v>
      </c>
      <c r="G24" s="463">
        <f t="shared" si="7"/>
        <v>0</v>
      </c>
      <c r="H24" s="463">
        <f t="shared" si="8"/>
        <v>0</v>
      </c>
      <c r="I24" s="463">
        <f t="shared" si="9"/>
        <v>0</v>
      </c>
      <c r="J24" s="463">
        <f t="shared" si="10"/>
        <v>147.64233010279278</v>
      </c>
      <c r="K24" s="463">
        <f t="shared" si="11"/>
        <v>0</v>
      </c>
      <c r="L24" s="463">
        <f t="shared" si="12"/>
        <v>0</v>
      </c>
      <c r="M24" s="463">
        <f t="shared" si="13"/>
        <v>0</v>
      </c>
      <c r="N24" s="463">
        <f t="shared" si="14"/>
        <v>0</v>
      </c>
      <c r="O24" s="463">
        <f t="shared" si="15"/>
        <v>0</v>
      </c>
      <c r="P24" s="464">
        <f t="shared" si="16"/>
        <v>0</v>
      </c>
      <c r="Q24" s="462">
        <f t="shared" ca="1" si="17"/>
        <v>11523.589583051202</v>
      </c>
    </row>
    <row r="25" spans="1:17">
      <c r="A25" s="462" t="s">
        <v>657</v>
      </c>
      <c r="B25" s="463">
        <f t="shared" ca="1" si="2"/>
        <v>22782.278030567504</v>
      </c>
      <c r="C25" s="463">
        <f t="shared" ca="1" si="3"/>
        <v>0</v>
      </c>
      <c r="D25" s="463">
        <f t="shared" si="4"/>
        <v>34745.65097625483</v>
      </c>
      <c r="E25" s="463">
        <f t="shared" si="5"/>
        <v>1956.2976424083815</v>
      </c>
      <c r="F25" s="463">
        <f t="shared" si="6"/>
        <v>10825.265065067544</v>
      </c>
      <c r="G25" s="463">
        <f t="shared" si="7"/>
        <v>0</v>
      </c>
      <c r="H25" s="463">
        <f t="shared" si="8"/>
        <v>0</v>
      </c>
      <c r="I25" s="463">
        <f t="shared" si="9"/>
        <v>0</v>
      </c>
      <c r="J25" s="463">
        <f t="shared" si="10"/>
        <v>58.95231101062992</v>
      </c>
      <c r="K25" s="463">
        <f t="shared" si="11"/>
        <v>0</v>
      </c>
      <c r="L25" s="463">
        <f t="shared" si="12"/>
        <v>0</v>
      </c>
      <c r="M25" s="463">
        <f t="shared" si="13"/>
        <v>0</v>
      </c>
      <c r="N25" s="463">
        <f t="shared" si="14"/>
        <v>0</v>
      </c>
      <c r="O25" s="463">
        <f t="shared" si="15"/>
        <v>0</v>
      </c>
      <c r="P25" s="464">
        <f t="shared" si="16"/>
        <v>0</v>
      </c>
      <c r="Q25" s="462">
        <f t="shared" ca="1" si="17"/>
        <v>70368.444025308883</v>
      </c>
    </row>
    <row r="26" spans="1:17" s="468" customFormat="1">
      <c r="A26" s="466" t="s">
        <v>574</v>
      </c>
      <c r="B26" s="823">
        <f t="shared" ca="1" si="2"/>
        <v>6.5578961241950244</v>
      </c>
      <c r="C26" s="467">
        <f t="shared" ca="1" si="3"/>
        <v>0</v>
      </c>
      <c r="D26" s="467">
        <f t="shared" si="4"/>
        <v>10.396221488652264</v>
      </c>
      <c r="E26" s="467">
        <f t="shared" si="5"/>
        <v>396.82698116516605</v>
      </c>
      <c r="F26" s="467">
        <f t="shared" si="6"/>
        <v>0</v>
      </c>
      <c r="G26" s="467">
        <f t="shared" si="7"/>
        <v>151247.98340849258</v>
      </c>
      <c r="H26" s="467">
        <f t="shared" si="8"/>
        <v>19629.880800751325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171291.64530802192</v>
      </c>
    </row>
    <row r="27" spans="1:17">
      <c r="A27" s="462" t="s">
        <v>564</v>
      </c>
      <c r="B27" s="463">
        <f t="shared" ca="1" si="2"/>
        <v>0</v>
      </c>
      <c r="C27" s="463">
        <f t="shared" ca="1" si="3"/>
        <v>0</v>
      </c>
      <c r="D27" s="463">
        <f t="shared" si="4"/>
        <v>0</v>
      </c>
      <c r="E27" s="463">
        <f t="shared" si="5"/>
        <v>0</v>
      </c>
      <c r="F27" s="463">
        <f t="shared" si="6"/>
        <v>0</v>
      </c>
      <c r="G27" s="463">
        <f t="shared" si="7"/>
        <v>2817.8036844276321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2817.8036844276321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87829.927915814478</v>
      </c>
      <c r="C31" s="473">
        <f t="shared" ca="1" si="18"/>
        <v>217.70168067226894</v>
      </c>
      <c r="D31" s="473">
        <f t="shared" ca="1" si="18"/>
        <v>165968.65797293105</v>
      </c>
      <c r="E31" s="473">
        <f t="shared" si="18"/>
        <v>4739.6790173297823</v>
      </c>
      <c r="F31" s="473">
        <f t="shared" ca="1" si="18"/>
        <v>33066.108943037354</v>
      </c>
      <c r="G31" s="473">
        <f t="shared" si="18"/>
        <v>154065.78709292022</v>
      </c>
      <c r="H31" s="473">
        <f t="shared" si="18"/>
        <v>19629.880800751325</v>
      </c>
      <c r="I31" s="473">
        <f t="shared" si="18"/>
        <v>0</v>
      </c>
      <c r="J31" s="473">
        <f t="shared" si="18"/>
        <v>663.13196708724786</v>
      </c>
      <c r="K31" s="473">
        <f t="shared" si="18"/>
        <v>0</v>
      </c>
      <c r="L31" s="473">
        <f t="shared" ca="1" si="18"/>
        <v>0</v>
      </c>
      <c r="M31" s="473">
        <f t="shared" si="18"/>
        <v>0</v>
      </c>
      <c r="N31" s="473">
        <f t="shared" ca="1" si="18"/>
        <v>0</v>
      </c>
      <c r="O31" s="473">
        <f t="shared" si="18"/>
        <v>0</v>
      </c>
      <c r="P31" s="474">
        <f t="shared" si="18"/>
        <v>0</v>
      </c>
      <c r="Q31" s="474">
        <f t="shared" ca="1" si="18"/>
        <v>466180.87539054372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0.20590390544148574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0.20590390544148574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0.20590390544148574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2018-06-27T09:31:00Z</dcterms:modified>
</cp:coreProperties>
</file>