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P15"/>
  <c r="P23" s="1"/>
  <c r="N7" i="48"/>
  <c r="N24" s="1"/>
  <c r="E7"/>
  <c r="E24"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8" i="14"/>
  <c r="R17"/>
  <c r="Q13" i="48"/>
  <c r="I19" i="14"/>
  <c r="I20" s="1"/>
  <c r="I23" s="1"/>
  <c r="M18" i="22"/>
  <c r="N45" i="14"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N46"/>
  <c r="N53"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13" i="14"/>
  <c r="F15" s="1"/>
  <c r="F23" s="1"/>
  <c r="F55" s="1"/>
  <c r="K13"/>
  <c r="K15" s="1"/>
  <c r="K23" s="1"/>
  <c r="F22" i="16"/>
  <c r="G39" i="14" s="1"/>
  <c r="G41" s="1"/>
  <c r="F8" i="48"/>
  <c r="N25"/>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F25" i="48"/>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<sst xmlns="http://schemas.openxmlformats.org/spreadsheetml/2006/main" count="1961" uniqueCount="840">
  <si>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</si>
  <si>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</si>
  <si>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</si>
  <si>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</si>
  <si>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</si>
  <si>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</si>
  <si>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</si>
  <si>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</si>
  <si>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</si>
  <si>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</si>
  <si>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</si>
  <si>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</si>
  <si>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</si>
  <si>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</si>
  <si>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</si>
  <si>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</si>
  <si>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</si>
  <si>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</si>
  <si>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</si>
  <si>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</si>
  <si>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</si>
  <si>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</si>
  <si>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</si>
  <si>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</si>
  <si>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</si>
  <si>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</si>
  <si>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</si>
  <si>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</si>
  <si>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</si>
  <si>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</si>
  <si>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</si>
  <si>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</si>
  <si>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</si>
  <si>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</si>
  <si>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</si>
  <si>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</si>
  <si>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</si>
  <si>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</si>
  <si>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</si>
  <si>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</si>
  <si>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</si>
  <si>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</si>
  <si>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</si>
  <si>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</si>
  <si>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</si>
  <si>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</si>
  <si>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</si>
  <si>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</si>
  <si>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</si>
  <si>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</si>
  <si>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</si>
  <si>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</si>
  <si>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</si>
  <si>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</si>
  <si>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</si>
  <si>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</si>
  <si>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</si>
  <si>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</si>
  <si>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</si>
  <si>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</si>
  <si>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</si>
  <si>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</si>
  <si>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</si>
  <si>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</si>
  <si>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</si>
  <si>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</si>
  <si>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</si>
  <si>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</si>
  <si>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</si>
  <si>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</si>
  <si>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</si>
  <si>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</si>
  <si>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</si>
  <si>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</si>
  <si>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</si>
  <si>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</si>
  <si>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</si>
  <si>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</si>
  <si>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</si>
  <si>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</si>
  <si>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</si>
  <si>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</si>
  <si>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</si>
  <si>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</si>
  <si>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</si>
  <si>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</si>
  <si>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</si>
  <si>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</si>
  <si>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</si>
  <si>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</si>
  <si>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</si>
  <si>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</si>
  <si>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</si>
  <si>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</si>
  <si>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</si>
  <si>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</si>
  <si>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</si>
  <si>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</si>
  <si>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</si>
  <si>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</si>
  <si>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</si>
  <si>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</si>
  <si>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</si>
  <si>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</si>
  <si>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</si>
  <si>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</si>
  <si>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</si>
  <si>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</si>
  <si>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</si>
  <si>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</si>
  <si>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</si>
  <si>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</si>
  <si>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</si>
  <si>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</si>
  <si>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</si>
  <si>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</si>
  <si>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</si>
  <si>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</si>
  <si>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</si>
  <si>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</si>
  <si>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</si>
  <si>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</si>
  <si>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</si>
  <si>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</si>
  <si>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</si>
  <si>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</si>
  <si>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</si>
  <si>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</si>
  <si>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</si>
  <si>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</si>
  <si>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</si>
  <si>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</si>
  <si>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</si>
  <si>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</si>
  <si>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</si>
  <si>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</si>
  <si>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</si>
  <si>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</si>
  <si>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</si>
  <si>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</si>
  <si>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</si>
  <si>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</si>
  <si>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</si>
  <si>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</si>
  <si>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</si>
  <si>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</si>
  <si>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</si>
  <si>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</si>
  <si>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</si>
  <si>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</si>
  <si>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</si>
  <si>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</si>
  <si>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</si>
  <si>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</si>
  <si>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</si>
  <si>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</si>
  <si>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</si>
  <si>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</si>
  <si>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</si>
  <si>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</si>
  <si>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</si>
  <si>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</si>
  <si>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</si>
  <si>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</si>
  <si>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</si>
  <si>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</si>
  <si>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</si>
  <si>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</si>
  <si>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</si>
  <si>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</si>
  <si>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</si>
  <si>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</si>
  <si>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</si>
  <si>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</si>
  <si>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</si>
  <si>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</si>
  <si>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</si>
  <si>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</si>
  <si>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</si>
  <si>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</si>
  <si>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</si>
  <si>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</si>
  <si>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</si>
  <si>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</si>
  <si>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</si>
  <si>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</si>
  <si>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</si>
  <si>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</si>
  <si>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</si>
  <si>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</si>
  <si>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</si>
  <si>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</si>
  <si>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</si>
  <si>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</si>
  <si>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</si>
  <si>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</si>
  <si>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</si>
  <si>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</si>
  <si>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</si>
  <si>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</si>
  <si>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</si>
  <si>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</si>
  <si>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</si>
  <si>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</si>
  <si>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</si>
  <si>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</si>
  <si>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</si>
  <si>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</si>
  <si>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</si>
  <si>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</si>
  <si>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</si>
  <si>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</si>
  <si>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</si>
  <si>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</si>
  <si>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</si>
  <si>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</si>
  <si>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</si>
  <si>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</si>
  <si>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</si>
  <si>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</si>
  <si>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</si>
  <si>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</si>
  <si>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</si>
  <si>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</si>
  <si>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</si>
  <si>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</si>
  <si>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</si>
  <si>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</si>
  <si>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</si>
  <si>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</si>
  <si>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</si>
  <si>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</si>
  <si>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</si>
  <si>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</si>
  <si>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</si>
  <si>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</si>
  <si>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</si>
  <si>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</si>
  <si>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</si>
  <si>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</si>
  <si>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</si>
  <si>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</si>
  <si>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</si>
  <si>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</si>
  <si>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</si>
  <si>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</si>
  <si>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</si>
  <si>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</si>
  <si>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</si>
  <si>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</si>
  <si>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</si>
  <si>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</si>
  <si>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</si>
  <si>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</si>
  <si>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</si>
  <si>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</si>
  <si>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</si>
  <si>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</si>
  <si>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</si>
  <si>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</si>
  <si>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</si>
  <si>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</si>
  <si>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</si>
  <si>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</si>
  <si>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</si>
  <si>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</si>
  <si>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</si>
  <si>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</si>
  <si>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</si>
  <si>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</si>
  <si>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</si>
  <si>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</si>
  <si>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</si>
  <si>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</si>
  <si>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</si>
  <si>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</si>
  <si>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</si>
  <si>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</si>
  <si>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</si>
  <si>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</si>
  <si>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</si>
  <si>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</si>
  <si>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</si>
  <si>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</si>
  <si>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</si>
  <si>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</si>
  <si>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</si>
  <si>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</si>
  <si>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</si>
  <si>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</si>
  <si>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</si>
  <si>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</si>
  <si>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</si>
  <si>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</si>
  <si>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</si>
  <si>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</si>
  <si>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</si>
  <si>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</si>
  <si>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</si>
  <si>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</si>
  <si>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</si>
  <si>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</si>
  <si>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</si>
  <si>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</si>
  <si>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</si>
  <si>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</si>
  <si>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</si>
  <si>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</si>
  <si>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</si>
  <si>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</si>
  <si>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</si>
  <si>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</si>
  <si>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</si>
  <si>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</si>
  <si>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</si>
  <si>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</si>
  <si>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</si>
  <si>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</si>
  <si>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</si>
  <si>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</si>
  <si>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</si>
  <si>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</si>
  <si>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</si>
  <si>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</si>
  <si>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</si>
  <si>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</si>
  <si>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</si>
  <si>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</si>
  <si>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</si>
  <si>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</si>
  <si>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</si>
  <si>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</si>
  <si>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</si>
  <si>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</si>
  <si>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</si>
  <si>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</si>
  <si>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</si>
  <si>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</si>
  <si>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</si>
  <si>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</si>
  <si>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</si>
  <si>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</si>
  <si>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</si>
  <si>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</si>
  <si>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</si>
  <si>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</si>
  <si>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</si>
  <si>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</si>
  <si>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</si>
  <si>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</si>
  <si>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</si>
  <si>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</si>
  <si>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</si>
  <si>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</si>
  <si>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</si>
  <si>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</si>
  <si>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</si>
  <si>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</si>
  <si>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</si>
  <si>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</si>
  <si>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</si>
  <si>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</si>
  <si>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</si>
  <si>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</si>
  <si>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</si>
  <si>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</si>
  <si>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</si>
  <si>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</si>
  <si>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</si>
  <si>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</si>
  <si>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</si>
  <si>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</si>
  <si>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</si>
  <si>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</si>
  <si>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</si>
  <si>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</si>
  <si>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</si>
  <si>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</si>
  <si>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</si>
  <si>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</si>
  <si>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</si>
  <si>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</si>
  <si>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</si>
  <si>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</si>
  <si>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</si>
  <si>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</si>
  <si>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</si>
  <si>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</si>
  <si>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</si>
  <si>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</si>
  <si>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</si>
  <si>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</si>
  <si>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</si>
  <si>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</si>
  <si>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</si>
  <si>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</si>
  <si>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</si>
  <si>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</si>
  <si>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</si>
  <si>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</si>
  <si>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</si>
  <si>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</si>
  <si>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</si>
  <si>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</si>
  <si>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</si>
  <si>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</si>
  <si>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</si>
  <si>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</si>
  <si>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</si>
  <si>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</si>
  <si>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</si>
  <si>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</si>
  <si>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</si>
  <si>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</si>
  <si>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</si>
  <si>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</si>
  <si>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</si>
  <si>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</si>
  <si>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</si>
  <si>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</si>
  <si>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</si>
  <si>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</si>
  <si>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</si>
  <si>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</si>
  <si>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</si>
  <si>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</si>
  <si>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</si>
  <si>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</si>
  <si>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</si>
  <si>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</si>
  <si>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</si>
  <si>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</si>
  <si>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</si>
  <si>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</si>
  <si>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</si>
  <si>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</si>
  <si>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</si>
  <si>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</si>
  <si>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</si>
  <si>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</si>
  <si>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</si>
  <si>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</si>
  <si>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</si>
  <si>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</si>
  <si>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</si>
  <si>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</si>
  <si>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</si>
  <si>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</si>
  <si>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</si>
  <si>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</si>
  <si>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</si>
  <si>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</si>
  <si>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</si>
  <si>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</si>
  <si>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</si>
  <si>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</si>
  <si>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</si>
  <si>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</si>
  <si>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</si>
  <si>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</si>
  <si>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</si>
  <si>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</si>
  <si>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</si>
  <si>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</si>
  <si>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</si>
  <si>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</si>
  <si>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</si>
  <si>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</si>
  <si>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</si>
  <si>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</si>
  <si>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</si>
  <si>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</si>
  <si>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</si>
  <si>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</si>
  <si>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</si>
  <si>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</si>
  <si>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</si>
  <si>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</si>
  <si>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</si>
  <si>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</si>
  <si>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</si>
  <si>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</si>
  <si>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</si>
  <si>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</si>
  <si>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</si>
  <si>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</si>
  <si>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</si>
  <si>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</si>
  <si>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</si>
  <si>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</si>
  <si>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</si>
  <si>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</si>
  <si>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</si>
  <si>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</si>
  <si>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</si>
  <si>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</si>
  <si>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</si>
  <si>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</si>
  <si>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</si>
  <si>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</si>
  <si>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</si>
  <si>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</si>
  <si>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</si>
  <si>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</si>
  <si>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</si>
  <si>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</si>
  <si>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</si>
  <si>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</si>
  <si>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</si>
  <si>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</si>
  <si>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</si>
  <si>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</si>
  <si>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</si>
  <si>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</si>
  <si>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</si>
  <si>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</si>
  <si>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</si>
  <si>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</si>
  <si>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</si>
  <si>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</si>
  <si>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</si>
  <si>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</si>
  <si>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</si>
  <si>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</si>
  <si>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</si>
  <si>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</si>
  <si>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</si>
  <si>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</si>
  <si>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</si>
  <si>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</si>
  <si>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</si>
  <si>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</si>
  <si>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</si>
  <si>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</si>
  <si>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</si>
  <si>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</si>
  <si>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</si>
  <si>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</si>
  <si>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</si>
  <si>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</si>
  <si>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</si>
  <si>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</si>
  <si>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</si>
  <si>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</si>
  <si>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</si>
  <si>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</si>
  <si>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</si>
  <si>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</si>
  <si>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</si>
  <si>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</si>
  <si>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</si>
  <si>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</si>
  <si>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</si>
  <si>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</si>
  <si>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</si>
  <si>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</si>
  <si>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</si>
  <si>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</si>
  <si>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</si>
  <si>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</si>
  <si>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</si>
  <si>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</si>
  <si>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</si>
  <si>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</si>
  <si>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</si>
  <si>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</si>
  <si>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</si>
  <si>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</si>
  <si>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</si>
  <si>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</si>
  <si>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</si>
  <si>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</si>
  <si>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</si>
  <si>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</si>
  <si>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</si>
  <si>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</si>
  <si>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</si>
  <si>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</si>
  <si>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</si>
  <si>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</si>
  <si>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</si>
  <si>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</si>
  <si>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</si>
  <si>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</si>
  <si>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</si>
  <si>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</si>
  <si>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</si>
  <si>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</si>
  <si>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</si>
  <si>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</si>
  <si>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</si>
  <si>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</si>
  <si>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</si>
  <si>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</si>
  <si>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</si>
  <si>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</si>
  <si>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</si>
  <si>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</si>
  <si>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</si>
  <si>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</si>
  <si>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</si>
  <si>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</si>
  <si>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</si>
  <si>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</si>
  <si>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</si>
  <si>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</si>
  <si>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</si>
  <si>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</si>
  <si>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</si>
  <si>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</si>
  <si>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</si>
  <si>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</si>
  <si>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</si>
  <si>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</si>
  <si>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</si>
  <si>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</si>
  <si>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</si>
  <si>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</si>
  <si>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</si>
  <si>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</si>
  <si>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</si>
  <si>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</si>
  <si>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</si>
  <si>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</si>
  <si>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</si>
  <si>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</si>
  <si>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</si>
  <si>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</si>
  <si>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</si>
  <si>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</si>
  <si>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</si>
  <si>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</si>
  <si>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</si>
  <si>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</si>
  <si>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</si>
  <si>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</si>
  <si>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</si>
  <si>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</si>
  <si>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</si>
  <si>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</si>
  <si>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</si>
  <si>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</si>
  <si>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</si>
  <si>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</si>
  <si>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</si>
  <si>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</si>
  <si>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</si>
  <si>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</si>
  <si>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</si>
  <si>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</si>
  <si>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</si>
  <si>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</si>
  <si>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</si>
  <si>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</si>
  <si>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</si>
  <si>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</si>
  <si>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</si>
  <si>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</si>
  <si>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</si>
  <si>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</si>
  <si>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</si>
  <si>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</si>
  <si>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</si>
  <si>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</si>
  <si>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</si>
  <si>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</si>
  <si>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</si>
  <si>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</si>
  <si>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</si>
  <si>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</si>
  <si>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</si>
  <si>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</si>
  <si>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</si>
  <si>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</si>
  <si>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</si>
  <si>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</si>
  <si>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</si>
  <si>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</si>
  <si>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</si>
  <si>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</si>
  <si>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</si>
  <si>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</si>
  <si>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</si>
  <si>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</si>
  <si>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</si>
  <si>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</si>
  <si>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</si>
  <si>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</si>
  <si>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</si>
  <si>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</si>
  <si>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</si>
  <si>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</si>
  <si>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</si>
  <si>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</si>
  <si>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</si>
  <si>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</si>
  <si>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</si>
  <si>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</si>
  <si>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</si>
  <si>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</si>
  <si>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</si>
  <si>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</si>
  <si>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</si>
  <si>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</si>
  <si>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</si>
  <si>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</si>
  <si>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</si>
  <si>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</si>
  <si>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</si>
  <si>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</si>
  <si>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</si>
  <si>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</si>
  <si>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</si>
  <si>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</si>
  <si>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</si>
  <si>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</si>
  <si>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</si>
  <si>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</si>
  <si>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</si>
  <si>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</si>
  <si>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</si>
  <si>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</si>
  <si>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</si>
  <si>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</si>
  <si>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</si>
  <si>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</si>
  <si>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</si>
  <si>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</si>
  <si>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</si>
  <si>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</si>
  <si>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</si>
  <si>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</si>
  <si>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</si>
  <si>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</si>
  <si>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</si>
  <si>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</si>
  <si>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</si>
  <si>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</si>
  <si>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</si>
  <si>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</si>
  <si>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</si>
  <si>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</si>
  <si>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</si>
  <si>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</si>
  <si>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</si>
  <si>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</si>
  <si>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</si>
  <si>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</si>
  <si>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</si>
  <si>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</si>
  <si>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</si>
  <si>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</si>
  <si>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</si>
  <si>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</si>
  <si>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</si>
  <si>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</si>
  <si>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</si>
  <si>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</si>
  <si>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</si>
  <si>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</si>
  <si>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</si>
  <si>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</si>
  <si>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</si>
  <si>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</si>
  <si>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</si>
  <si>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</si>
  <si>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</si>
  <si>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</si>
  <si>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</si>
  <si>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</si>
  <si>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</si>
  <si>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</si>
  <si>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</si>
  <si>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</si>
  <si>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</si>
  <si>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</si>
  <si>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</si>
  <si>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</si>
  <si>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</si>
  <si>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</si>
  <si>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</si>
  <si>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</si>
  <si>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</si>
  <si>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</si>
  <si>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</si>
  <si>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</si>
  <si>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</si>
  <si>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</si>
  <si>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</si>
  <si>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</si>
  <si>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</si>
  <si>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</si>
  <si>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</si>
  <si>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</si>
  <si>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</si>
  <si>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</si>
  <si>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</si>
  <si>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</si>
  <si>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</si>
  <si>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</si>
  <si>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</si>
  <si>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</si>
  <si>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</si>
  <si>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</si>
  <si>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</si>
  <si>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</si>
  <si>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</si>
  <si>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</si>
  <si>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</si>
  <si>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</si>
  <si>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</si>
  <si>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</si>
  <si>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</si>
  <si>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</si>
  <si>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</si>
  <si>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</si>
  <si>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</si>
  <si>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</si>
  <si>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</si>
  <si>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</si>
  <si>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</si>
  <si>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</si>
  <si>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</si>
  <si>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</si>
  <si>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</si>
  <si>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</si>
  <si>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</si>
  <si>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</si>
  <si>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</si>
  <si>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</si>
  <si>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</si>
  <si>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</si>
  <si>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</si>
  <si>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33039</t>
  </si>
  <si>
    <t>HEUVELLAND</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</si>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</sst>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87892.715392788363</c:v>
                </c:pt>
                <c:pt idx="1">
                  <c:v>19359.966808643985</c:v>
                </c:pt>
                <c:pt idx="2">
                  <c:v>1093.816</c:v>
                </c:pt>
                <c:pt idx="3">
                  <c:v>28532.36960932802</c:v>
                </c:pt>
                <c:pt idx="4">
                  <c:v>431024.70657038997</c:v>
                </c:pt>
                <c:pt idx="5">
                  <c:v>30311.399926721529</c:v>
                </c:pt>
                <c:pt idx="6">
                  <c:v>279.63417067228465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87892.715392788363</c:v>
                </c:pt>
                <c:pt idx="1">
                  <c:v>19359.966808643985</c:v>
                </c:pt>
                <c:pt idx="2">
                  <c:v>1093.816</c:v>
                </c:pt>
                <c:pt idx="3">
                  <c:v>28532.36960932802</c:v>
                </c:pt>
                <c:pt idx="4">
                  <c:v>431024.70657038997</c:v>
                </c:pt>
                <c:pt idx="5">
                  <c:v>30311.399926721529</c:v>
                </c:pt>
                <c:pt idx="6">
                  <c:v>279.63417067228465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17543.75863781459</c:v>
                </c:pt>
                <c:pt idx="1">
                  <c:v>3972.6569984149742</c:v>
                </c:pt>
                <c:pt idx="2">
                  <c:v>234.89497687258259</c:v>
                </c:pt>
                <c:pt idx="3">
                  <c:v>7287.3201501953909</c:v>
                </c:pt>
                <c:pt idx="4">
                  <c:v>90807.872268989653</c:v>
                </c:pt>
                <c:pt idx="5">
                  <c:v>7659.1068562131759</c:v>
                </c:pt>
                <c:pt idx="6">
                  <c:v>71.483286956406275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17543.75863781459</c:v>
                </c:pt>
                <c:pt idx="1">
                  <c:v>3972.6569984149742</c:v>
                </c:pt>
                <c:pt idx="2">
                  <c:v>234.89497687258259</c:v>
                </c:pt>
                <c:pt idx="3">
                  <c:v>7287.3201501953909</c:v>
                </c:pt>
                <c:pt idx="4">
                  <c:v>90807.872268989653</c:v>
                </c:pt>
                <c:pt idx="5">
                  <c:v>7659.1068562131759</c:v>
                </c:pt>
                <c:pt idx="6">
                  <c:v>71.483286956406275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33039</v>
      </c>
      <c r="B6" s="398"/>
      <c r="C6" s="399"/>
    </row>
    <row r="7" spans="1:7" s="396" customFormat="1" ht="15.75" customHeight="1">
      <c r="A7" s="400" t="str">
        <f>txtMunicipality</f>
        <v>HEUVELLAND</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33039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3221</v>
      </c>
      <c r="C9" s="338">
        <v>3273</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7794</v>
      </c>
    </row>
    <row r="15" spans="1:6">
      <c r="A15" s="1212" t="s">
        <v>184</v>
      </c>
      <c r="B15" s="335">
        <v>108</v>
      </c>
    </row>
    <row r="16" spans="1:6">
      <c r="A16" s="1212" t="s">
        <v>6</v>
      </c>
      <c r="B16" s="335">
        <v>3425</v>
      </c>
    </row>
    <row r="17" spans="1:6">
      <c r="A17" s="1212" t="s">
        <v>7</v>
      </c>
      <c r="B17" s="335">
        <v>2569</v>
      </c>
    </row>
    <row r="18" spans="1:6">
      <c r="A18" s="1212" t="s">
        <v>8</v>
      </c>
      <c r="B18" s="335">
        <v>3985</v>
      </c>
    </row>
    <row r="19" spans="1:6">
      <c r="A19" s="1212" t="s">
        <v>9</v>
      </c>
      <c r="B19" s="335">
        <v>3925</v>
      </c>
    </row>
    <row r="20" spans="1:6">
      <c r="A20" s="1212" t="s">
        <v>10</v>
      </c>
      <c r="B20" s="335">
        <v>2481</v>
      </c>
    </row>
    <row r="21" spans="1:6">
      <c r="A21" s="1212" t="s">
        <v>11</v>
      </c>
      <c r="B21" s="335">
        <v>27684</v>
      </c>
    </row>
    <row r="22" spans="1:6">
      <c r="A22" s="1212" t="s">
        <v>12</v>
      </c>
      <c r="B22" s="335">
        <v>63902</v>
      </c>
    </row>
    <row r="23" spans="1:6">
      <c r="A23" s="1212" t="s">
        <v>13</v>
      </c>
      <c r="B23" s="335">
        <v>1097</v>
      </c>
    </row>
    <row r="24" spans="1:6">
      <c r="A24" s="1212" t="s">
        <v>14</v>
      </c>
      <c r="B24" s="335">
        <v>55</v>
      </c>
    </row>
    <row r="25" spans="1:6">
      <c r="A25" s="1212" t="s">
        <v>15</v>
      </c>
      <c r="B25" s="335">
        <v>6585</v>
      </c>
    </row>
    <row r="26" spans="1:6">
      <c r="A26" s="1212" t="s">
        <v>16</v>
      </c>
      <c r="B26" s="335">
        <v>459</v>
      </c>
    </row>
    <row r="27" spans="1:6">
      <c r="A27" s="1212" t="s">
        <v>17</v>
      </c>
      <c r="B27" s="335">
        <v>12</v>
      </c>
    </row>
    <row r="28" spans="1:6" s="341" customFormat="1">
      <c r="A28" s="1213" t="s">
        <v>18</v>
      </c>
      <c r="B28" s="1213">
        <v>275879</v>
      </c>
    </row>
    <row r="29" spans="1:6">
      <c r="A29" s="1213" t="s">
        <v>836</v>
      </c>
      <c r="B29" s="1213">
        <v>198</v>
      </c>
      <c r="C29" s="341"/>
      <c r="D29" s="341"/>
      <c r="E29" s="341"/>
      <c r="F29" s="341"/>
    </row>
    <row r="30" spans="1:6">
      <c r="A30" s="1208" t="s">
        <v>837</v>
      </c>
      <c r="B30" s="1208">
        <v>22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3</v>
      </c>
      <c r="F38" s="335">
        <v>10268.655987295801</v>
      </c>
    </row>
    <row r="39" spans="1:6">
      <c r="A39" s="1212" t="s">
        <v>30</v>
      </c>
      <c r="B39" s="1212" t="s">
        <v>31</v>
      </c>
      <c r="C39" s="335">
        <v>1567</v>
      </c>
      <c r="D39" s="335">
        <v>28193883.851539999</v>
      </c>
      <c r="E39" s="335">
        <v>3058</v>
      </c>
      <c r="F39" s="335">
        <v>12495424.9420752</v>
      </c>
    </row>
    <row r="40" spans="1:6">
      <c r="A40" s="1212" t="s">
        <v>30</v>
      </c>
      <c r="B40" s="1212" t="s">
        <v>29</v>
      </c>
      <c r="C40" s="335">
        <v>0</v>
      </c>
      <c r="D40" s="335">
        <v>0</v>
      </c>
      <c r="E40" s="335">
        <v>0</v>
      </c>
      <c r="F40" s="335">
        <v>0</v>
      </c>
    </row>
    <row r="41" spans="1:6">
      <c r="A41" s="1212" t="s">
        <v>32</v>
      </c>
      <c r="B41" s="1212" t="s">
        <v>33</v>
      </c>
      <c r="C41" s="335">
        <v>3</v>
      </c>
      <c r="D41" s="335">
        <v>113086.24881758299</v>
      </c>
      <c r="E41" s="335">
        <v>34</v>
      </c>
      <c r="F41" s="335">
        <v>175414.788577992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37</v>
      </c>
      <c r="D48" s="335">
        <v>233372209.950129</v>
      </c>
      <c r="E48" s="335">
        <v>54</v>
      </c>
      <c r="F48" s="335">
        <v>7514855.6318292003</v>
      </c>
    </row>
    <row r="49" spans="1:6">
      <c r="A49" s="1212" t="s">
        <v>32</v>
      </c>
      <c r="B49" s="1212" t="s">
        <v>40</v>
      </c>
      <c r="C49" s="335">
        <v>0</v>
      </c>
      <c r="D49" s="335">
        <v>0</v>
      </c>
      <c r="E49" s="335">
        <v>0</v>
      </c>
      <c r="F49" s="335">
        <v>0</v>
      </c>
    </row>
    <row r="50" spans="1:6">
      <c r="A50" s="1212" t="s">
        <v>32</v>
      </c>
      <c r="B50" s="1212" t="s">
        <v>41</v>
      </c>
      <c r="C50" s="335">
        <v>0</v>
      </c>
      <c r="D50" s="335">
        <v>0</v>
      </c>
      <c r="E50" s="335">
        <v>9</v>
      </c>
      <c r="F50" s="335">
        <v>72853385.137619704</v>
      </c>
    </row>
    <row r="51" spans="1:6">
      <c r="A51" s="1212" t="s">
        <v>42</v>
      </c>
      <c r="B51" s="1212" t="s">
        <v>43</v>
      </c>
      <c r="C51" s="335">
        <v>13</v>
      </c>
      <c r="D51" s="335">
        <v>466349.39099876501</v>
      </c>
      <c r="E51" s="335">
        <v>212</v>
      </c>
      <c r="F51" s="335">
        <v>4679093.5903604701</v>
      </c>
    </row>
    <row r="52" spans="1:6">
      <c r="A52" s="1212" t="s">
        <v>42</v>
      </c>
      <c r="B52" s="1212" t="s">
        <v>29</v>
      </c>
      <c r="C52" s="335">
        <v>7</v>
      </c>
      <c r="D52" s="335">
        <v>175805.80404924499</v>
      </c>
      <c r="E52" s="335">
        <v>33</v>
      </c>
      <c r="F52" s="335">
        <v>1177357.3689973201</v>
      </c>
    </row>
    <row r="53" spans="1:6">
      <c r="A53" s="1212" t="s">
        <v>44</v>
      </c>
      <c r="B53" s="1212" t="s">
        <v>45</v>
      </c>
      <c r="C53" s="335">
        <v>52</v>
      </c>
      <c r="D53" s="335">
        <v>1037615.57471115</v>
      </c>
      <c r="E53" s="335">
        <v>110</v>
      </c>
      <c r="F53" s="335">
        <v>707253.02935051802</v>
      </c>
    </row>
    <row r="54" spans="1:6">
      <c r="A54" s="1212" t="s">
        <v>46</v>
      </c>
      <c r="B54" s="1212" t="s">
        <v>47</v>
      </c>
      <c r="C54" s="335">
        <v>0</v>
      </c>
      <c r="D54" s="335">
        <v>0</v>
      </c>
      <c r="E54" s="335">
        <v>1</v>
      </c>
      <c r="F54" s="335">
        <v>1093816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25</v>
      </c>
      <c r="D57" s="335">
        <v>1352606.39814267</v>
      </c>
      <c r="E57" s="335">
        <v>72</v>
      </c>
      <c r="F57" s="335">
        <v>662471.81148627703</v>
      </c>
    </row>
    <row r="58" spans="1:6">
      <c r="A58" s="1212" t="s">
        <v>49</v>
      </c>
      <c r="B58" s="1212" t="s">
        <v>51</v>
      </c>
      <c r="C58" s="335">
        <v>0</v>
      </c>
      <c r="D58" s="335">
        <v>0</v>
      </c>
      <c r="E58" s="335">
        <v>0</v>
      </c>
      <c r="F58" s="335">
        <v>0</v>
      </c>
    </row>
    <row r="59" spans="1:6">
      <c r="A59" s="1212" t="s">
        <v>49</v>
      </c>
      <c r="B59" s="1212" t="s">
        <v>52</v>
      </c>
      <c r="C59" s="335">
        <v>3</v>
      </c>
      <c r="D59" s="335">
        <v>42820.008272300998</v>
      </c>
      <c r="E59" s="335">
        <v>21</v>
      </c>
      <c r="F59" s="335">
        <v>618051.60786576103</v>
      </c>
    </row>
    <row r="60" spans="1:6">
      <c r="A60" s="1212" t="s">
        <v>49</v>
      </c>
      <c r="B60" s="1212" t="s">
        <v>53</v>
      </c>
      <c r="C60" s="335">
        <v>27</v>
      </c>
      <c r="D60" s="335">
        <v>1017176.74081067</v>
      </c>
      <c r="E60" s="335">
        <v>70</v>
      </c>
      <c r="F60" s="335">
        <v>2349078.62271014</v>
      </c>
    </row>
    <row r="61" spans="1:6">
      <c r="A61" s="1212" t="s">
        <v>49</v>
      </c>
      <c r="B61" s="1212" t="s">
        <v>54</v>
      </c>
      <c r="C61" s="335">
        <v>11</v>
      </c>
      <c r="D61" s="335">
        <v>1455063.25670558</v>
      </c>
      <c r="E61" s="335">
        <v>46</v>
      </c>
      <c r="F61" s="335">
        <v>591951.69147541095</v>
      </c>
    </row>
    <row r="62" spans="1:6">
      <c r="A62" s="1212" t="s">
        <v>49</v>
      </c>
      <c r="B62" s="1212" t="s">
        <v>55</v>
      </c>
      <c r="C62" s="335">
        <v>0</v>
      </c>
      <c r="D62" s="335">
        <v>0</v>
      </c>
      <c r="E62" s="335">
        <v>4</v>
      </c>
      <c r="F62" s="335">
        <v>18502.557113668001</v>
      </c>
    </row>
    <row r="63" spans="1:6">
      <c r="A63" s="1212" t="s">
        <v>49</v>
      </c>
      <c r="B63" s="1212" t="s">
        <v>29</v>
      </c>
      <c r="C63" s="335">
        <v>125</v>
      </c>
      <c r="D63" s="335">
        <v>5752767.9673658004</v>
      </c>
      <c r="E63" s="335">
        <v>217</v>
      </c>
      <c r="F63" s="335">
        <v>3653410.28369899</v>
      </c>
    </row>
    <row r="64" spans="1:6">
      <c r="A64" s="1212" t="s">
        <v>56</v>
      </c>
      <c r="B64" s="1212" t="s">
        <v>57</v>
      </c>
      <c r="C64" s="335">
        <v>0</v>
      </c>
      <c r="D64" s="335">
        <v>0</v>
      </c>
      <c r="E64" s="335">
        <v>0</v>
      </c>
      <c r="F64" s="335">
        <v>0</v>
      </c>
    </row>
    <row r="65" spans="1:6">
      <c r="A65" s="1212" t="s">
        <v>56</v>
      </c>
      <c r="B65" s="1212" t="s">
        <v>29</v>
      </c>
      <c r="C65" s="335">
        <v>0</v>
      </c>
      <c r="D65" s="335">
        <v>0</v>
      </c>
      <c r="E65" s="335">
        <v>5</v>
      </c>
      <c r="F65" s="335">
        <v>253230.49989665899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0</v>
      </c>
      <c r="F68" s="335">
        <v>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28663732</v>
      </c>
      <c r="E73" s="335">
        <v>29919952.880201001</v>
      </c>
    </row>
    <row r="74" spans="1:6">
      <c r="A74" s="1212" t="s">
        <v>64</v>
      </c>
      <c r="B74" s="1212" t="s">
        <v>727</v>
      </c>
      <c r="C74" s="1212" t="s">
        <v>728</v>
      </c>
      <c r="D74" s="335">
        <v>2520150.993356267</v>
      </c>
      <c r="E74" s="335">
        <v>2702958.5086427247</v>
      </c>
    </row>
    <row r="75" spans="1:6">
      <c r="A75" s="1212" t="s">
        <v>65</v>
      </c>
      <c r="B75" s="1212" t="s">
        <v>725</v>
      </c>
      <c r="C75" s="1212" t="s">
        <v>729</v>
      </c>
      <c r="D75" s="335">
        <v>6591772</v>
      </c>
      <c r="E75" s="335">
        <v>6880668.7684010053</v>
      </c>
    </row>
    <row r="76" spans="1:6">
      <c r="A76" s="1212" t="s">
        <v>65</v>
      </c>
      <c r="B76" s="1212" t="s">
        <v>727</v>
      </c>
      <c r="C76" s="1212" t="s">
        <v>730</v>
      </c>
      <c r="D76" s="335">
        <v>194403.99335626693</v>
      </c>
      <c r="E76" s="335">
        <v>211940.28027766349</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73876.013287466121</v>
      </c>
      <c r="C83" s="335">
        <v>74316.758590259822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2206.587512683152</v>
      </c>
    </row>
    <row r="92" spans="1:6">
      <c r="A92" s="1208" t="s">
        <v>69</v>
      </c>
      <c r="B92" s="338">
        <v>907.76998888904143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1025</v>
      </c>
    </row>
    <row r="98" spans="1:6">
      <c r="A98" s="1212" t="s">
        <v>72</v>
      </c>
      <c r="B98" s="335">
        <v>3</v>
      </c>
    </row>
    <row r="99" spans="1:6">
      <c r="A99" s="1212" t="s">
        <v>73</v>
      </c>
      <c r="B99" s="335">
        <v>202</v>
      </c>
    </row>
    <row r="100" spans="1:6">
      <c r="A100" s="1212" t="s">
        <v>74</v>
      </c>
      <c r="B100" s="335">
        <v>175</v>
      </c>
    </row>
    <row r="101" spans="1:6">
      <c r="A101" s="1212" t="s">
        <v>75</v>
      </c>
      <c r="B101" s="335">
        <v>136</v>
      </c>
    </row>
    <row r="102" spans="1:6">
      <c r="A102" s="1212" t="s">
        <v>76</v>
      </c>
      <c r="B102" s="335">
        <v>56</v>
      </c>
    </row>
    <row r="103" spans="1:6">
      <c r="A103" s="1212" t="s">
        <v>77</v>
      </c>
      <c r="B103" s="335">
        <v>271</v>
      </c>
    </row>
    <row r="104" spans="1:6">
      <c r="A104" s="1212" t="s">
        <v>78</v>
      </c>
      <c r="B104" s="335">
        <v>1200</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v>
      </c>
      <c r="C123" s="335">
        <v>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79</v>
      </c>
    </row>
    <row r="130" spans="1:6">
      <c r="A130" s="1212" t="s">
        <v>295</v>
      </c>
      <c r="B130" s="335">
        <v>2</v>
      </c>
    </row>
    <row r="131" spans="1:6">
      <c r="A131" s="1212" t="s">
        <v>296</v>
      </c>
      <c r="B131" s="335">
        <v>2</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110091.32663612968</v>
      </c>
      <c r="C3" s="43" t="s">
        <v>170</v>
      </c>
      <c r="D3" s="43"/>
      <c r="E3" s="156"/>
      <c r="F3" s="43"/>
      <c r="G3" s="43"/>
      <c r="H3" s="43"/>
      <c r="I3" s="43"/>
      <c r="J3" s="43"/>
      <c r="K3" s="96"/>
    </row>
    <row r="4" spans="1:11">
      <c r="A4" s="366" t="s">
        <v>171</v>
      </c>
      <c r="B4" s="49">
        <f>IF(ISERROR('SEAP template'!B69),0,'SEAP template'!B69)</f>
        <v>3114.3575015721935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0.21474816319434217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1093.816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1093.816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0.21474816319434217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234.89497687258259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12495.4249420752</v>
      </c>
      <c r="C5" s="17">
        <f>IF(ISERROR('Eigen informatie GS &amp; warmtenet'!B57),0,'Eigen informatie GS &amp; warmtenet'!B57)</f>
        <v>0</v>
      </c>
      <c r="D5" s="30">
        <f>(SUM(HH_hh_gas_kWh,HH_rest_gas_kWh)/1000)*0.902</f>
        <v>25430.88323408908</v>
      </c>
      <c r="E5" s="17">
        <f>B46*B57</f>
        <v>5809.2104469330679</v>
      </c>
      <c r="F5" s="17">
        <f>B51*B62</f>
        <v>18009.31544617621</v>
      </c>
      <c r="G5" s="18"/>
      <c r="H5" s="17"/>
      <c r="I5" s="17"/>
      <c r="J5" s="17">
        <f>B50*B61+C50*C61</f>
        <v>8820.0905622204555</v>
      </c>
      <c r="K5" s="17"/>
      <c r="L5" s="17"/>
      <c r="M5" s="17"/>
      <c r="N5" s="17">
        <f>B48*B59+C48*C59</f>
        <v>14662.623248611191</v>
      </c>
      <c r="O5" s="17">
        <f>B69*B70*B71</f>
        <v>134.44666666666666</v>
      </c>
      <c r="P5" s="17">
        <f>B77*B78*B79/1000-B77*B78*B79/1000/B80</f>
        <v>324.13333333333333</v>
      </c>
    </row>
    <row r="6" spans="1:16">
      <c r="A6" s="16" t="s">
        <v>634</v>
      </c>
      <c r="B6" s="831">
        <f>kWh_PV_kleiner_dan_10kW</f>
        <v>2206.587512683152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14702.012454758353</v>
      </c>
      <c r="C8" s="21">
        <f>C5</f>
        <v>0</v>
      </c>
      <c r="D8" s="21">
        <f>D5</f>
        <v>25430.88323408908</v>
      </c>
      <c r="E8" s="21">
        <f>E5</f>
        <v>5809.2104469330679</v>
      </c>
      <c r="F8" s="21">
        <f>F5</f>
        <v>18009.31544617621</v>
      </c>
      <c r="G8" s="21"/>
      <c r="H8" s="21"/>
      <c r="I8" s="21"/>
      <c r="J8" s="21">
        <f>J5</f>
        <v>8820.0905622204555</v>
      </c>
      <c r="K8" s="21"/>
      <c r="L8" s="21">
        <f>L5</f>
        <v>0</v>
      </c>
      <c r="M8" s="21">
        <f>M5</f>
        <v>0</v>
      </c>
      <c r="N8" s="21">
        <f>N5</f>
        <v>14662.623248611191</v>
      </c>
      <c r="O8" s="21">
        <f>O5</f>
        <v>134.44666666666666</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0.21474816319434217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3157.2301699196978</v>
      </c>
      <c r="C12" s="23">
        <f ca="1">C10*C8</f>
        <v>0</v>
      </c>
      <c r="D12" s="23">
        <f>D8*D10</f>
        <v>5137.0384132859945</v>
      </c>
      <c r="E12" s="23">
        <f>E10*E8</f>
        <v>1318.6907714538065</v>
      </c>
      <c r="F12" s="23">
        <f>F10*F8</f>
        <v>4808.4872241290486</v>
      </c>
      <c r="G12" s="23"/>
      <c r="H12" s="23"/>
      <c r="I12" s="23"/>
      <c r="J12" s="23">
        <f>J10*J8</f>
        <v>3122.312059026041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1025</v>
      </c>
      <c r="C18" s="168" t="s">
        <v>111</v>
      </c>
      <c r="D18" s="230"/>
      <c r="E18" s="15"/>
    </row>
    <row r="19" spans="1:7">
      <c r="A19" s="173" t="s">
        <v>72</v>
      </c>
      <c r="B19" s="37">
        <f>aantalw2001_ander</f>
        <v>3</v>
      </c>
      <c r="C19" s="168" t="s">
        <v>111</v>
      </c>
      <c r="D19" s="231"/>
      <c r="E19" s="15"/>
    </row>
    <row r="20" spans="1:7">
      <c r="A20" s="173" t="s">
        <v>73</v>
      </c>
      <c r="B20" s="37">
        <f>aantalw2001_propaan</f>
        <v>202</v>
      </c>
      <c r="C20" s="169">
        <f>IF(ISERROR(B20/SUM($B$20,$B$21,$B$22)*100),0,B20/SUM($B$20,$B$21,$B$22)*100)</f>
        <v>39.376218323586741</v>
      </c>
      <c r="D20" s="231"/>
      <c r="E20" s="15"/>
    </row>
    <row r="21" spans="1:7">
      <c r="A21" s="173" t="s">
        <v>74</v>
      </c>
      <c r="B21" s="37">
        <f>aantalw2001_elektriciteit</f>
        <v>175</v>
      </c>
      <c r="C21" s="169">
        <f>IF(ISERROR(B21/SUM($B$20,$B$21,$B$22)*100),0,B21/SUM($B$20,$B$21,$B$22)*100)</f>
        <v>34.113060428849899</v>
      </c>
      <c r="D21" s="231"/>
      <c r="E21" s="15"/>
    </row>
    <row r="22" spans="1:7">
      <c r="A22" s="173" t="s">
        <v>75</v>
      </c>
      <c r="B22" s="37">
        <f>aantalw2001_hout</f>
        <v>136</v>
      </c>
      <c r="C22" s="169">
        <f>IF(ISERROR(B22/SUM($B$20,$B$21,$B$22)*100),0,B22/SUM($B$20,$B$21,$B$22)*100)</f>
        <v>26.510721247563353</v>
      </c>
      <c r="D22" s="231"/>
      <c r="E22" s="15"/>
    </row>
    <row r="23" spans="1:7">
      <c r="A23" s="173" t="s">
        <v>76</v>
      </c>
      <c r="B23" s="37">
        <f>aantalw2001_niet_gespec</f>
        <v>56</v>
      </c>
      <c r="C23" s="168" t="s">
        <v>111</v>
      </c>
      <c r="D23" s="230"/>
      <c r="E23" s="15"/>
    </row>
    <row r="24" spans="1:7">
      <c r="A24" s="173" t="s">
        <v>77</v>
      </c>
      <c r="B24" s="37">
        <f>aantalw2001_steenkool</f>
        <v>271</v>
      </c>
      <c r="C24" s="168" t="s">
        <v>111</v>
      </c>
      <c r="D24" s="231"/>
      <c r="E24" s="15"/>
    </row>
    <row r="25" spans="1:7">
      <c r="A25" s="173" t="s">
        <v>78</v>
      </c>
      <c r="B25" s="37">
        <f>aantalw2001_stookolie</f>
        <v>1200</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3221</v>
      </c>
      <c r="C28" s="36"/>
      <c r="D28" s="230"/>
    </row>
    <row r="29" spans="1:7" s="15" customFormat="1">
      <c r="A29" s="232" t="s">
        <v>746</v>
      </c>
      <c r="B29" s="37">
        <f>SUM(HH_hh_gas_aantal,HH_rest_gas_aantal)</f>
        <v>1567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1567</v>
      </c>
      <c r="C32" s="169">
        <f>IF(ISERROR(B32/SUM($B$32,$B$34,$B$35,$B$36,$B$38,$B$39)*100),0,B32/SUM($B$32,$B$34,$B$35,$B$36,$B$38,$B$39)*100)</f>
        <v>48.907615480649184</v>
      </c>
      <c r="D32" s="235"/>
      <c r="G32" s="15"/>
    </row>
    <row r="33" spans="1:7">
      <c r="A33" s="173" t="s">
        <v>72</v>
      </c>
      <c r="B33" s="34" t="s">
        <v>111</v>
      </c>
      <c r="C33" s="169"/>
      <c r="D33" s="235"/>
      <c r="G33" s="15"/>
    </row>
    <row r="34" spans="1:7">
      <c r="A34" s="173" t="s">
        <v>73</v>
      </c>
      <c r="B34" s="33">
        <f>IF((($B$28-$B$32-$B$39-$B$77-$B$38)*C20/100)&lt;0,0,($B$28-$B$32-$B$39-$B$77-$B$38)*C20/100)</f>
        <v>278.78362573099412</v>
      </c>
      <c r="C34" s="169">
        <f>IF(ISERROR(B34/SUM($B$32,$B$34,$B$35,$B$36,$B$38,$B$39)*100),0,B34/SUM($B$32,$B$34,$B$35,$B$36,$B$38,$B$39)*100)</f>
        <v>8.7011119142008155</v>
      </c>
      <c r="D34" s="235"/>
      <c r="G34" s="15"/>
    </row>
    <row r="35" spans="1:7">
      <c r="A35" s="173" t="s">
        <v>74</v>
      </c>
      <c r="B35" s="33">
        <f>IF((($B$28-$B$32-$B$39-$B$77-$B$38)*C21/100)&lt;0,0,($B$28-$B$32-$B$39-$B$77-$B$38)*C21/100)</f>
        <v>241.52046783625727</v>
      </c>
      <c r="C35" s="169">
        <f>IF(ISERROR(B35/SUM($B$32,$B$34,$B$35,$B$36,$B$38,$B$39)*100),0,B35/SUM($B$32,$B$34,$B$35,$B$36,$B$38,$B$39)*100)</f>
        <v>7.538092004876944</v>
      </c>
      <c r="D35" s="235"/>
      <c r="G35" s="15"/>
    </row>
    <row r="36" spans="1:7">
      <c r="A36" s="173" t="s">
        <v>75</v>
      </c>
      <c r="B36" s="33">
        <f>IF((($B$28-$B$32-$B$39-$B$77-$B$38)*C22/100)&lt;0,0,($B$28-$B$32-$B$39-$B$77-$B$38)*C22/100)</f>
        <v>187.69590643274853</v>
      </c>
      <c r="C36" s="169">
        <f>IF(ISERROR(B36/SUM($B$32,$B$34,$B$35,$B$36,$B$38,$B$39)*100),0,B36/SUM($B$32,$B$34,$B$35,$B$36,$B$38,$B$39)*100)</f>
        <v>5.8581743580757966</v>
      </c>
      <c r="D36" s="235"/>
      <c r="G36" s="15"/>
    </row>
    <row r="37" spans="1:7">
      <c r="A37" s="173" t="s">
        <v>76</v>
      </c>
      <c r="B37" s="34" t="s">
        <v>111</v>
      </c>
      <c r="C37" s="169"/>
      <c r="D37" s="175"/>
      <c r="G37" s="15"/>
    </row>
    <row r="38" spans="1:7">
      <c r="A38" s="173" t="s">
        <v>77</v>
      </c>
      <c r="B38" s="33">
        <f>IF((B24-(B29-B18)*0.1)&lt;0,0,B24-(B29-B18)*0.1)</f>
        <v>216.8</v>
      </c>
      <c r="C38" s="169">
        <f>IF(ISERROR(B38/SUM($B$32,$B$34,$B$35,$B$36,$B$38,$B$39)*100),0,B38/SUM($B$32,$B$34,$B$35,$B$36,$B$38,$B$39)*100)</f>
        <v>6.7665418227215985</v>
      </c>
      <c r="D38" s="236"/>
      <c r="G38" s="15"/>
    </row>
    <row r="39" spans="1:7">
      <c r="A39" s="173" t="s">
        <v>78</v>
      </c>
      <c r="B39" s="33">
        <f>IF((B25-(B29-B18))&lt;0,0,B25-(B29-B18)*0.9)</f>
        <v>712.2</v>
      </c>
      <c r="C39" s="169">
        <f>IF(ISERROR(B39/SUM($B$32,$B$34,$B$35,$B$36,$B$38,$B$39)*100),0,B39/SUM($B$32,$B$34,$B$35,$B$36,$B$38,$B$39)*100)</f>
        <v>22.228464419475657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1567</v>
      </c>
      <c r="C44" s="34" t="s">
        <v>111</v>
      </c>
      <c r="D44" s="176"/>
    </row>
    <row r="45" spans="1:7">
      <c r="A45" s="173" t="s">
        <v>72</v>
      </c>
      <c r="B45" s="33" t="str">
        <f t="shared" si="0"/>
        <v>-</v>
      </c>
      <c r="C45" s="34" t="s">
        <v>111</v>
      </c>
      <c r="D45" s="176"/>
    </row>
    <row r="46" spans="1:7">
      <c r="A46" s="173" t="s">
        <v>73</v>
      </c>
      <c r="B46" s="33">
        <f t="shared" si="0"/>
        <v>278.78362573099412</v>
      </c>
      <c r="C46" s="34" t="s">
        <v>111</v>
      </c>
      <c r="D46" s="176"/>
    </row>
    <row r="47" spans="1:7">
      <c r="A47" s="173" t="s">
        <v>74</v>
      </c>
      <c r="B47" s="33">
        <f t="shared" si="0"/>
        <v>241.52046783625727</v>
      </c>
      <c r="C47" s="34" t="s">
        <v>111</v>
      </c>
      <c r="D47" s="176"/>
    </row>
    <row r="48" spans="1:7">
      <c r="A48" s="173" t="s">
        <v>75</v>
      </c>
      <c r="B48" s="33">
        <f t="shared" si="0"/>
        <v>187.69590643274853</v>
      </c>
      <c r="C48" s="33">
        <f>B48*10</f>
        <v>1876.9590643274853</v>
      </c>
      <c r="D48" s="236"/>
    </row>
    <row r="49" spans="1:6">
      <c r="A49" s="173" t="s">
        <v>76</v>
      </c>
      <c r="B49" s="33" t="str">
        <f t="shared" si="0"/>
        <v>-</v>
      </c>
      <c r="C49" s="34" t="s">
        <v>111</v>
      </c>
      <c r="D49" s="236"/>
    </row>
    <row r="50" spans="1:6">
      <c r="A50" s="173" t="s">
        <v>77</v>
      </c>
      <c r="B50" s="33">
        <f t="shared" si="0"/>
        <v>216.8</v>
      </c>
      <c r="C50" s="33">
        <f>B50*2</f>
        <v>433.6</v>
      </c>
      <c r="D50" s="236"/>
    </row>
    <row r="51" spans="1:6">
      <c r="A51" s="173" t="s">
        <v>78</v>
      </c>
      <c r="B51" s="33">
        <f t="shared" si="0"/>
        <v>712.2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7893.4665743502464</v>
      </c>
      <c r="C5" s="17">
        <f>IF(ISERROR('Eigen informatie GS &amp; warmtenet'!B58),0,'Eigen informatie GS &amp; warmtenet'!B58)</f>
        <v>0</v>
      </c>
      <c r="D5" s="30">
        <f>SUM(D6:D12)</f>
        <v>8677.6318029099129</v>
      </c>
      <c r="E5" s="17">
        <f>SUM(E6:E12)</f>
        <v>190.91012612402773</v>
      </c>
      <c r="F5" s="17">
        <f>SUM(F6:F12)</f>
        <v>1802.7390543796464</v>
      </c>
      <c r="G5" s="18"/>
      <c r="H5" s="17"/>
      <c r="I5" s="17"/>
      <c r="J5" s="17">
        <f>SUM(J6:J12)</f>
        <v>0</v>
      </c>
      <c r="K5" s="17"/>
      <c r="L5" s="17"/>
      <c r="M5" s="17"/>
      <c r="N5" s="17">
        <f>SUM(N6:N12)</f>
        <v>753.95925088014656</v>
      </c>
      <c r="O5" s="17">
        <f>B38*B39*B40</f>
        <v>3.1266666666666669</v>
      </c>
      <c r="P5" s="17">
        <f>B46*B47*B48/1000-B46*B47*B48/1000/B49</f>
        <v>38.133333333333333</v>
      </c>
      <c r="R5" s="32"/>
    </row>
    <row r="6" spans="1:18">
      <c r="A6" s="32" t="s">
        <v>54</v>
      </c>
      <c r="B6" s="37">
        <f>B26</f>
        <v>591.95169147541094</v>
      </c>
      <c r="C6" s="33"/>
      <c r="D6" s="37">
        <f>IF(ISERROR(TER_kantoor_gas_kWh/1000),0,TER_kantoor_gas_kWh/1000)*0.902</f>
        <v>1312.4670575484331</v>
      </c>
      <c r="E6" s="33">
        <f>$C$26*'E Balans VL '!I12/100/3.6*1000000</f>
        <v>2.2998576448570094</v>
      </c>
      <c r="F6" s="33">
        <f>$C$26*('E Balans VL '!L12+'E Balans VL '!N12)/100/3.6*1000000</f>
        <v>90.030465942453148</v>
      </c>
      <c r="G6" s="34"/>
      <c r="H6" s="33"/>
      <c r="I6" s="33"/>
      <c r="J6" s="33">
        <f>$C$26*('E Balans VL '!D12+'E Balans VL '!E12)/100/3.6*1000000</f>
        <v>0</v>
      </c>
      <c r="K6" s="33"/>
      <c r="L6" s="33"/>
      <c r="M6" s="33"/>
      <c r="N6" s="33">
        <f>$C$26*'E Balans VL '!Y12/100/3.6*1000000</f>
        <v>0.32623629606919347</v>
      </c>
      <c r="O6" s="33"/>
      <c r="P6" s="33"/>
      <c r="R6" s="32"/>
    </row>
    <row r="7" spans="1:18">
      <c r="A7" s="32" t="s">
        <v>53</v>
      </c>
      <c r="B7" s="37">
        <f t="shared" ref="B7:B12" si="0">B27</f>
        <v>2349.0786227101398</v>
      </c>
      <c r="C7" s="33"/>
      <c r="D7" s="37">
        <f>IF(ISERROR(TER_horeca_gas_kWh/1000),0,TER_horeca_gas_kWh/1000)*0.902</f>
        <v>917.49342021122425</v>
      </c>
      <c r="E7" s="33">
        <f>$C$27*'E Balans VL '!I9/100/3.6*1000000</f>
        <v>132.32422685683076</v>
      </c>
      <c r="F7" s="33">
        <f>$C$27*('E Balans VL '!L9+'E Balans VL '!N9)/100/3.6*1000000</f>
        <v>677.33363832341513</v>
      </c>
      <c r="G7" s="34"/>
      <c r="H7" s="33"/>
      <c r="I7" s="33"/>
      <c r="J7" s="33">
        <f>$C$27*('E Balans VL '!D9+'E Balans VL '!E9)/100/3.6*1000000</f>
        <v>0</v>
      </c>
      <c r="K7" s="33"/>
      <c r="L7" s="33"/>
      <c r="M7" s="33"/>
      <c r="N7" s="33">
        <f>$C$27*'E Balans VL '!Y9/100/3.6*1000000</f>
        <v>0.6485684007692305</v>
      </c>
      <c r="O7" s="33"/>
      <c r="P7" s="33"/>
      <c r="R7" s="32"/>
    </row>
    <row r="8" spans="1:18">
      <c r="A8" s="6" t="s">
        <v>52</v>
      </c>
      <c r="B8" s="37">
        <f t="shared" si="0"/>
        <v>618.05160786576107</v>
      </c>
      <c r="C8" s="33"/>
      <c r="D8" s="37">
        <f>IF(ISERROR(TER_handel_gas_kWh/1000),0,TER_handel_gas_kWh/1000)*0.902</f>
        <v>38.623647461615498</v>
      </c>
      <c r="E8" s="33">
        <f>$C$28*'E Balans VL '!I13/100/3.6*1000000</f>
        <v>8.908220509866478</v>
      </c>
      <c r="F8" s="33">
        <f>$C$28*('E Balans VL '!L13+'E Balans VL '!N13)/100/3.6*1000000</f>
        <v>107.36995773697637</v>
      </c>
      <c r="G8" s="34"/>
      <c r="H8" s="33"/>
      <c r="I8" s="33"/>
      <c r="J8" s="33">
        <f>$C$28*('E Balans VL '!D13+'E Balans VL '!E13)/100/3.6*1000000</f>
        <v>0</v>
      </c>
      <c r="K8" s="33"/>
      <c r="L8" s="33"/>
      <c r="M8" s="33"/>
      <c r="N8" s="33">
        <f>$C$28*'E Balans VL '!Y13/100/3.6*1000000</f>
        <v>1.8517514200881591</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662.47181148627703</v>
      </c>
      <c r="C10" s="33"/>
      <c r="D10" s="37">
        <f>IF(ISERROR(TER_ander_gas_kWh/1000),0,TER_ander_gas_kWh/1000)*0.902</f>
        <v>1220.0509711246884</v>
      </c>
      <c r="E10" s="33">
        <f>$C$30*'E Balans VL '!I14/100/3.6*1000000</f>
        <v>3.0466070915823789</v>
      </c>
      <c r="F10" s="33">
        <f>$C$30*('E Balans VL '!L14+'E Balans VL '!N14)/100/3.6*1000000</f>
        <v>198.56369814148988</v>
      </c>
      <c r="G10" s="34"/>
      <c r="H10" s="33"/>
      <c r="I10" s="33"/>
      <c r="J10" s="33">
        <f>$C$30*('E Balans VL '!D14+'E Balans VL '!E14)/100/3.6*1000000</f>
        <v>0</v>
      </c>
      <c r="K10" s="33"/>
      <c r="L10" s="33"/>
      <c r="M10" s="33"/>
      <c r="N10" s="33">
        <f>$C$30*'E Balans VL '!Y14/100/3.6*1000000</f>
        <v>461.12411106795753</v>
      </c>
      <c r="O10" s="33"/>
      <c r="P10" s="33"/>
      <c r="R10" s="32"/>
    </row>
    <row r="11" spans="1:18">
      <c r="A11" s="32" t="s">
        <v>55</v>
      </c>
      <c r="B11" s="37">
        <f t="shared" si="0"/>
        <v>18.502557113668001</v>
      </c>
      <c r="C11" s="33"/>
      <c r="D11" s="37">
        <f>IF(ISERROR(TER_onderwijs_gas_kWh/1000),0,TER_onderwijs_gas_kWh/1000)*0.902</f>
        <v>0</v>
      </c>
      <c r="E11" s="33">
        <f>$C$31*'E Balans VL '!I11/100/3.6*1000000</f>
        <v>1.7163554971607094E-2</v>
      </c>
      <c r="F11" s="33">
        <f>$C$31*('E Balans VL '!L11+'E Balans VL '!N11)/100/3.6*1000000</f>
        <v>6.4995230633302246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3653.41028369899</v>
      </c>
      <c r="C12" s="33"/>
      <c r="D12" s="37">
        <f>IF(ISERROR(TER_rest_gas_kWh/1000),0,TER_rest_gas_kWh/1000)*0.902</f>
        <v>5188.9967065639521</v>
      </c>
      <c r="E12" s="33">
        <f>$C$32*'E Balans VL '!I8/100/3.6*1000000</f>
        <v>44.314050465919479</v>
      </c>
      <c r="F12" s="33">
        <f>$C$32*('E Balans VL '!L8+'E Balans VL '!N8)/100/3.6*1000000</f>
        <v>722.94177117198183</v>
      </c>
      <c r="G12" s="34"/>
      <c r="H12" s="33"/>
      <c r="I12" s="33"/>
      <c r="J12" s="33">
        <f>$C$32*('E Balans VL '!D8+'E Balans VL '!E8)/100/3.6*1000000</f>
        <v>0</v>
      </c>
      <c r="K12" s="33"/>
      <c r="L12" s="33"/>
      <c r="M12" s="33"/>
      <c r="N12" s="33">
        <f>$C$32*'E Balans VL '!Y8/100/3.6*1000000</f>
        <v>290.00858369526242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7893.4665743502464</v>
      </c>
      <c r="C16" s="21">
        <f t="shared" ca="1" si="1"/>
        <v>0</v>
      </c>
      <c r="D16" s="21">
        <f t="shared" ca="1" si="1"/>
        <v>8677.6318029099129</v>
      </c>
      <c r="E16" s="21">
        <f t="shared" si="1"/>
        <v>190.91012612402773</v>
      </c>
      <c r="F16" s="21">
        <f t="shared" ca="1" si="1"/>
        <v>1802.7390543796464</v>
      </c>
      <c r="G16" s="21">
        <f t="shared" si="1"/>
        <v>0</v>
      </c>
      <c r="H16" s="21">
        <f t="shared" si="1"/>
        <v>0</v>
      </c>
      <c r="I16" s="21">
        <f t="shared" si="1"/>
        <v>0</v>
      </c>
      <c r="J16" s="21">
        <f t="shared" si="1"/>
        <v>0</v>
      </c>
      <c r="K16" s="21">
        <f t="shared" si="1"/>
        <v>0</v>
      </c>
      <c r="L16" s="21">
        <f t="shared" ca="1" si="1"/>
        <v>0</v>
      </c>
      <c r="M16" s="21">
        <f t="shared" si="1"/>
        <v>0</v>
      </c>
      <c r="N16" s="21">
        <f t="shared" ca="1" si="1"/>
        <v>753.95925088014656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0.21474816319434217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1695.1074480776517</v>
      </c>
      <c r="C20" s="23">
        <f t="shared" ref="C20:P20" ca="1" si="2">C16*C18</f>
        <v>0</v>
      </c>
      <c r="D20" s="23">
        <f t="shared" ca="1" si="2"/>
        <v>1752.8816241878026</v>
      </c>
      <c r="E20" s="23">
        <f t="shared" si="2"/>
        <v>43.336598630154299</v>
      </c>
      <c r="F20" s="23">
        <f t="shared" ca="1" si="2"/>
        <v>481.33132751936563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591.95169147541094</v>
      </c>
      <c r="C26" s="39">
        <f>IF(ISERROR(B26*3.6/1000000/'E Balans VL '!Z12*100),0,B26*3.6/1000000/'E Balans VL '!Z12*100)</f>
        <v>1.2573347141688288E-2</v>
      </c>
      <c r="D26" s="239" t="s">
        <v>692</v>
      </c>
      <c r="F26" s="6"/>
    </row>
    <row r="27" spans="1:18">
      <c r="A27" s="233" t="s">
        <v>53</v>
      </c>
      <c r="B27" s="33">
        <f>IF(ISERROR(TER_horeca_ele_kWh/1000),0,TER_horeca_ele_kWh/1000)</f>
        <v>2349.0786227101398</v>
      </c>
      <c r="C27" s="39">
        <f>IF(ISERROR(B27*3.6/1000000/'E Balans VL '!Z9*100),0,B27*3.6/1000000/'E Balans VL '!Z9*100)</f>
        <v>0.18265516898844864</v>
      </c>
      <c r="D27" s="239" t="s">
        <v>692</v>
      </c>
      <c r="F27" s="6"/>
    </row>
    <row r="28" spans="1:18">
      <c r="A28" s="173" t="s">
        <v>52</v>
      </c>
      <c r="B28" s="33">
        <f>IF(ISERROR(TER_handel_ele_kWh/1000),0,TER_handel_ele_kWh/1000)</f>
        <v>618.05160786576107</v>
      </c>
      <c r="C28" s="39">
        <f>IF(ISERROR(B28*3.6/1000000/'E Balans VL '!Z13*100),0,B28*3.6/1000000/'E Balans VL '!Z13*100)</f>
        <v>1.7683183875018972E-2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662.47181148627703</v>
      </c>
      <c r="C30" s="39">
        <f>IF(ISERROR(B30*3.6/1000000/'E Balans VL '!Z14*100),0,B30*3.6/1000000/'E Balans VL '!Z14*100)</f>
        <v>4.8478184382885509E-2</v>
      </c>
      <c r="D30" s="239" t="s">
        <v>692</v>
      </c>
      <c r="F30" s="6"/>
    </row>
    <row r="31" spans="1:18">
      <c r="A31" s="233" t="s">
        <v>55</v>
      </c>
      <c r="B31" s="33">
        <f>IF(ISERROR(TER_onderwijs_ele_kWh/1000),0,TER_onderwijs_ele_kWh/1000)</f>
        <v>18.502557113668001</v>
      </c>
      <c r="C31" s="39">
        <f>IF(ISERROR(B31*3.6/1000000/'E Balans VL '!Z11*100),0,B31*3.6/1000000/'E Balans VL '!Z11*100)</f>
        <v>3.7162523359002613E-3</v>
      </c>
      <c r="D31" s="239" t="s">
        <v>692</v>
      </c>
    </row>
    <row r="32" spans="1:18">
      <c r="A32" s="233" t="s">
        <v>260</v>
      </c>
      <c r="B32" s="33">
        <f>IF(ISERROR(TER_rest_ele_kWh/1000),0,TER_rest_ele_kWh/1000)</f>
        <v>3653.41028369899</v>
      </c>
      <c r="C32" s="39">
        <f>IF(ISERROR(B32*3.6/1000000/'E Balans VL '!Z8*100),0,B32*3.6/1000000/'E Balans VL '!Z8*100)</f>
        <v>2.9773076670096793E-2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80543.655558026891</v>
      </c>
      <c r="C5" s="17">
        <f>IF(ISERROR('Eigen informatie GS &amp; warmtenet'!B59),0,'Eigen informatie GS &amp; warmtenet'!B59)</f>
        <v>0</v>
      </c>
      <c r="D5" s="30">
        <f>SUM(D6:D15)</f>
        <v>210603.73717144981</v>
      </c>
      <c r="E5" s="17">
        <f>SUM(E6:E15)</f>
        <v>6408.8099451070048</v>
      </c>
      <c r="F5" s="17">
        <f>SUM(F6:F15)</f>
        <v>110514.44131924823</v>
      </c>
      <c r="G5" s="18"/>
      <c r="H5" s="17"/>
      <c r="I5" s="17"/>
      <c r="J5" s="17">
        <f>SUM(J6:J15)</f>
        <v>20.224809418530555</v>
      </c>
      <c r="K5" s="17"/>
      <c r="L5" s="17"/>
      <c r="M5" s="17"/>
      <c r="N5" s="17">
        <f>SUM(N6:N15)</f>
        <v>22933.837767139499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175.414788577992</v>
      </c>
      <c r="C9" s="33"/>
      <c r="D9" s="37">
        <f>IF( ISERROR(IND_andere_gas_kWh/1000),0,IND_andere_gas_kWh/1000)*0.902</f>
        <v>102.00379643345987</v>
      </c>
      <c r="E9" s="33">
        <f>C31*'E Balans VL '!I19/100/3.6*1000000</f>
        <v>47.480470337560888</v>
      </c>
      <c r="F9" s="33">
        <f>C31*'E Balans VL '!L19/100/3.6*1000000+C31*'E Balans VL '!N19/100/3.6*1000000</f>
        <v>116.84481195515424</v>
      </c>
      <c r="G9" s="34"/>
      <c r="H9" s="33"/>
      <c r="I9" s="33"/>
      <c r="J9" s="40">
        <f>C31*'E Balans VL '!D19/100/3.6*1000000+C31*'E Balans VL '!E19/100/3.6*1000000</f>
        <v>0</v>
      </c>
      <c r="K9" s="33"/>
      <c r="L9" s="33"/>
      <c r="M9" s="33"/>
      <c r="N9" s="33">
        <f>C31*'E Balans VL '!Y19/100/3.6*1000000</f>
        <v>57.270014581615136</v>
      </c>
      <c r="O9" s="33"/>
      <c r="P9" s="33"/>
      <c r="R9" s="32"/>
    </row>
    <row r="10" spans="1:18">
      <c r="A10" s="6" t="s">
        <v>41</v>
      </c>
      <c r="B10" s="37">
        <f t="shared" si="0"/>
        <v>72853.385137619698</v>
      </c>
      <c r="C10" s="33"/>
      <c r="D10" s="37">
        <f>IF( ISERROR(IND_voed_gas_kWh/1000),0,IND_voed_gas_kWh/1000)*0.902</f>
        <v>0</v>
      </c>
      <c r="E10" s="33">
        <f>C32*'E Balans VL '!I20/100/3.6*1000000</f>
        <v>5942.0894681212594</v>
      </c>
      <c r="F10" s="33">
        <f>C32*'E Balans VL '!L20/100/3.6*1000000+C32*'E Balans VL '!N20/100/3.6*1000000</f>
        <v>108631.00707845321</v>
      </c>
      <c r="G10" s="34"/>
      <c r="H10" s="33"/>
      <c r="I10" s="33"/>
      <c r="J10" s="40">
        <f>C32*'E Balans VL '!D20/100/3.6*1000000+C32*'E Balans VL '!E20/100/3.6*1000000</f>
        <v>0.96376185322437813</v>
      </c>
      <c r="K10" s="33"/>
      <c r="L10" s="33"/>
      <c r="M10" s="33"/>
      <c r="N10" s="33">
        <f>C32*'E Balans VL '!Y20/100/3.6*1000000</f>
        <v>21401.75383466627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7514.8556318292003</v>
      </c>
      <c r="C15" s="33"/>
      <c r="D15" s="37">
        <f>IF( ISERROR(IND_rest_gas_kWh/1000),0,IND_rest_gas_kWh/1000)*0.902</f>
        <v>210501.73337501637</v>
      </c>
      <c r="E15" s="33">
        <f>C37*'E Balans VL '!I15/100/3.6*1000000</f>
        <v>419.24000664818374</v>
      </c>
      <c r="F15" s="33">
        <f>C37*'E Balans VL '!L15/100/3.6*1000000+C37*'E Balans VL '!N15/100/3.6*1000000</f>
        <v>1766.5894288398558</v>
      </c>
      <c r="G15" s="34"/>
      <c r="H15" s="33"/>
      <c r="I15" s="33"/>
      <c r="J15" s="40">
        <f>C37*'E Balans VL '!D15/100/3.6*1000000+C37*'E Balans VL '!E15/100/3.6*1000000</f>
        <v>19.261047565306178</v>
      </c>
      <c r="K15" s="33"/>
      <c r="L15" s="33"/>
      <c r="M15" s="33"/>
      <c r="N15" s="33">
        <f>C37*'E Balans VL '!Y15/100/3.6*1000000</f>
        <v>1474.8139178916144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80543.655558026891</v>
      </c>
      <c r="C18" s="21">
        <f>C5+C16</f>
        <v>0</v>
      </c>
      <c r="D18" s="21">
        <f>MAX((D5+D16),0)</f>
        <v>210603.73717144981</v>
      </c>
      <c r="E18" s="21">
        <f>MAX((E5+E16),0)</f>
        <v>6408.8099451070048</v>
      </c>
      <c r="F18" s="21">
        <f>MAX((F5+F16),0)</f>
        <v>110514.44131924823</v>
      </c>
      <c r="G18" s="21"/>
      <c r="H18" s="21"/>
      <c r="I18" s="21"/>
      <c r="J18" s="21">
        <f>MAX((J5+J16),0)</f>
        <v>20.224809418530555</v>
      </c>
      <c r="K18" s="21"/>
      <c r="L18" s="21">
        <f>MAX((L5+L16),0)</f>
        <v>0</v>
      </c>
      <c r="M18" s="21"/>
      <c r="N18" s="21">
        <f>MAX((N5+N16),0)</f>
        <v>22933.837767139499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0.21474816319434217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17296.602088044045</v>
      </c>
      <c r="C22" s="23">
        <f ca="1">C18*C20</f>
        <v>0</v>
      </c>
      <c r="D22" s="23">
        <f>D18*D20</f>
        <v>42541.954908632862</v>
      </c>
      <c r="E22" s="23">
        <f>E18*E20</f>
        <v>1454.7998575392901</v>
      </c>
      <c r="F22" s="23">
        <f>F18*F20</f>
        <v>29507.355832239278</v>
      </c>
      <c r="G22" s="23"/>
      <c r="H22" s="23"/>
      <c r="I22" s="23"/>
      <c r="J22" s="23">
        <f>J18*J20</f>
        <v>7.1595825341598163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175.414788577992</v>
      </c>
      <c r="C31" s="39">
        <f>IF(ISERROR(B31*3.6/1000000/'E Balans VL '!Z19*100),0,B31*3.6/1000000/'E Balans VL '!Z19*100)</f>
        <v>7.6391741155730749E-3</v>
      </c>
      <c r="D31" s="239" t="s">
        <v>692</v>
      </c>
    </row>
    <row r="32" spans="1:18">
      <c r="A32" s="173" t="s">
        <v>41</v>
      </c>
      <c r="B32" s="37">
        <f>IF( ISERROR(IND_voed_ele_kWh/1000),0,IND_voed_ele_kWh/1000)</f>
        <v>72853.385137619698</v>
      </c>
      <c r="C32" s="39">
        <f>IF(ISERROR(B32*3.6/1000000/'E Balans VL '!Z20*100),0,B32*3.6/1000000/'E Balans VL '!Z20*100)</f>
        <v>13.822879169751493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7514.8556318292003</v>
      </c>
      <c r="C37" s="39">
        <f>IF(ISERROR(B37*3.6/1000000/'E Balans VL '!Z15*100),0,B37*3.6/1000000/'E Balans VL '!Z15*100)</f>
        <v>5.7911192788556318E-2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5856.4509593577905</v>
      </c>
      <c r="C5" s="17">
        <f>'Eigen informatie GS &amp; warmtenet'!B60</f>
        <v>0</v>
      </c>
      <c r="D5" s="30">
        <f>IF(ISERROR(SUM(LB_lb_gas_kWh,LB_rest_gas_kWh,onbekend_gas_kWh)/1000),0,SUM(LB_lb_gas_kWh,LB_rest_gas_kWh,onbekend_gas_kWh)/1000)*0.902</f>
        <v>1515.1532343227623</v>
      </c>
      <c r="E5" s="17">
        <f>B17*'E Balans VL '!I25/3.6*1000000/100</f>
        <v>73.79882673072494</v>
      </c>
      <c r="F5" s="17">
        <f>B17*('E Balans VL '!L25/3.6*1000000+'E Balans VL '!N25/3.6*1000000)/100</f>
        <v>20206.22293841423</v>
      </c>
      <c r="G5" s="18"/>
      <c r="H5" s="17"/>
      <c r="I5" s="17"/>
      <c r="J5" s="17">
        <f>('E Balans VL '!D25+'E Balans VL '!E25)/3.6*1000000*landbouw!B17/100</f>
        <v>880.74365050251333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5856.4509593577905</v>
      </c>
      <c r="C8" s="21">
        <f>C5+C6</f>
        <v>0</v>
      </c>
      <c r="D8" s="21">
        <f>MAX((D5+D6),0)</f>
        <v>1515.1532343227623</v>
      </c>
      <c r="E8" s="21">
        <f>MAX((E5+E6),0)</f>
        <v>73.79882673072494</v>
      </c>
      <c r="F8" s="21">
        <f>MAX((F5+F6),0)</f>
        <v>20206.22293841423</v>
      </c>
      <c r="G8" s="21"/>
      <c r="H8" s="21"/>
      <c r="I8" s="21"/>
      <c r="J8" s="21">
        <f>MAX((J5+J6),0)</f>
        <v>880.74365050251333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0.21474816319434217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1257.6620863598287</v>
      </c>
      <c r="C12" s="23">
        <f ca="1">C8*C10</f>
        <v>0</v>
      </c>
      <c r="D12" s="23">
        <f>D8*D10</f>
        <v>306.06095333319797</v>
      </c>
      <c r="E12" s="23">
        <f>E8*E10</f>
        <v>16.752333667874563</v>
      </c>
      <c r="F12" s="23">
        <f>F8*F10</f>
        <v>5395.0615245565996</v>
      </c>
      <c r="G12" s="23"/>
      <c r="H12" s="23"/>
      <c r="I12" s="23"/>
      <c r="J12" s="23">
        <f>J8*J10</f>
        <v>311.78325227788969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0.81679032421062714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1317.9205895491098</v>
      </c>
      <c r="C26" s="249">
        <f>B26*'GWP N2O_CH4'!B5</f>
        <v>27676.332380531305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632.48601749056604</v>
      </c>
      <c r="C27" s="249">
        <f>B27*'GWP N2O_CH4'!B5</f>
        <v>13282.206367301887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18.690802393093112</v>
      </c>
      <c r="C28" s="249">
        <f>B28*'GWP N2O_CH4'!B4</f>
        <v>5794.1487418588649</v>
      </c>
      <c r="D28" s="50"/>
    </row>
    <row r="29" spans="1:4">
      <c r="A29" s="41" t="s">
        <v>277</v>
      </c>
      <c r="B29" s="249">
        <f>B34*'ha_N2O bodem landbouw'!B4</f>
        <v>46.425928669358143</v>
      </c>
      <c r="C29" s="249">
        <f>B29*'GWP N2O_CH4'!B4</f>
        <v>14392.037887501025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1.1592090487911893E-2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6.9303226910114745E-6</v>
      </c>
      <c r="C5" s="448" t="s">
        <v>211</v>
      </c>
      <c r="D5" s="433">
        <f>SUM(D6:D11)</f>
        <v>1.1248828570362489E-5</v>
      </c>
      <c r="E5" s="433">
        <f>SUM(E6:E11)</f>
        <v>3.4518446089503715E-4</v>
      </c>
      <c r="F5" s="446" t="s">
        <v>211</v>
      </c>
      <c r="G5" s="433">
        <f>SUM(G6:G11)</f>
        <v>8.7203345916960828E-2</v>
      </c>
      <c r="H5" s="433">
        <f>SUM(H6:H11)</f>
        <v>1.6897083985848441E-2</v>
      </c>
      <c r="I5" s="448" t="s">
        <v>211</v>
      </c>
      <c r="J5" s="448" t="s">
        <v>211</v>
      </c>
      <c r="K5" s="448" t="s">
        <v>211</v>
      </c>
      <c r="L5" s="448" t="s">
        <v>211</v>
      </c>
      <c r="M5" s="433">
        <f>SUM(M6:M11)</f>
        <v>4.6572462212318309E-3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5.6345503467677476E-6</v>
      </c>
      <c r="C6" s="949"/>
      <c r="D6" s="949">
        <f>vkm_2011_GW_PW*SUMIFS(TableVerdeelsleutelVkm[CNG],TableVerdeelsleutelVkm[Voertuigtype],"Lichte voertuigen")*SUMIFS(TableECFTransport[EnergieConsumptieFactor (PJ per km)],TableECFTransport[Index],CONCATENATE($A6,"_CNG_CNG"))</f>
        <v>7.979625299842078E-6</v>
      </c>
      <c r="E6" s="949">
        <f>vkm_2011_GW_PW*SUMIFS(TableVerdeelsleutelVkm[LPG],TableVerdeelsleutelVkm[Voertuigtype],"Lichte voertuigen")*SUMIFS(TableECFTransport[EnergieConsumptieFactor (PJ per km)],TableECFTransport[Index],CONCATENATE($A6,"_LPG_LPG"))</f>
        <v>2.5061376104802924E-4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4.5042155176169017E-2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1.2103236865762404E-2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2.5500806514202881E-3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2.3789591223109186E-2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8.4758855227495024E-6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1.0735252726534626E-3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1.2957723442437269E-6</v>
      </c>
      <c r="C8" s="949"/>
      <c r="D8" s="436">
        <f>vkm_2011_NGW_PW*SUMIFS(TableVerdeelsleutelVkm[CNG],TableVerdeelsleutelVkm[Voertuigtype],"Lichte voertuigen")*SUMIFS(TableECFTransport[EnergieConsumptieFactor (PJ per km)],TableECFTransport[Index],CONCATENATE($A8,"_CNG_CNG"))</f>
        <v>3.2692032705204105E-6</v>
      </c>
      <c r="E8" s="436">
        <f>vkm_2011_NGW_PW*SUMIFS(TableVerdeelsleutelVkm[LPG],TableVerdeelsleutelVkm[Voertuigtype],"Lichte voertuigen")*SUMIFS(TableECFTransport[EnergieConsumptieFactor (PJ per km)],TableECFTransport[Index],CONCATENATE($A8,"_LPG_LPG"))</f>
        <v>9.4570699847007898E-5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1.6030650675822416E-2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4.7845819843146042E-3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9.2800493364496718E-4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2.3409488418602077E-3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7.8925024868499105E-7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1.0563536351311254E-4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1.9250896363920762</v>
      </c>
      <c r="C14" s="21"/>
      <c r="D14" s="21">
        <f t="shared" ref="D14:M14" si="0">((D5)*10^9/3600)+D12</f>
        <v>3.1246746028784695</v>
      </c>
      <c r="E14" s="21">
        <f t="shared" si="0"/>
        <v>95.884572470843651</v>
      </c>
      <c r="F14" s="21"/>
      <c r="G14" s="21">
        <f t="shared" si="0"/>
        <v>24223.151643600231</v>
      </c>
      <c r="H14" s="21">
        <f t="shared" si="0"/>
        <v>4693.634440513456</v>
      </c>
      <c r="I14" s="21"/>
      <c r="J14" s="21"/>
      <c r="K14" s="21"/>
      <c r="L14" s="21"/>
      <c r="M14" s="21">
        <f t="shared" si="0"/>
        <v>1293.6795058977309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0.21474816319434217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0.41340946339966239</v>
      </c>
      <c r="C18" s="23"/>
      <c r="D18" s="23">
        <f t="shared" ref="D18:M18" si="1">D14*D16</f>
        <v>0.63118426978145092</v>
      </c>
      <c r="E18" s="23">
        <f t="shared" si="1"/>
        <v>21.76579795088151</v>
      </c>
      <c r="F18" s="23"/>
      <c r="G18" s="23">
        <f t="shared" si="1"/>
        <v>6467.5814888412624</v>
      </c>
      <c r="H18" s="23">
        <f t="shared" si="1"/>
        <v>1168.7149756878505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9.6381959941221939E-4</v>
      </c>
      <c r="H50" s="323">
        <f t="shared" si="2"/>
        <v>0</v>
      </c>
      <c r="I50" s="323">
        <f t="shared" si="2"/>
        <v>0</v>
      </c>
      <c r="J50" s="323">
        <f t="shared" si="2"/>
        <v>0</v>
      </c>
      <c r="K50" s="323">
        <f t="shared" si="2"/>
        <v>0</v>
      </c>
      <c r="L50" s="323">
        <f t="shared" si="2"/>
        <v>0</v>
      </c>
      <c r="M50" s="323">
        <f t="shared" si="2"/>
        <v>4.2863415008005405E-5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9.6381959941221939E-4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4.2863415008005405E-5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267.72766650339429</v>
      </c>
      <c r="H54" s="21">
        <f t="shared" si="3"/>
        <v>0</v>
      </c>
      <c r="I54" s="21">
        <f t="shared" si="3"/>
        <v>0</v>
      </c>
      <c r="J54" s="21">
        <f t="shared" si="3"/>
        <v>0</v>
      </c>
      <c r="K54" s="21">
        <f t="shared" si="3"/>
        <v>0</v>
      </c>
      <c r="L54" s="21">
        <f t="shared" si="3"/>
        <v>0</v>
      </c>
      <c r="M54" s="21">
        <f t="shared" si="3"/>
        <v>11.90650416889039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0.21474816319434217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71.483286956406275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3114.3575015721935</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3114.3575015721935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8987.2825743502472</v>
      </c>
      <c r="D10" s="704">
        <f ca="1">tertiair!C16</f>
        <v>0</v>
      </c>
      <c r="E10" s="704">
        <f ca="1">tertiair!D16</f>
        <v>8677.6318029099129</v>
      </c>
      <c r="F10" s="704">
        <f>tertiair!E16</f>
        <v>190.91012612402773</v>
      </c>
      <c r="G10" s="704">
        <f ca="1">tertiair!F16</f>
        <v>1802.7390543796464</v>
      </c>
      <c r="H10" s="704">
        <f>tertiair!G16</f>
        <v>0</v>
      </c>
      <c r="I10" s="704">
        <f>tertiair!H16</f>
        <v>0</v>
      </c>
      <c r="J10" s="704">
        <f>tertiair!I16</f>
        <v>0</v>
      </c>
      <c r="K10" s="704">
        <f>tertiair!J16</f>
        <v>0</v>
      </c>
      <c r="L10" s="704">
        <f>tertiair!K16</f>
        <v>0</v>
      </c>
      <c r="M10" s="704">
        <f ca="1">tertiair!L16</f>
        <v>0</v>
      </c>
      <c r="N10" s="704">
        <f>tertiair!M16</f>
        <v>0</v>
      </c>
      <c r="O10" s="704">
        <f ca="1">tertiair!N16</f>
        <v>753.95925088014656</v>
      </c>
      <c r="P10" s="704">
        <f>tertiair!O16</f>
        <v>3.1266666666666669</v>
      </c>
      <c r="Q10" s="705">
        <f>tertiair!P16</f>
        <v>38.133333333333333</v>
      </c>
      <c r="R10" s="707">
        <f ca="1">SUM(C10:Q10)</f>
        <v>20453.782808643984</v>
      </c>
      <c r="S10" s="67"/>
    </row>
    <row r="11" spans="1:19" s="459" customFormat="1">
      <c r="A11" s="858" t="s">
        <v>225</v>
      </c>
      <c r="B11" s="863"/>
      <c r="C11" s="704">
        <f>huishoudens!B8</f>
        <v>14702.012454758353</v>
      </c>
      <c r="D11" s="704">
        <f>huishoudens!C8</f>
        <v>0</v>
      </c>
      <c r="E11" s="704">
        <f>huishoudens!D8</f>
        <v>25430.88323408908</v>
      </c>
      <c r="F11" s="704">
        <f>huishoudens!E8</f>
        <v>5809.2104469330679</v>
      </c>
      <c r="G11" s="704">
        <f>huishoudens!F8</f>
        <v>18009.31544617621</v>
      </c>
      <c r="H11" s="704">
        <f>huishoudens!G8</f>
        <v>0</v>
      </c>
      <c r="I11" s="704">
        <f>huishoudens!H8</f>
        <v>0</v>
      </c>
      <c r="J11" s="704">
        <f>huishoudens!I8</f>
        <v>0</v>
      </c>
      <c r="K11" s="704">
        <f>huishoudens!J8</f>
        <v>8820.0905622204555</v>
      </c>
      <c r="L11" s="704">
        <f>huishoudens!K8</f>
        <v>0</v>
      </c>
      <c r="M11" s="704">
        <f>huishoudens!L8</f>
        <v>0</v>
      </c>
      <c r="N11" s="704">
        <f>huishoudens!M8</f>
        <v>0</v>
      </c>
      <c r="O11" s="704">
        <f>huishoudens!N8</f>
        <v>14662.623248611191</v>
      </c>
      <c r="P11" s="704">
        <f>huishoudens!O8</f>
        <v>134.44666666666666</v>
      </c>
      <c r="Q11" s="705">
        <f>huishoudens!P8</f>
        <v>324.13333333333333</v>
      </c>
      <c r="R11" s="707">
        <f>SUM(C11:Q11)</f>
        <v>87892.715392788363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80543.655558026891</v>
      </c>
      <c r="D13" s="704">
        <f>industrie!C18</f>
        <v>0</v>
      </c>
      <c r="E13" s="704">
        <f>industrie!D18</f>
        <v>210603.73717144981</v>
      </c>
      <c r="F13" s="704">
        <f>industrie!E18</f>
        <v>6408.8099451070048</v>
      </c>
      <c r="G13" s="704">
        <f>industrie!F18</f>
        <v>110514.44131924823</v>
      </c>
      <c r="H13" s="704">
        <f>industrie!G18</f>
        <v>0</v>
      </c>
      <c r="I13" s="704">
        <f>industrie!H18</f>
        <v>0</v>
      </c>
      <c r="J13" s="704">
        <f>industrie!I18</f>
        <v>0</v>
      </c>
      <c r="K13" s="704">
        <f>industrie!J18</f>
        <v>20.224809418530555</v>
      </c>
      <c r="L13" s="704">
        <f>industrie!K18</f>
        <v>0</v>
      </c>
      <c r="M13" s="704">
        <f>industrie!L18</f>
        <v>0</v>
      </c>
      <c r="N13" s="704">
        <f>industrie!M18</f>
        <v>0</v>
      </c>
      <c r="O13" s="704">
        <f>industrie!N18</f>
        <v>22933.837767139499</v>
      </c>
      <c r="P13" s="704">
        <f>industrie!O18</f>
        <v>0</v>
      </c>
      <c r="Q13" s="705">
        <f>industrie!P18</f>
        <v>0</v>
      </c>
      <c r="R13" s="707">
        <f>SUM(C13:Q13)</f>
        <v>431024.70657038997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104232.95058713549</v>
      </c>
      <c r="D15" s="709">
        <f t="shared" ref="D15:Q15" ca="1" si="0">SUM(D9:D14)</f>
        <v>0</v>
      </c>
      <c r="E15" s="709">
        <f t="shared" ca="1" si="0"/>
        <v>244712.2522084488</v>
      </c>
      <c r="F15" s="709">
        <f t="shared" si="0"/>
        <v>12408.930518164099</v>
      </c>
      <c r="G15" s="709">
        <f t="shared" ca="1" si="0"/>
        <v>130326.49581980408</v>
      </c>
      <c r="H15" s="709">
        <f t="shared" si="0"/>
        <v>0</v>
      </c>
      <c r="I15" s="709">
        <f t="shared" si="0"/>
        <v>0</v>
      </c>
      <c r="J15" s="709">
        <f t="shared" si="0"/>
        <v>0</v>
      </c>
      <c r="K15" s="709">
        <f t="shared" si="0"/>
        <v>8840.3153716389861</v>
      </c>
      <c r="L15" s="709">
        <f t="shared" si="0"/>
        <v>0</v>
      </c>
      <c r="M15" s="709">
        <f t="shared" ca="1" si="0"/>
        <v>0</v>
      </c>
      <c r="N15" s="709">
        <f t="shared" si="0"/>
        <v>0</v>
      </c>
      <c r="O15" s="709">
        <f t="shared" ca="1" si="0"/>
        <v>38350.420266630841</v>
      </c>
      <c r="P15" s="709">
        <f t="shared" si="0"/>
        <v>137.57333333333332</v>
      </c>
      <c r="Q15" s="710">
        <f t="shared" si="0"/>
        <v>362.26666666666665</v>
      </c>
      <c r="R15" s="711">
        <f ca="1">SUM(R9:R14)</f>
        <v>539371.20477182232</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267.72766650339429</v>
      </c>
      <c r="I18" s="704">
        <f>transport!H54</f>
        <v>0</v>
      </c>
      <c r="J18" s="704">
        <f>transport!I54</f>
        <v>0</v>
      </c>
      <c r="K18" s="704">
        <f>transport!J54</f>
        <v>0</v>
      </c>
      <c r="L18" s="704">
        <f>transport!K54</f>
        <v>0</v>
      </c>
      <c r="M18" s="704">
        <f>transport!L54</f>
        <v>0</v>
      </c>
      <c r="N18" s="704">
        <f>transport!M54</f>
        <v>11.90650416889039</v>
      </c>
      <c r="O18" s="704">
        <f>transport!N54</f>
        <v>0</v>
      </c>
      <c r="P18" s="704">
        <f>transport!O54</f>
        <v>0</v>
      </c>
      <c r="Q18" s="705">
        <f>transport!P54</f>
        <v>0</v>
      </c>
      <c r="R18" s="707">
        <f>SUM(C18:Q18)</f>
        <v>279.63417067228465</v>
      </c>
      <c r="S18" s="67"/>
    </row>
    <row r="19" spans="1:19" s="459" customFormat="1" ht="15" thickBot="1">
      <c r="A19" s="858" t="s">
        <v>307</v>
      </c>
      <c r="B19" s="863"/>
      <c r="C19" s="713">
        <f>transport!B14</f>
        <v>1.9250896363920762</v>
      </c>
      <c r="D19" s="713">
        <f>transport!C14</f>
        <v>0</v>
      </c>
      <c r="E19" s="713">
        <f>transport!D14</f>
        <v>3.1246746028784695</v>
      </c>
      <c r="F19" s="713">
        <f>transport!E14</f>
        <v>95.884572470843651</v>
      </c>
      <c r="G19" s="713">
        <f>transport!F14</f>
        <v>0</v>
      </c>
      <c r="H19" s="713">
        <f>transport!G14</f>
        <v>24223.151643600231</v>
      </c>
      <c r="I19" s="713">
        <f>transport!H14</f>
        <v>4693.634440513456</v>
      </c>
      <c r="J19" s="713">
        <f>transport!I14</f>
        <v>0</v>
      </c>
      <c r="K19" s="713">
        <f>transport!J14</f>
        <v>0</v>
      </c>
      <c r="L19" s="713">
        <f>transport!K14</f>
        <v>0</v>
      </c>
      <c r="M19" s="713">
        <f>transport!L14</f>
        <v>0</v>
      </c>
      <c r="N19" s="713">
        <f>transport!M14</f>
        <v>1293.6795058977309</v>
      </c>
      <c r="O19" s="713">
        <f>transport!N14</f>
        <v>0</v>
      </c>
      <c r="P19" s="713">
        <f>transport!O14</f>
        <v>0</v>
      </c>
      <c r="Q19" s="714">
        <f>transport!P14</f>
        <v>0</v>
      </c>
      <c r="R19" s="715">
        <f>SUM(C19:Q19)</f>
        <v>30311.399926721529</v>
      </c>
      <c r="S19" s="67"/>
    </row>
    <row r="20" spans="1:19" s="459" customFormat="1" ht="15.75" thickBot="1">
      <c r="A20" s="716" t="s">
        <v>230</v>
      </c>
      <c r="B20" s="866"/>
      <c r="C20" s="861">
        <f>SUM(C17:C19)</f>
        <v>1.9250896363920762</v>
      </c>
      <c r="D20" s="717">
        <f t="shared" ref="D20:R20" si="1">SUM(D17:D19)</f>
        <v>0</v>
      </c>
      <c r="E20" s="717">
        <f t="shared" si="1"/>
        <v>3.1246746028784695</v>
      </c>
      <c r="F20" s="717">
        <f t="shared" si="1"/>
        <v>95.884572470843651</v>
      </c>
      <c r="G20" s="717">
        <f t="shared" si="1"/>
        <v>0</v>
      </c>
      <c r="H20" s="717">
        <f t="shared" si="1"/>
        <v>24490.879310103624</v>
      </c>
      <c r="I20" s="717">
        <f t="shared" si="1"/>
        <v>4693.634440513456</v>
      </c>
      <c r="J20" s="717">
        <f t="shared" si="1"/>
        <v>0</v>
      </c>
      <c r="K20" s="717">
        <f t="shared" si="1"/>
        <v>0</v>
      </c>
      <c r="L20" s="717">
        <f t="shared" si="1"/>
        <v>0</v>
      </c>
      <c r="M20" s="717">
        <f t="shared" si="1"/>
        <v>0</v>
      </c>
      <c r="N20" s="717">
        <f t="shared" si="1"/>
        <v>1305.5860100666214</v>
      </c>
      <c r="O20" s="717">
        <f t="shared" si="1"/>
        <v>0</v>
      </c>
      <c r="P20" s="717">
        <f t="shared" si="1"/>
        <v>0</v>
      </c>
      <c r="Q20" s="718">
        <f t="shared" si="1"/>
        <v>0</v>
      </c>
      <c r="R20" s="719">
        <f t="shared" si="1"/>
        <v>30591.034097393815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5856.4509593577905</v>
      </c>
      <c r="D22" s="713">
        <f>+landbouw!C8</f>
        <v>0</v>
      </c>
      <c r="E22" s="713">
        <f>+landbouw!D8</f>
        <v>1515.1532343227623</v>
      </c>
      <c r="F22" s="713">
        <f>+landbouw!E8</f>
        <v>73.79882673072494</v>
      </c>
      <c r="G22" s="713">
        <f>+landbouw!F8</f>
        <v>20206.22293841423</v>
      </c>
      <c r="H22" s="713">
        <f>+landbouw!G8</f>
        <v>0</v>
      </c>
      <c r="I22" s="713">
        <f>+landbouw!H8</f>
        <v>0</v>
      </c>
      <c r="J22" s="713">
        <f>+landbouw!I8</f>
        <v>0</v>
      </c>
      <c r="K22" s="713">
        <f>+landbouw!J8</f>
        <v>880.74365050251333</v>
      </c>
      <c r="L22" s="713">
        <f>+landbouw!K8</f>
        <v>0</v>
      </c>
      <c r="M22" s="713">
        <f>+landbouw!L8</f>
        <v>0</v>
      </c>
      <c r="N22" s="713">
        <f>+landbouw!M8</f>
        <v>0</v>
      </c>
      <c r="O22" s="713">
        <f>+landbouw!N8</f>
        <v>0</v>
      </c>
      <c r="P22" s="713">
        <f>+landbouw!O8</f>
        <v>0</v>
      </c>
      <c r="Q22" s="714">
        <f>+landbouw!P8</f>
        <v>0</v>
      </c>
      <c r="R22" s="715">
        <f>SUM(C22:Q22)</f>
        <v>28532.36960932802</v>
      </c>
      <c r="S22" s="67"/>
    </row>
    <row r="23" spans="1:19" s="459" customFormat="1" ht="17.25" thickTop="1" thickBot="1">
      <c r="A23" s="720" t="s">
        <v>116</v>
      </c>
      <c r="B23" s="852"/>
      <c r="C23" s="721">
        <f ca="1">C20+C15+C22</f>
        <v>110091.32663612968</v>
      </c>
      <c r="D23" s="721">
        <f t="shared" ref="D23:Q23" ca="1" si="2">D20+D15+D22</f>
        <v>0</v>
      </c>
      <c r="E23" s="721">
        <f t="shared" ca="1" si="2"/>
        <v>246230.53011737444</v>
      </c>
      <c r="F23" s="721">
        <f t="shared" si="2"/>
        <v>12578.613917365668</v>
      </c>
      <c r="G23" s="721">
        <f t="shared" ca="1" si="2"/>
        <v>150532.71875821831</v>
      </c>
      <c r="H23" s="721">
        <f t="shared" si="2"/>
        <v>24490.879310103624</v>
      </c>
      <c r="I23" s="721">
        <f t="shared" si="2"/>
        <v>4693.634440513456</v>
      </c>
      <c r="J23" s="721">
        <f t="shared" si="2"/>
        <v>0</v>
      </c>
      <c r="K23" s="721">
        <f t="shared" si="2"/>
        <v>9721.0590221414986</v>
      </c>
      <c r="L23" s="721">
        <f t="shared" si="2"/>
        <v>0</v>
      </c>
      <c r="M23" s="721">
        <f t="shared" ca="1" si="2"/>
        <v>0</v>
      </c>
      <c r="N23" s="721">
        <f t="shared" si="2"/>
        <v>1305.5860100666214</v>
      </c>
      <c r="O23" s="721">
        <f t="shared" ca="1" si="2"/>
        <v>38350.420266630841</v>
      </c>
      <c r="P23" s="721">
        <f t="shared" si="2"/>
        <v>137.57333333333332</v>
      </c>
      <c r="Q23" s="722">
        <f t="shared" si="2"/>
        <v>362.26666666666665</v>
      </c>
      <c r="R23" s="723">
        <f ca="1">R20+R15+R22</f>
        <v>598494.60847854416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1930.0024249502344</v>
      </c>
      <c r="D36" s="704">
        <f ca="1">tertiair!C20</f>
        <v>0</v>
      </c>
      <c r="E36" s="704">
        <f ca="1">tertiair!D20</f>
        <v>1752.8816241878026</v>
      </c>
      <c r="F36" s="704">
        <f>tertiair!E20</f>
        <v>43.336598630154299</v>
      </c>
      <c r="G36" s="704">
        <f ca="1">tertiair!F20</f>
        <v>481.33132751936563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4207.5519752875571</v>
      </c>
    </row>
    <row r="37" spans="1:18">
      <c r="A37" s="873" t="s">
        <v>225</v>
      </c>
      <c r="B37" s="880"/>
      <c r="C37" s="704">
        <f ca="1">huishoudens!B12</f>
        <v>3157.2301699196978</v>
      </c>
      <c r="D37" s="704">
        <f ca="1">huishoudens!C12</f>
        <v>0</v>
      </c>
      <c r="E37" s="704">
        <f>huishoudens!D12</f>
        <v>5137.0384132859945</v>
      </c>
      <c r="F37" s="704">
        <f>huishoudens!E12</f>
        <v>1318.6907714538065</v>
      </c>
      <c r="G37" s="704">
        <f>huishoudens!F12</f>
        <v>4808.4872241290486</v>
      </c>
      <c r="H37" s="704">
        <f>huishoudens!G12</f>
        <v>0</v>
      </c>
      <c r="I37" s="704">
        <f>huishoudens!H12</f>
        <v>0</v>
      </c>
      <c r="J37" s="704">
        <f>huishoudens!I12</f>
        <v>0</v>
      </c>
      <c r="K37" s="704">
        <f>huishoudens!J12</f>
        <v>3122.312059026041</v>
      </c>
      <c r="L37" s="704">
        <f>huishoudens!K12</f>
        <v>0</v>
      </c>
      <c r="M37" s="704">
        <f>huishoudens!L12</f>
        <v>0</v>
      </c>
      <c r="N37" s="704">
        <f>huishoudens!M12</f>
        <v>0</v>
      </c>
      <c r="O37" s="704">
        <f>huishoudens!N12</f>
        <v>0</v>
      </c>
      <c r="P37" s="704">
        <f>huishoudens!O12</f>
        <v>0</v>
      </c>
      <c r="Q37" s="814">
        <f>huishoudens!P12</f>
        <v>0</v>
      </c>
      <c r="R37" s="905">
        <f ca="1">SUM(C37:Q37)</f>
        <v>17543.75863781459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17296.602088044045</v>
      </c>
      <c r="D39" s="704">
        <f ca="1">industrie!C22</f>
        <v>0</v>
      </c>
      <c r="E39" s="704">
        <f>industrie!D22</f>
        <v>42541.954908632862</v>
      </c>
      <c r="F39" s="704">
        <f>industrie!E22</f>
        <v>1454.7998575392901</v>
      </c>
      <c r="G39" s="704">
        <f>industrie!F22</f>
        <v>29507.355832239278</v>
      </c>
      <c r="H39" s="704">
        <f>industrie!G22</f>
        <v>0</v>
      </c>
      <c r="I39" s="704">
        <f>industrie!H22</f>
        <v>0</v>
      </c>
      <c r="J39" s="704">
        <f>industrie!I22</f>
        <v>0</v>
      </c>
      <c r="K39" s="704">
        <f>industrie!J22</f>
        <v>7.1595825341598163</v>
      </c>
      <c r="L39" s="704">
        <f>industrie!K22</f>
        <v>0</v>
      </c>
      <c r="M39" s="704">
        <f>industrie!L22</f>
        <v>0</v>
      </c>
      <c r="N39" s="704">
        <f>industrie!M22</f>
        <v>0</v>
      </c>
      <c r="O39" s="704">
        <f>industrie!N22</f>
        <v>0</v>
      </c>
      <c r="P39" s="704">
        <f>industrie!O22</f>
        <v>0</v>
      </c>
      <c r="Q39" s="814">
        <f>industrie!P22</f>
        <v>0</v>
      </c>
      <c r="R39" s="906">
        <f ca="1">SUM(C39:Q39)</f>
        <v>90807.872268989653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22383.834682913977</v>
      </c>
      <c r="D41" s="749">
        <f t="shared" ref="D41:R41" ca="1" si="4">SUM(D35:D40)</f>
        <v>0</v>
      </c>
      <c r="E41" s="749">
        <f t="shared" ca="1" si="4"/>
        <v>49431.874946106662</v>
      </c>
      <c r="F41" s="749">
        <f t="shared" si="4"/>
        <v>2816.827227623251</v>
      </c>
      <c r="G41" s="749">
        <f t="shared" ca="1" si="4"/>
        <v>34797.174383887694</v>
      </c>
      <c r="H41" s="749">
        <f t="shared" si="4"/>
        <v>0</v>
      </c>
      <c r="I41" s="749">
        <f t="shared" si="4"/>
        <v>0</v>
      </c>
      <c r="J41" s="749">
        <f t="shared" si="4"/>
        <v>0</v>
      </c>
      <c r="K41" s="749">
        <f t="shared" si="4"/>
        <v>3129.4716415602006</v>
      </c>
      <c r="L41" s="749">
        <f t="shared" si="4"/>
        <v>0</v>
      </c>
      <c r="M41" s="749">
        <f t="shared" ca="1" si="4"/>
        <v>0</v>
      </c>
      <c r="N41" s="749">
        <f t="shared" si="4"/>
        <v>0</v>
      </c>
      <c r="O41" s="749">
        <f t="shared" ca="1" si="4"/>
        <v>0</v>
      </c>
      <c r="P41" s="749">
        <f t="shared" si="4"/>
        <v>0</v>
      </c>
      <c r="Q41" s="750">
        <f t="shared" si="4"/>
        <v>0</v>
      </c>
      <c r="R41" s="751">
        <f t="shared" ca="1" si="4"/>
        <v>112559.1828820918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71.483286956406275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71.483286956406275</v>
      </c>
    </row>
    <row r="45" spans="1:18" ht="15" thickBot="1">
      <c r="A45" s="876" t="s">
        <v>307</v>
      </c>
      <c r="B45" s="886"/>
      <c r="C45" s="713">
        <f ca="1">transport!B18</f>
        <v>0.41340946339966239</v>
      </c>
      <c r="D45" s="713">
        <f>transport!C18</f>
        <v>0</v>
      </c>
      <c r="E45" s="713">
        <f>transport!D18</f>
        <v>0.63118426978145092</v>
      </c>
      <c r="F45" s="713">
        <f>transport!E18</f>
        <v>21.76579795088151</v>
      </c>
      <c r="G45" s="713">
        <f>transport!F18</f>
        <v>0</v>
      </c>
      <c r="H45" s="713">
        <f>transport!G18</f>
        <v>6467.5814888412624</v>
      </c>
      <c r="I45" s="713">
        <f>transport!H18</f>
        <v>1168.7149756878505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7659.1068562131759</v>
      </c>
    </row>
    <row r="46" spans="1:18" ht="15.75" thickBot="1">
      <c r="A46" s="874" t="s">
        <v>230</v>
      </c>
      <c r="B46" s="887"/>
      <c r="C46" s="749">
        <f t="shared" ref="C46:R46" ca="1" si="5">SUM(C43:C45)</f>
        <v>0.41340946339966239</v>
      </c>
      <c r="D46" s="749">
        <f t="shared" ca="1" si="5"/>
        <v>0</v>
      </c>
      <c r="E46" s="749">
        <f t="shared" si="5"/>
        <v>0.63118426978145092</v>
      </c>
      <c r="F46" s="749">
        <f t="shared" si="5"/>
        <v>21.76579795088151</v>
      </c>
      <c r="G46" s="749">
        <f t="shared" si="5"/>
        <v>0</v>
      </c>
      <c r="H46" s="749">
        <f t="shared" si="5"/>
        <v>6539.0647757976685</v>
      </c>
      <c r="I46" s="749">
        <f t="shared" si="5"/>
        <v>1168.7149756878505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7730.590143169582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1257.6620863598287</v>
      </c>
      <c r="D48" s="704">
        <f ca="1">+landbouw!C12</f>
        <v>0</v>
      </c>
      <c r="E48" s="704">
        <f>+landbouw!D12</f>
        <v>306.06095333319797</v>
      </c>
      <c r="F48" s="704">
        <f>+landbouw!E12</f>
        <v>16.752333667874563</v>
      </c>
      <c r="G48" s="704">
        <f>+landbouw!F12</f>
        <v>5395.0615245565996</v>
      </c>
      <c r="H48" s="704">
        <f>+landbouw!G12</f>
        <v>0</v>
      </c>
      <c r="I48" s="704">
        <f>+landbouw!H12</f>
        <v>0</v>
      </c>
      <c r="J48" s="704">
        <f>+landbouw!I12</f>
        <v>0</v>
      </c>
      <c r="K48" s="704">
        <f>+landbouw!J12</f>
        <v>311.78325227788969</v>
      </c>
      <c r="L48" s="704">
        <f>+landbouw!K12</f>
        <v>0</v>
      </c>
      <c r="M48" s="704">
        <f>+landbouw!L12</f>
        <v>0</v>
      </c>
      <c r="N48" s="704">
        <f>+landbouw!M12</f>
        <v>0</v>
      </c>
      <c r="O48" s="704">
        <f>+landbouw!N12</f>
        <v>0</v>
      </c>
      <c r="P48" s="704">
        <f>+landbouw!O12</f>
        <v>0</v>
      </c>
      <c r="Q48" s="705">
        <f>+landbouw!P12</f>
        <v>0</v>
      </c>
      <c r="R48" s="747">
        <f ca="1">SUM(C48:Q48)</f>
        <v>7287.3201501953909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23641.910178737206</v>
      </c>
      <c r="D53" s="759">
        <f t="shared" ref="D53:Q53" ca="1" si="6">D41+D46+D48</f>
        <v>0</v>
      </c>
      <c r="E53" s="759">
        <f t="shared" ca="1" si="6"/>
        <v>49738.56708370964</v>
      </c>
      <c r="F53" s="759">
        <f t="shared" si="6"/>
        <v>2855.3453592420074</v>
      </c>
      <c r="G53" s="759">
        <f t="shared" ca="1" si="6"/>
        <v>40192.235908444294</v>
      </c>
      <c r="H53" s="759">
        <f t="shared" si="6"/>
        <v>6539.0647757976685</v>
      </c>
      <c r="I53" s="759">
        <f t="shared" si="6"/>
        <v>1168.7149756878505</v>
      </c>
      <c r="J53" s="759">
        <f t="shared" si="6"/>
        <v>0</v>
      </c>
      <c r="K53" s="759">
        <f t="shared" si="6"/>
        <v>3441.2548938380905</v>
      </c>
      <c r="L53" s="759">
        <f t="shared" si="6"/>
        <v>0</v>
      </c>
      <c r="M53" s="759">
        <f t="shared" ca="1" si="6"/>
        <v>0</v>
      </c>
      <c r="N53" s="759">
        <f t="shared" si="6"/>
        <v>0</v>
      </c>
      <c r="O53" s="759">
        <f t="shared" ca="1" si="6"/>
        <v>0</v>
      </c>
      <c r="P53" s="759">
        <f>P41+P46+P48</f>
        <v>0</v>
      </c>
      <c r="Q53" s="760">
        <f t="shared" si="6"/>
        <v>0</v>
      </c>
      <c r="R53" s="761">
        <f ca="1">R41+R46+R48</f>
        <v>127577.09317545677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0.21474816319434217</v>
      </c>
      <c r="D55" s="824">
        <f t="shared" ca="1" si="7"/>
        <v>0</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3114.3575015721935</v>
      </c>
      <c r="C66" s="781">
        <f>'lokale energieproductie'!B6</f>
        <v>3114.3575015721935</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3114.3575015721935</v>
      </c>
      <c r="C69" s="789">
        <f>SUM(C64:C68)</f>
        <v>3114.3575015721935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14702.012454758353</v>
      </c>
      <c r="C4" s="463">
        <f>huishoudens!C8</f>
        <v>0</v>
      </c>
      <c r="D4" s="463">
        <f>huishoudens!D8</f>
        <v>25430.88323408908</v>
      </c>
      <c r="E4" s="463">
        <f>huishoudens!E8</f>
        <v>5809.2104469330679</v>
      </c>
      <c r="F4" s="463">
        <f>huishoudens!F8</f>
        <v>18009.31544617621</v>
      </c>
      <c r="G4" s="463">
        <f>huishoudens!G8</f>
        <v>0</v>
      </c>
      <c r="H4" s="463">
        <f>huishoudens!H8</f>
        <v>0</v>
      </c>
      <c r="I4" s="463">
        <f>huishoudens!I8</f>
        <v>0</v>
      </c>
      <c r="J4" s="463">
        <f>huishoudens!J8</f>
        <v>8820.0905622204555</v>
      </c>
      <c r="K4" s="463">
        <f>huishoudens!K8</f>
        <v>0</v>
      </c>
      <c r="L4" s="463">
        <f>huishoudens!L8</f>
        <v>0</v>
      </c>
      <c r="M4" s="463">
        <f>huishoudens!M8</f>
        <v>0</v>
      </c>
      <c r="N4" s="463">
        <f>huishoudens!N8</f>
        <v>14662.623248611191</v>
      </c>
      <c r="O4" s="463">
        <f>huishoudens!O8</f>
        <v>134.44666666666666</v>
      </c>
      <c r="P4" s="464">
        <f>huishoudens!P8</f>
        <v>324.13333333333333</v>
      </c>
      <c r="Q4" s="465">
        <f>SUM(B4:P4)</f>
        <v>87892.715392788363</v>
      </c>
    </row>
    <row r="5" spans="1:17">
      <c r="A5" s="462" t="s">
        <v>156</v>
      </c>
      <c r="B5" s="463">
        <f ca="1">tertiair!B16</f>
        <v>7893.4665743502464</v>
      </c>
      <c r="C5" s="463">
        <f ca="1">tertiair!C16</f>
        <v>0</v>
      </c>
      <c r="D5" s="463">
        <f ca="1">tertiair!D16</f>
        <v>8677.6318029099129</v>
      </c>
      <c r="E5" s="463">
        <f>tertiair!E16</f>
        <v>190.91012612402773</v>
      </c>
      <c r="F5" s="463">
        <f ca="1">tertiair!F16</f>
        <v>1802.7390543796464</v>
      </c>
      <c r="G5" s="463">
        <f>tertiair!G16</f>
        <v>0</v>
      </c>
      <c r="H5" s="463">
        <f>tertiair!H16</f>
        <v>0</v>
      </c>
      <c r="I5" s="463">
        <f>tertiair!I16</f>
        <v>0</v>
      </c>
      <c r="J5" s="463">
        <f>tertiair!J16</f>
        <v>0</v>
      </c>
      <c r="K5" s="463">
        <f>tertiair!K16</f>
        <v>0</v>
      </c>
      <c r="L5" s="463">
        <f ca="1">tertiair!L16</f>
        <v>0</v>
      </c>
      <c r="M5" s="463">
        <f>tertiair!M16</f>
        <v>0</v>
      </c>
      <c r="N5" s="463">
        <f ca="1">tertiair!N16</f>
        <v>753.95925088014656</v>
      </c>
      <c r="O5" s="463">
        <f>tertiair!O16</f>
        <v>3.1266666666666669</v>
      </c>
      <c r="P5" s="464">
        <f>tertiair!P16</f>
        <v>38.133333333333333</v>
      </c>
      <c r="Q5" s="462">
        <f t="shared" ref="Q5:Q13" ca="1" si="0">SUM(B5:P5)</f>
        <v>19359.966808643985</v>
      </c>
    </row>
    <row r="6" spans="1:17">
      <c r="A6" s="462" t="s">
        <v>194</v>
      </c>
      <c r="B6" s="463">
        <f>'openbare verlichting'!B8</f>
        <v>1093.816</v>
      </c>
      <c r="C6" s="463"/>
      <c r="D6" s="463"/>
      <c r="E6" s="463"/>
      <c r="F6" s="463"/>
      <c r="G6" s="463"/>
      <c r="H6" s="463"/>
      <c r="I6" s="463"/>
      <c r="J6" s="463"/>
      <c r="K6" s="463"/>
      <c r="L6" s="463"/>
      <c r="M6" s="463"/>
      <c r="N6" s="463"/>
      <c r="O6" s="463"/>
      <c r="P6" s="464"/>
      <c r="Q6" s="462">
        <f t="shared" si="0"/>
        <v>1093.816</v>
      </c>
    </row>
    <row r="7" spans="1:17">
      <c r="A7" s="462" t="s">
        <v>112</v>
      </c>
      <c r="B7" s="463">
        <f>landbouw!B8</f>
        <v>5856.4509593577905</v>
      </c>
      <c r="C7" s="463">
        <f>landbouw!C8</f>
        <v>0</v>
      </c>
      <c r="D7" s="463">
        <f>landbouw!D8</f>
        <v>1515.1532343227623</v>
      </c>
      <c r="E7" s="463">
        <f>landbouw!E8</f>
        <v>73.79882673072494</v>
      </c>
      <c r="F7" s="463">
        <f>landbouw!F8</f>
        <v>20206.22293841423</v>
      </c>
      <c r="G7" s="463">
        <f>landbouw!G8</f>
        <v>0</v>
      </c>
      <c r="H7" s="463">
        <f>landbouw!H8</f>
        <v>0</v>
      </c>
      <c r="I7" s="463">
        <f>landbouw!I8</f>
        <v>0</v>
      </c>
      <c r="J7" s="463">
        <f>landbouw!J8</f>
        <v>880.74365050251333</v>
      </c>
      <c r="K7" s="463">
        <f>landbouw!K8</f>
        <v>0</v>
      </c>
      <c r="L7" s="463">
        <f>landbouw!L8</f>
        <v>0</v>
      </c>
      <c r="M7" s="463">
        <f>landbouw!M8</f>
        <v>0</v>
      </c>
      <c r="N7" s="463">
        <f>landbouw!N8</f>
        <v>0</v>
      </c>
      <c r="O7" s="463">
        <f>landbouw!O8</f>
        <v>0</v>
      </c>
      <c r="P7" s="464">
        <f>landbouw!P8</f>
        <v>0</v>
      </c>
      <c r="Q7" s="462">
        <f t="shared" si="0"/>
        <v>28532.36960932802</v>
      </c>
    </row>
    <row r="8" spans="1:17">
      <c r="A8" s="462" t="s">
        <v>657</v>
      </c>
      <c r="B8" s="463">
        <f>industrie!B18</f>
        <v>80543.655558026891</v>
      </c>
      <c r="C8" s="463">
        <f>industrie!C18</f>
        <v>0</v>
      </c>
      <c r="D8" s="463">
        <f>industrie!D18</f>
        <v>210603.73717144981</v>
      </c>
      <c r="E8" s="463">
        <f>industrie!E18</f>
        <v>6408.8099451070048</v>
      </c>
      <c r="F8" s="463">
        <f>industrie!F18</f>
        <v>110514.44131924823</v>
      </c>
      <c r="G8" s="463">
        <f>industrie!G18</f>
        <v>0</v>
      </c>
      <c r="H8" s="463">
        <f>industrie!H18</f>
        <v>0</v>
      </c>
      <c r="I8" s="463">
        <f>industrie!I18</f>
        <v>0</v>
      </c>
      <c r="J8" s="463">
        <f>industrie!J18</f>
        <v>20.224809418530555</v>
      </c>
      <c r="K8" s="463">
        <f>industrie!K18</f>
        <v>0</v>
      </c>
      <c r="L8" s="463">
        <f>industrie!L18</f>
        <v>0</v>
      </c>
      <c r="M8" s="463">
        <f>industrie!M18</f>
        <v>0</v>
      </c>
      <c r="N8" s="463">
        <f>industrie!N18</f>
        <v>22933.837767139499</v>
      </c>
      <c r="O8" s="463">
        <f>industrie!O18</f>
        <v>0</v>
      </c>
      <c r="P8" s="464">
        <f>industrie!P18</f>
        <v>0</v>
      </c>
      <c r="Q8" s="462">
        <f t="shared" si="0"/>
        <v>431024.70657038997</v>
      </c>
    </row>
    <row r="9" spans="1:17" s="468" customFormat="1">
      <c r="A9" s="466" t="s">
        <v>574</v>
      </c>
      <c r="B9" s="467">
        <f>transport!B14</f>
        <v>1.9250896363920762</v>
      </c>
      <c r="C9" s="467">
        <f>transport!C14</f>
        <v>0</v>
      </c>
      <c r="D9" s="467">
        <f>transport!D14</f>
        <v>3.1246746028784695</v>
      </c>
      <c r="E9" s="467">
        <f>transport!E14</f>
        <v>95.884572470843651</v>
      </c>
      <c r="F9" s="467">
        <f>transport!F14</f>
        <v>0</v>
      </c>
      <c r="G9" s="467">
        <f>transport!G14</f>
        <v>24223.151643600231</v>
      </c>
      <c r="H9" s="467">
        <f>transport!H14</f>
        <v>4693.634440513456</v>
      </c>
      <c r="I9" s="467">
        <f>transport!I14</f>
        <v>0</v>
      </c>
      <c r="J9" s="467">
        <f>transport!J14</f>
        <v>0</v>
      </c>
      <c r="K9" s="467">
        <f>transport!K14</f>
        <v>0</v>
      </c>
      <c r="L9" s="467">
        <f>transport!L14</f>
        <v>0</v>
      </c>
      <c r="M9" s="467">
        <f>transport!M14</f>
        <v>1293.6795058977309</v>
      </c>
      <c r="N9" s="467">
        <f>transport!N14</f>
        <v>0</v>
      </c>
      <c r="O9" s="467">
        <f>transport!O14</f>
        <v>0</v>
      </c>
      <c r="P9" s="467">
        <f>transport!P14</f>
        <v>0</v>
      </c>
      <c r="Q9" s="466">
        <f>SUM(B9:P9)</f>
        <v>30311.399926721529</v>
      </c>
    </row>
    <row r="10" spans="1:17">
      <c r="A10" s="462" t="s">
        <v>564</v>
      </c>
      <c r="B10" s="463">
        <f>transport!B54</f>
        <v>0</v>
      </c>
      <c r="C10" s="463">
        <f>transport!C54</f>
        <v>0</v>
      </c>
      <c r="D10" s="463">
        <f>transport!D54</f>
        <v>0</v>
      </c>
      <c r="E10" s="463">
        <f>transport!E54</f>
        <v>0</v>
      </c>
      <c r="F10" s="463">
        <f>transport!F54</f>
        <v>0</v>
      </c>
      <c r="G10" s="463">
        <f>transport!G54</f>
        <v>267.72766650339429</v>
      </c>
      <c r="H10" s="463">
        <f>transport!H54</f>
        <v>0</v>
      </c>
      <c r="I10" s="463">
        <f>transport!I54</f>
        <v>0</v>
      </c>
      <c r="J10" s="463">
        <f>transport!J54</f>
        <v>0</v>
      </c>
      <c r="K10" s="463">
        <f>transport!K54</f>
        <v>0</v>
      </c>
      <c r="L10" s="463">
        <f>transport!L54</f>
        <v>0</v>
      </c>
      <c r="M10" s="463">
        <f>transport!M54</f>
        <v>11.90650416889039</v>
      </c>
      <c r="N10" s="463">
        <f>transport!N54</f>
        <v>0</v>
      </c>
      <c r="O10" s="463">
        <f>transport!O54</f>
        <v>0</v>
      </c>
      <c r="P10" s="464">
        <f>transport!P54</f>
        <v>0</v>
      </c>
      <c r="Q10" s="462">
        <f t="shared" si="0"/>
        <v>279.63417067228465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110091.32663612967</v>
      </c>
      <c r="C14" s="473">
        <f t="shared" ref="C14:Q14" ca="1" si="1">SUM(C4:C13)</f>
        <v>0</v>
      </c>
      <c r="D14" s="473">
        <f t="shared" ca="1" si="1"/>
        <v>246230.53011737444</v>
      </c>
      <c r="E14" s="473">
        <f t="shared" si="1"/>
        <v>12578.61391736567</v>
      </c>
      <c r="F14" s="473">
        <f t="shared" ca="1" si="1"/>
        <v>150532.71875821831</v>
      </c>
      <c r="G14" s="473">
        <f t="shared" si="1"/>
        <v>24490.879310103624</v>
      </c>
      <c r="H14" s="473">
        <f t="shared" si="1"/>
        <v>4693.634440513456</v>
      </c>
      <c r="I14" s="473">
        <f t="shared" si="1"/>
        <v>0</v>
      </c>
      <c r="J14" s="473">
        <f t="shared" si="1"/>
        <v>9721.0590221414986</v>
      </c>
      <c r="K14" s="473">
        <f t="shared" si="1"/>
        <v>0</v>
      </c>
      <c r="L14" s="473">
        <f t="shared" ca="1" si="1"/>
        <v>0</v>
      </c>
      <c r="M14" s="473">
        <f t="shared" si="1"/>
        <v>1305.5860100666214</v>
      </c>
      <c r="N14" s="473">
        <f t="shared" ca="1" si="1"/>
        <v>38350.420266630841</v>
      </c>
      <c r="O14" s="473">
        <f t="shared" si="1"/>
        <v>137.57333333333332</v>
      </c>
      <c r="P14" s="474">
        <f t="shared" si="1"/>
        <v>362.26666666666665</v>
      </c>
      <c r="Q14" s="474">
        <f t="shared" ca="1" si="1"/>
        <v>598494.60847854416</v>
      </c>
    </row>
    <row r="16" spans="1:17">
      <c r="A16" s="476" t="s">
        <v>569</v>
      </c>
      <c r="B16" s="829">
        <f ca="1">huishoudens!B10</f>
        <v>0.21474816319434217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3157.2301699196978</v>
      </c>
      <c r="C21" s="463">
        <f t="shared" ref="C21:C30" ca="1" si="3">C4*$C$16</f>
        <v>0</v>
      </c>
      <c r="D21" s="463">
        <f t="shared" ref="D21:D30" si="4">D4*$D$16</f>
        <v>5137.0384132859945</v>
      </c>
      <c r="E21" s="463">
        <f t="shared" ref="E21:E30" si="5">E4*$E$16</f>
        <v>1318.6907714538065</v>
      </c>
      <c r="F21" s="463">
        <f t="shared" ref="F21:F30" si="6">F4*$F$16</f>
        <v>4808.4872241290486</v>
      </c>
      <c r="G21" s="463">
        <f t="shared" ref="G21:G30" si="7">G4*$G$16</f>
        <v>0</v>
      </c>
      <c r="H21" s="463">
        <f t="shared" ref="H21:H30" si="8">H4*$H$16</f>
        <v>0</v>
      </c>
      <c r="I21" s="463">
        <f t="shared" ref="I21:I30" si="9">I4*$I$16</f>
        <v>0</v>
      </c>
      <c r="J21" s="463">
        <f t="shared" ref="J21:J30" si="10">J4*$J$16</f>
        <v>3122.312059026041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17543.75863781459</v>
      </c>
    </row>
    <row r="22" spans="1:17">
      <c r="A22" s="462" t="s">
        <v>156</v>
      </c>
      <c r="B22" s="463">
        <f t="shared" ca="1" si="2"/>
        <v>1695.1074480776517</v>
      </c>
      <c r="C22" s="463">
        <f t="shared" ca="1" si="3"/>
        <v>0</v>
      </c>
      <c r="D22" s="463">
        <f t="shared" ca="1" si="4"/>
        <v>1752.8816241878026</v>
      </c>
      <c r="E22" s="463">
        <f t="shared" si="5"/>
        <v>43.336598630154299</v>
      </c>
      <c r="F22" s="463">
        <f t="shared" ca="1" si="6"/>
        <v>481.33132751936563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3972.6569984149742</v>
      </c>
    </row>
    <row r="23" spans="1:17">
      <c r="A23" s="462" t="s">
        <v>194</v>
      </c>
      <c r="B23" s="463">
        <f t="shared" ca="1" si="2"/>
        <v>234.89497687258259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234.89497687258259</v>
      </c>
    </row>
    <row r="24" spans="1:17">
      <c r="A24" s="462" t="s">
        <v>112</v>
      </c>
      <c r="B24" s="463">
        <f t="shared" ca="1" si="2"/>
        <v>1257.6620863598287</v>
      </c>
      <c r="C24" s="463">
        <f t="shared" ca="1" si="3"/>
        <v>0</v>
      </c>
      <c r="D24" s="463">
        <f t="shared" si="4"/>
        <v>306.06095333319797</v>
      </c>
      <c r="E24" s="463">
        <f t="shared" si="5"/>
        <v>16.752333667874563</v>
      </c>
      <c r="F24" s="463">
        <f t="shared" si="6"/>
        <v>5395.0615245565996</v>
      </c>
      <c r="G24" s="463">
        <f t="shared" si="7"/>
        <v>0</v>
      </c>
      <c r="H24" s="463">
        <f t="shared" si="8"/>
        <v>0</v>
      </c>
      <c r="I24" s="463">
        <f t="shared" si="9"/>
        <v>0</v>
      </c>
      <c r="J24" s="463">
        <f t="shared" si="10"/>
        <v>311.78325227788969</v>
      </c>
      <c r="K24" s="463">
        <f t="shared" si="11"/>
        <v>0</v>
      </c>
      <c r="L24" s="463">
        <f t="shared" si="12"/>
        <v>0</v>
      </c>
      <c r="M24" s="463">
        <f t="shared" si="13"/>
        <v>0</v>
      </c>
      <c r="N24" s="463">
        <f t="shared" si="14"/>
        <v>0</v>
      </c>
      <c r="O24" s="463">
        <f t="shared" si="15"/>
        <v>0</v>
      </c>
      <c r="P24" s="464">
        <f t="shared" si="16"/>
        <v>0</v>
      </c>
      <c r="Q24" s="462">
        <f t="shared" ca="1" si="17"/>
        <v>7287.3201501953909</v>
      </c>
    </row>
    <row r="25" spans="1:17">
      <c r="A25" s="462" t="s">
        <v>657</v>
      </c>
      <c r="B25" s="463">
        <f t="shared" ca="1" si="2"/>
        <v>17296.602088044045</v>
      </c>
      <c r="C25" s="463">
        <f t="shared" ca="1" si="3"/>
        <v>0</v>
      </c>
      <c r="D25" s="463">
        <f t="shared" si="4"/>
        <v>42541.954908632862</v>
      </c>
      <c r="E25" s="463">
        <f t="shared" si="5"/>
        <v>1454.7998575392901</v>
      </c>
      <c r="F25" s="463">
        <f t="shared" si="6"/>
        <v>29507.355832239278</v>
      </c>
      <c r="G25" s="463">
        <f t="shared" si="7"/>
        <v>0</v>
      </c>
      <c r="H25" s="463">
        <f t="shared" si="8"/>
        <v>0</v>
      </c>
      <c r="I25" s="463">
        <f t="shared" si="9"/>
        <v>0</v>
      </c>
      <c r="J25" s="463">
        <f t="shared" si="10"/>
        <v>7.1595825341598163</v>
      </c>
      <c r="K25" s="463">
        <f t="shared" si="11"/>
        <v>0</v>
      </c>
      <c r="L25" s="463">
        <f t="shared" si="12"/>
        <v>0</v>
      </c>
      <c r="M25" s="463">
        <f t="shared" si="13"/>
        <v>0</v>
      </c>
      <c r="N25" s="463">
        <f t="shared" si="14"/>
        <v>0</v>
      </c>
      <c r="O25" s="463">
        <f t="shared" si="15"/>
        <v>0</v>
      </c>
      <c r="P25" s="464">
        <f t="shared" si="16"/>
        <v>0</v>
      </c>
      <c r="Q25" s="462">
        <f t="shared" ca="1" si="17"/>
        <v>90807.872268989653</v>
      </c>
    </row>
    <row r="26" spans="1:17" s="468" customFormat="1">
      <c r="A26" s="466" t="s">
        <v>574</v>
      </c>
      <c r="B26" s="823">
        <f t="shared" ca="1" si="2"/>
        <v>0.41340946339966239</v>
      </c>
      <c r="C26" s="467">
        <f t="shared" ca="1" si="3"/>
        <v>0</v>
      </c>
      <c r="D26" s="467">
        <f t="shared" si="4"/>
        <v>0.63118426978145092</v>
      </c>
      <c r="E26" s="467">
        <f t="shared" si="5"/>
        <v>21.76579795088151</v>
      </c>
      <c r="F26" s="467">
        <f t="shared" si="6"/>
        <v>0</v>
      </c>
      <c r="G26" s="467">
        <f t="shared" si="7"/>
        <v>6467.5814888412624</v>
      </c>
      <c r="H26" s="467">
        <f t="shared" si="8"/>
        <v>1168.7149756878505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7659.1068562131759</v>
      </c>
    </row>
    <row r="27" spans="1:17">
      <c r="A27" s="462" t="s">
        <v>564</v>
      </c>
      <c r="B27" s="463">
        <f t="shared" ca="1" si="2"/>
        <v>0</v>
      </c>
      <c r="C27" s="463">
        <f t="shared" ca="1" si="3"/>
        <v>0</v>
      </c>
      <c r="D27" s="463">
        <f t="shared" si="4"/>
        <v>0</v>
      </c>
      <c r="E27" s="463">
        <f t="shared" si="5"/>
        <v>0</v>
      </c>
      <c r="F27" s="463">
        <f t="shared" si="6"/>
        <v>0</v>
      </c>
      <c r="G27" s="463">
        <f t="shared" si="7"/>
        <v>71.483286956406275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71.483286956406275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23641.910178737206</v>
      </c>
      <c r="C31" s="473">
        <f t="shared" ca="1" si="18"/>
        <v>0</v>
      </c>
      <c r="D31" s="473">
        <f t="shared" ca="1" si="18"/>
        <v>49738.56708370964</v>
      </c>
      <c r="E31" s="473">
        <f t="shared" si="18"/>
        <v>2855.3453592420069</v>
      </c>
      <c r="F31" s="473">
        <f t="shared" ca="1" si="18"/>
        <v>40192.235908444294</v>
      </c>
      <c r="G31" s="473">
        <f t="shared" si="18"/>
        <v>6539.0647757976685</v>
      </c>
      <c r="H31" s="473">
        <f t="shared" si="18"/>
        <v>1168.7149756878505</v>
      </c>
      <c r="I31" s="473">
        <f t="shared" si="18"/>
        <v>0</v>
      </c>
      <c r="J31" s="473">
        <f t="shared" si="18"/>
        <v>3441.2548938380901</v>
      </c>
      <c r="K31" s="473">
        <f t="shared" si="18"/>
        <v>0</v>
      </c>
      <c r="L31" s="473">
        <f t="shared" ca="1" si="18"/>
        <v>0</v>
      </c>
      <c r="M31" s="473">
        <f t="shared" si="18"/>
        <v>0</v>
      </c>
      <c r="N31" s="473">
        <f t="shared" ca="1" si="18"/>
        <v>0</v>
      </c>
      <c r="O31" s="473">
        <f t="shared" si="18"/>
        <v>0</v>
      </c>
      <c r="P31" s="474">
        <f t="shared" si="18"/>
        <v>0</v>
      </c>
      <c r="Q31" s="474">
        <f t="shared" ca="1" si="18"/>
        <v>127577.09317545677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0.21474816319434217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0.21474816319434217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0.21474816319434217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2018-06-27T09:30:54Z</dcterms:modified>
</cp:coreProperties>
</file>