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J15" i="16"/>
  <c r="B8" i="9"/>
  <c r="B6" i="48" s="1"/>
  <c r="Q6" s="1"/>
  <c r="C16" i="15"/>
  <c r="D10" i="14" s="1"/>
  <c r="I14" i="15"/>
  <c r="I16" s="1"/>
  <c r="J10" i="14" s="1"/>
  <c r="B13" i="16"/>
  <c r="C35"/>
  <c r="E9" i="14"/>
  <c r="D14" i="15"/>
  <c r="P22" i="16"/>
  <c r="Q39" i="14" s="1"/>
  <c r="P18" i="16"/>
  <c r="L16"/>
  <c r="L18" s="1"/>
  <c r="L8" i="48" s="1"/>
  <c r="N6" i="17"/>
  <c r="N5" s="1"/>
  <c r="K22" i="14"/>
  <c r="J8" i="17"/>
  <c r="J7" i="48" s="1"/>
  <c r="J2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15"/>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N7"/>
  <c r="N24" s="1"/>
  <c r="E13" i="14"/>
  <c r="M22"/>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E5" i="48" l="1"/>
  <c r="E22" s="1"/>
  <c r="F10" i="14"/>
  <c r="D31" i="48"/>
  <c r="J5"/>
  <c r="J22" s="1"/>
  <c r="J20" i="15"/>
  <c r="K36" i="14" s="1"/>
  <c r="N46"/>
  <c r="N53" s="1"/>
  <c r="M16" i="18"/>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F8" i="48" l="1"/>
  <c r="F14" s="1"/>
  <c r="Q5"/>
  <c r="N55" i="14"/>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<sst xmlns="http://schemas.openxmlformats.org/spreadsheetml/2006/main" count="1961" uniqueCount="840">
  <si>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</si>
  <si>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</si>
  <si>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</si>
  <si>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</si>
  <si>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</si>
  <si>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</si>
  <si>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</si>
  <si>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</si>
  <si>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</si>
  <si>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</si>
  <si>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</si>
  <si>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</si>
  <si>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</si>
  <si>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</si>
  <si>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</si>
  <si>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</si>
  <si>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</si>
  <si>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</si>
  <si>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</si>
  <si>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</si>
  <si>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</si>
  <si>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</si>
  <si>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</si>
  <si>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</si>
  <si>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</si>
  <si>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</si>
  <si>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</si>
  <si>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</si>
  <si>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</si>
  <si>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</si>
  <si>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</si>
  <si>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</si>
  <si>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</si>
  <si>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</si>
  <si>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</si>
  <si>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</si>
  <si>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</si>
  <si>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</si>
  <si>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</si>
  <si>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</si>
  <si>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</si>
  <si>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</si>
  <si>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</si>
  <si>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</si>
  <si>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</si>
  <si>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</si>
  <si>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</si>
  <si>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</si>
  <si>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</si>
  <si>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</si>
  <si>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</si>
  <si>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</si>
  <si>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</si>
  <si>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</si>
  <si>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</si>
  <si>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</si>
  <si>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</si>
  <si>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</si>
  <si>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</si>
  <si>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</si>
  <si>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</si>
  <si>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</si>
  <si>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</si>
  <si>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</si>
  <si>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</si>
  <si>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</si>
  <si>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</si>
  <si>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</si>
  <si>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</si>
  <si>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</si>
  <si>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</si>
  <si>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</si>
  <si>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</si>
  <si>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</si>
  <si>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</si>
  <si>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</si>
  <si>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</si>
  <si>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</si>
  <si>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</si>
  <si>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</si>
  <si>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</si>
  <si>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</si>
  <si>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</si>
  <si>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</si>
  <si>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</si>
  <si>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</si>
  <si>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</si>
  <si>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</si>
  <si>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</si>
  <si>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</si>
  <si>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</si>
  <si>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</si>
  <si>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</si>
  <si>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</si>
  <si>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</si>
  <si>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</si>
  <si>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</si>
  <si>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</si>
  <si>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</si>
  <si>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</si>
  <si>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</si>
  <si>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</si>
  <si>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</si>
  <si>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</si>
  <si>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</si>
  <si>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</si>
  <si>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</si>
  <si>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</si>
  <si>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</si>
  <si>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</si>
  <si>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</si>
  <si>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</si>
  <si>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</si>
  <si>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</si>
  <si>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</si>
  <si>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</si>
  <si>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</si>
  <si>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</si>
  <si>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</si>
  <si>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</si>
  <si>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</si>
  <si>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</si>
  <si>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</si>
  <si>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</si>
  <si>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</si>
  <si>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</si>
  <si>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</si>
  <si>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</si>
  <si>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</si>
  <si>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</si>
  <si>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</si>
  <si>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</si>
  <si>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</si>
  <si>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</si>
  <si>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</si>
  <si>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</si>
  <si>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</si>
  <si>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</si>
  <si>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</si>
  <si>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</si>
  <si>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</si>
  <si>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</si>
  <si>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</si>
  <si>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</si>
  <si>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</si>
  <si>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</si>
  <si>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</si>
  <si>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</si>
  <si>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</si>
  <si>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</si>
  <si>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</si>
  <si>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</si>
  <si>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</si>
  <si>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</si>
  <si>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</si>
  <si>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</si>
  <si>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</si>
  <si>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</si>
  <si>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</si>
  <si>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</si>
  <si>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</si>
  <si>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</si>
  <si>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</si>
  <si>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</si>
  <si>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</si>
  <si>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</si>
  <si>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</si>
  <si>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</si>
  <si>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</si>
  <si>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</si>
  <si>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</si>
  <si>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</si>
  <si>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</si>
  <si>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</si>
  <si>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</si>
  <si>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</si>
  <si>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</si>
  <si>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</si>
  <si>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</si>
  <si>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</si>
  <si>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</si>
  <si>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</si>
  <si>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</si>
  <si>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</si>
  <si>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</si>
  <si>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</si>
  <si>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</si>
  <si>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</si>
  <si>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</si>
  <si>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</si>
  <si>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</si>
  <si>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</si>
  <si>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</si>
  <si>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</si>
  <si>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</si>
  <si>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</si>
  <si>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</si>
  <si>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</si>
  <si>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</si>
  <si>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</si>
  <si>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</si>
  <si>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</si>
  <si>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</si>
  <si>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</si>
  <si>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</si>
  <si>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</si>
  <si>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</si>
  <si>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</si>
  <si>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</si>
  <si>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</si>
  <si>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</si>
  <si>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</si>
  <si>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</si>
  <si>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</si>
  <si>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</si>
  <si>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</si>
  <si>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</si>
  <si>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</si>
  <si>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</si>
  <si>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</si>
  <si>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</si>
  <si>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</si>
  <si>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</si>
  <si>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</si>
  <si>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</si>
  <si>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</si>
  <si>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</si>
  <si>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</si>
  <si>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</si>
  <si>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</si>
  <si>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</si>
  <si>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</si>
  <si>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</si>
  <si>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</si>
  <si>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</si>
  <si>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</si>
  <si>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</si>
  <si>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</si>
  <si>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</si>
  <si>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</si>
  <si>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</si>
  <si>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</si>
  <si>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</si>
  <si>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</si>
  <si>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</si>
  <si>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</si>
  <si>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</si>
  <si>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</si>
  <si>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</si>
  <si>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</si>
  <si>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</si>
  <si>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</si>
  <si>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</si>
  <si>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</si>
  <si>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</si>
  <si>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</si>
  <si>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</si>
  <si>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</si>
  <si>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</si>
  <si>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</si>
  <si>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</si>
  <si>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</si>
  <si>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</si>
  <si>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</si>
  <si>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</si>
  <si>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</si>
  <si>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</si>
  <si>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</si>
  <si>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</si>
  <si>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</si>
  <si>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</si>
  <si>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</si>
  <si>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</si>
  <si>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</si>
  <si>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</si>
  <si>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</si>
  <si>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</si>
  <si>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</si>
  <si>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</si>
  <si>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</si>
  <si>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</si>
  <si>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</si>
  <si>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</si>
  <si>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</si>
  <si>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</si>
  <si>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</si>
  <si>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</si>
  <si>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</si>
  <si>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</si>
  <si>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</si>
  <si>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</si>
  <si>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</si>
  <si>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</si>
  <si>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</si>
  <si>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</si>
  <si>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</si>
  <si>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</si>
  <si>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</si>
  <si>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</si>
  <si>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</si>
  <si>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</si>
  <si>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</si>
  <si>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</si>
  <si>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</si>
  <si>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</si>
  <si>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</si>
  <si>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</si>
  <si>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</si>
  <si>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</si>
  <si>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</si>
  <si>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</si>
  <si>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</si>
  <si>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</si>
  <si>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</si>
  <si>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</si>
  <si>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</si>
  <si>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</si>
  <si>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</si>
  <si>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</si>
  <si>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</si>
  <si>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</si>
  <si>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</si>
  <si>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</si>
  <si>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</si>
  <si>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</si>
  <si>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</si>
  <si>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</si>
  <si>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</si>
  <si>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</si>
  <si>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</si>
  <si>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</si>
  <si>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</si>
  <si>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</si>
  <si>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</si>
  <si>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</si>
  <si>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</si>
  <si>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</si>
  <si>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</si>
  <si>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</si>
  <si>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</si>
  <si>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</si>
  <si>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</si>
  <si>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</si>
  <si>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</si>
  <si>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</si>
  <si>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</si>
  <si>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</si>
  <si>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</si>
  <si>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</si>
  <si>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</si>
  <si>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</si>
  <si>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</si>
  <si>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</si>
  <si>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</si>
  <si>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</si>
  <si>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</si>
  <si>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</si>
  <si>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</si>
  <si>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</si>
  <si>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</si>
  <si>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</si>
  <si>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</si>
  <si>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</si>
  <si>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</si>
  <si>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</si>
  <si>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</si>
  <si>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</si>
  <si>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</si>
  <si>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</si>
  <si>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</si>
  <si>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</si>
  <si>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</si>
  <si>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</si>
  <si>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</si>
  <si>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</si>
  <si>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</si>
  <si>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</si>
  <si>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</si>
  <si>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</si>
  <si>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</si>
  <si>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</si>
  <si>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</si>
  <si>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</si>
  <si>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</si>
  <si>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</si>
  <si>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</si>
  <si>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</si>
  <si>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</si>
  <si>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</si>
  <si>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</si>
  <si>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</si>
  <si>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</si>
  <si>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</si>
  <si>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</si>
  <si>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</si>
  <si>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</si>
  <si>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</si>
  <si>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</si>
  <si>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</si>
  <si>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</si>
  <si>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</si>
  <si>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</si>
  <si>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</si>
  <si>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</si>
  <si>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</si>
  <si>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</si>
  <si>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</si>
  <si>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</si>
  <si>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</si>
  <si>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</si>
  <si>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</si>
  <si>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</si>
  <si>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</si>
  <si>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</si>
  <si>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</si>
  <si>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</si>
  <si>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</si>
  <si>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</si>
  <si>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</si>
  <si>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</si>
  <si>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</si>
  <si>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</si>
  <si>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</si>
  <si>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</si>
  <si>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</si>
  <si>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</si>
  <si>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</si>
  <si>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</si>
  <si>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</si>
  <si>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</si>
  <si>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</si>
  <si>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</si>
  <si>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</si>
  <si>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</si>
  <si>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</si>
  <si>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</si>
  <si>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</si>
  <si>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</si>
  <si>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</si>
  <si>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</si>
  <si>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</si>
  <si>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</si>
  <si>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</si>
  <si>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</si>
  <si>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</si>
  <si>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</si>
  <si>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</si>
  <si>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</si>
  <si>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</si>
  <si>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</si>
  <si>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</si>
  <si>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</si>
  <si>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</si>
  <si>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</si>
  <si>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</si>
  <si>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</si>
  <si>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</si>
  <si>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</si>
  <si>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</si>
  <si>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</si>
  <si>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</si>
  <si>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</si>
  <si>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</si>
  <si>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</si>
  <si>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</si>
  <si>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</si>
  <si>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</si>
  <si>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</si>
  <si>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</si>
  <si>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</si>
  <si>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</si>
  <si>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</si>
  <si>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</si>
  <si>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</si>
  <si>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</si>
  <si>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</si>
  <si>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</si>
  <si>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</si>
  <si>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</si>
  <si>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</si>
  <si>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</si>
  <si>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</si>
  <si>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</si>
  <si>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</si>
  <si>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</si>
  <si>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</si>
  <si>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</si>
  <si>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</si>
  <si>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</si>
  <si>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</si>
  <si>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</si>
  <si>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</si>
  <si>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</si>
  <si>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</si>
  <si>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</si>
  <si>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</si>
  <si>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</si>
  <si>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</si>
  <si>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</si>
  <si>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</si>
  <si>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</si>
  <si>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</si>
  <si>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</si>
  <si>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</si>
  <si>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</si>
  <si>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</si>
  <si>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</si>
  <si>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</si>
  <si>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</si>
  <si>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</si>
  <si>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</si>
  <si>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</si>
  <si>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</si>
  <si>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</si>
  <si>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</si>
  <si>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</si>
  <si>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</si>
  <si>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</si>
  <si>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</si>
  <si>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</si>
  <si>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</si>
  <si>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</si>
  <si>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</si>
  <si>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</si>
  <si>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</si>
  <si>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</si>
  <si>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</si>
  <si>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</si>
  <si>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</si>
  <si>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</si>
  <si>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</si>
  <si>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</si>
  <si>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</si>
  <si>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</si>
  <si>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</si>
  <si>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</si>
  <si>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</si>
  <si>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</si>
  <si>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</si>
  <si>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</si>
  <si>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</si>
  <si>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</si>
  <si>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</si>
  <si>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</si>
  <si>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</si>
  <si>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</si>
  <si>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</si>
  <si>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</si>
  <si>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</si>
  <si>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</si>
  <si>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</si>
  <si>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</si>
  <si>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</si>
  <si>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</si>
  <si>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</si>
  <si>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</si>
  <si>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</si>
  <si>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</si>
  <si>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</si>
  <si>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</si>
  <si>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</si>
  <si>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</si>
  <si>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</si>
  <si>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</si>
  <si>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</si>
  <si>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</si>
  <si>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</si>
  <si>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</si>
  <si>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</si>
  <si>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</si>
  <si>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</si>
  <si>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</si>
  <si>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</si>
  <si>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</si>
  <si>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</si>
  <si>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</si>
  <si>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</si>
  <si>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</si>
  <si>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</si>
  <si>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</si>
  <si>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</si>
  <si>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</si>
  <si>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</si>
  <si>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</si>
  <si>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</si>
  <si>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</si>
  <si>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</si>
  <si>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</si>
  <si>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</si>
  <si>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</si>
  <si>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</si>
  <si>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</si>
  <si>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</si>
  <si>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</si>
  <si>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</si>
  <si>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</si>
  <si>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</si>
  <si>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</si>
  <si>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</si>
  <si>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</si>
  <si>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</si>
  <si>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</si>
  <si>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</si>
  <si>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</si>
  <si>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</si>
  <si>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</si>
  <si>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</si>
  <si>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</si>
  <si>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</si>
  <si>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</si>
  <si>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</si>
  <si>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</si>
  <si>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</si>
  <si>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</si>
  <si>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</si>
  <si>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</si>
  <si>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</si>
  <si>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</si>
  <si>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</si>
  <si>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</si>
  <si>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</si>
  <si>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</si>
  <si>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</si>
  <si>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</si>
  <si>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</si>
  <si>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</si>
  <si>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</si>
  <si>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</si>
  <si>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</si>
  <si>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</si>
  <si>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</si>
  <si>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</si>
  <si>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</si>
  <si>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</si>
  <si>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</si>
  <si>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</si>
  <si>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</si>
  <si>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</si>
  <si>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</si>
  <si>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</si>
  <si>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</si>
  <si>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</si>
  <si>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</si>
  <si>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</si>
  <si>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</si>
  <si>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</si>
  <si>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</si>
  <si>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</si>
  <si>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</si>
  <si>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</si>
  <si>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</si>
  <si>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</si>
  <si>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</si>
  <si>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</si>
  <si>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</si>
  <si>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</si>
  <si>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</si>
  <si>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</si>
  <si>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</si>
  <si>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</si>
  <si>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</si>
  <si>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</si>
  <si>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</si>
  <si>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</si>
  <si>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</si>
  <si>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</si>
  <si>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</si>
  <si>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</si>
  <si>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</si>
  <si>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</si>
  <si>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</si>
  <si>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</si>
  <si>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</si>
  <si>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</si>
  <si>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</si>
  <si>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</si>
  <si>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</si>
  <si>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</si>
  <si>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</si>
  <si>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</si>
  <si>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</si>
  <si>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</si>
  <si>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</si>
  <si>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</si>
  <si>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</si>
  <si>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</si>
  <si>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</si>
  <si>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</si>
  <si>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</si>
  <si>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</si>
  <si>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</si>
  <si>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</si>
  <si>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</si>
  <si>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</si>
  <si>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</si>
  <si>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</si>
  <si>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</si>
  <si>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</si>
  <si>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</si>
  <si>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</si>
  <si>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</si>
  <si>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</si>
  <si>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</si>
  <si>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</si>
  <si>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</si>
  <si>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</si>
  <si>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</si>
  <si>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</si>
  <si>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</si>
  <si>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</si>
  <si>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</si>
  <si>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</si>
  <si>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</si>
  <si>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</si>
  <si>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</si>
  <si>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</si>
  <si>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</si>
  <si>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</si>
  <si>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</si>
  <si>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</si>
  <si>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</si>
  <si>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</si>
  <si>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</si>
  <si>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</si>
  <si>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</si>
  <si>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</si>
  <si>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</si>
  <si>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</si>
  <si>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</si>
  <si>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</si>
  <si>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</si>
  <si>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</si>
  <si>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</si>
  <si>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</si>
  <si>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</si>
  <si>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</si>
  <si>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</si>
  <si>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</si>
  <si>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</si>
  <si>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</si>
  <si>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</si>
  <si>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</si>
  <si>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</si>
  <si>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</si>
  <si>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</si>
  <si>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</si>
  <si>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</si>
  <si>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</si>
  <si>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</si>
  <si>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</si>
  <si>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</si>
  <si>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</si>
  <si>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</si>
  <si>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</si>
  <si>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</si>
  <si>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</si>
  <si>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</si>
  <si>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</si>
  <si>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</si>
  <si>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</si>
  <si>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</si>
  <si>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</si>
  <si>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</si>
  <si>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</si>
  <si>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</si>
  <si>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</si>
  <si>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</si>
  <si>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</si>
  <si>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</si>
  <si>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</si>
  <si>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</si>
  <si>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</si>
  <si>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</si>
  <si>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</si>
  <si>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</si>
  <si>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</si>
  <si>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</si>
  <si>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</si>
  <si>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</si>
  <si>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</si>
  <si>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</si>
  <si>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</si>
  <si>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</si>
  <si>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</si>
  <si>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</si>
  <si>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</si>
  <si>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</si>
  <si>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</si>
  <si>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</si>
  <si>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</si>
  <si>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</si>
  <si>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</si>
  <si>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</si>
  <si>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</si>
  <si>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</si>
  <si>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</si>
  <si>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</si>
  <si>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</si>
  <si>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</si>
  <si>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</si>
  <si>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</si>
  <si>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</si>
  <si>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</si>
  <si>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</si>
  <si>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</si>
  <si>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</si>
  <si>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</si>
  <si>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</si>
  <si>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</si>
  <si>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</si>
  <si>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</si>
  <si>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</si>
  <si>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</si>
  <si>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</si>
  <si>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</si>
  <si>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</si>
  <si>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</si>
  <si>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</si>
  <si>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</si>
  <si>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</si>
  <si>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</si>
  <si>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</si>
  <si>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</si>
  <si>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</si>
  <si>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</si>
  <si>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</si>
  <si>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</si>
  <si>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</si>
  <si>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</si>
  <si>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</si>
  <si>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</si>
  <si>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</si>
  <si>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</si>
  <si>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33029</t>
  </si>
  <si>
    <t>WERVIK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</si>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</sst>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153131.93591278815</c:v>
                </c:pt>
                <c:pt idx="1">
                  <c:v>37384.931601096512</c:v>
                </c:pt>
                <c:pt idx="2">
                  <c:v>1286.2750000000001</c:v>
                </c:pt>
                <c:pt idx="3">
                  <c:v>21587.688404003075</c:v>
                </c:pt>
                <c:pt idx="4">
                  <c:v>34621.175844609439</c:v>
                </c:pt>
                <c:pt idx="5">
                  <c:v>115480.17431792882</c:v>
                </c:pt>
                <c:pt idx="6">
                  <c:v>298.68385643731244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153131.93591278815</c:v>
                </c:pt>
                <c:pt idx="1">
                  <c:v>37384.931601096512</c:v>
                </c:pt>
                <c:pt idx="2">
                  <c:v>1286.2750000000001</c:v>
                </c:pt>
                <c:pt idx="3">
                  <c:v>21587.688404003075</c:v>
                </c:pt>
                <c:pt idx="4">
                  <c:v>34621.175844609439</c:v>
                </c:pt>
                <c:pt idx="5">
                  <c:v>115480.17431792882</c:v>
                </c:pt>
                <c:pt idx="6">
                  <c:v>298.68385643731244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28789.722842076273</c:v>
                </c:pt>
                <c:pt idx="1">
                  <c:v>7295.988308773779</c:v>
                </c:pt>
                <c:pt idx="2">
                  <c:v>255.03954000715891</c:v>
                </c:pt>
                <c:pt idx="3">
                  <c:v>5098.765375165226</c:v>
                </c:pt>
                <c:pt idx="4">
                  <c:v>6954.7690061690791</c:v>
                </c:pt>
                <c:pt idx="5">
                  <c:v>29233.458225461312</c:v>
                </c:pt>
                <c:pt idx="6">
                  <c:v>76.352985644148987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28789.722842076273</c:v>
                </c:pt>
                <c:pt idx="1">
                  <c:v>7295.988308773779</c:v>
                </c:pt>
                <c:pt idx="2">
                  <c:v>255.03954000715891</c:v>
                </c:pt>
                <c:pt idx="3">
                  <c:v>5098.765375165226</c:v>
                </c:pt>
                <c:pt idx="4">
                  <c:v>6954.7690061690791</c:v>
                </c:pt>
                <c:pt idx="5">
                  <c:v>29233.458225461312</c:v>
                </c:pt>
                <c:pt idx="6">
                  <c:v>76.352985644148987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33029</v>
      </c>
      <c r="B6" s="398"/>
      <c r="C6" s="399"/>
    </row>
    <row r="7" spans="1:7" s="396" customFormat="1" ht="15.75" customHeight="1">
      <c r="A7" s="400" t="str">
        <f>txtMunicipality</f>
        <v>WERVIK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16167.764066403513</v>
      </c>
      <c r="D10" s="704">
        <f ca="1">tertiair!C16</f>
        <v>0</v>
      </c>
      <c r="E10" s="704">
        <f ca="1">tertiair!D16</f>
        <v>17206.688083391215</v>
      </c>
      <c r="F10" s="704">
        <f>tertiair!E16</f>
        <v>188.75437305852614</v>
      </c>
      <c r="G10" s="704">
        <f ca="1">tertiair!F16</f>
        <v>3096.3442118570374</v>
      </c>
      <c r="H10" s="704">
        <f>tertiair!G16</f>
        <v>0</v>
      </c>
      <c r="I10" s="704">
        <f>tertiair!H16</f>
        <v>0</v>
      </c>
      <c r="J10" s="704">
        <f>tertiair!I16</f>
        <v>0</v>
      </c>
      <c r="K10" s="704">
        <f>tertiair!J16</f>
        <v>0</v>
      </c>
      <c r="L10" s="704">
        <f>tertiair!K16</f>
        <v>0</v>
      </c>
      <c r="M10" s="704">
        <f ca="1">tertiair!L16</f>
        <v>0</v>
      </c>
      <c r="N10" s="704">
        <f>tertiair!M16</f>
        <v>0</v>
      </c>
      <c r="O10" s="704">
        <f ca="1">tertiair!N16</f>
        <v>1989.4625330528916</v>
      </c>
      <c r="P10" s="704">
        <f>tertiair!O16</f>
        <v>3.1266666666666669</v>
      </c>
      <c r="Q10" s="705">
        <f>tertiair!P16</f>
        <v>19.066666666666666</v>
      </c>
      <c r="R10" s="707">
        <f ca="1">SUM(C10:Q10)</f>
        <v>38671.206601096514</v>
      </c>
      <c r="S10" s="67"/>
    </row>
    <row r="11" spans="1:19" s="459" customFormat="1">
      <c r="A11" s="858" t="s">
        <v>225</v>
      </c>
      <c r="B11" s="863"/>
      <c r="C11" s="704">
        <f>huishoudens!B8</f>
        <v>30033.770490006646</v>
      </c>
      <c r="D11" s="704">
        <f>huishoudens!C8</f>
        <v>0</v>
      </c>
      <c r="E11" s="704">
        <f>huishoudens!D8</f>
        <v>90041.654040148525</v>
      </c>
      <c r="F11" s="704">
        <f>huishoudens!E8</f>
        <v>5857.0390017833888</v>
      </c>
      <c r="G11" s="704">
        <f>huishoudens!F8</f>
        <v>0</v>
      </c>
      <c r="H11" s="704">
        <f>huishoudens!G8</f>
        <v>0</v>
      </c>
      <c r="I11" s="704">
        <f>huishoudens!H8</f>
        <v>0</v>
      </c>
      <c r="J11" s="704">
        <f>huishoudens!I8</f>
        <v>0</v>
      </c>
      <c r="K11" s="704">
        <f>huishoudens!J8</f>
        <v>9369.3120686317834</v>
      </c>
      <c r="L11" s="704">
        <f>huishoudens!K8</f>
        <v>0</v>
      </c>
      <c r="M11" s="704">
        <f>huishoudens!L8</f>
        <v>0</v>
      </c>
      <c r="N11" s="704">
        <f>huishoudens!M8</f>
        <v>0</v>
      </c>
      <c r="O11" s="704">
        <f>huishoudens!N8</f>
        <v>17419.706978884464</v>
      </c>
      <c r="P11" s="704">
        <f>huishoudens!O8</f>
        <v>162.58666666666667</v>
      </c>
      <c r="Q11" s="705">
        <f>huishoudens!P8</f>
        <v>247.86666666666667</v>
      </c>
      <c r="R11" s="707">
        <f>SUM(C11:Q11)</f>
        <v>153131.93591278815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10898.64976607158</v>
      </c>
      <c r="D13" s="704">
        <f>industrie!C18</f>
        <v>0</v>
      </c>
      <c r="E13" s="704">
        <f>industrie!D18</f>
        <v>11697.644535584774</v>
      </c>
      <c r="F13" s="704">
        <f>industrie!E18</f>
        <v>1233.5922197664322</v>
      </c>
      <c r="G13" s="704">
        <f>industrie!F18</f>
        <v>8040.4615302107923</v>
      </c>
      <c r="H13" s="704">
        <f>industrie!G18</f>
        <v>0</v>
      </c>
      <c r="I13" s="704">
        <f>industrie!H18</f>
        <v>0</v>
      </c>
      <c r="J13" s="704">
        <f>industrie!I18</f>
        <v>0</v>
      </c>
      <c r="K13" s="704">
        <f>industrie!J18</f>
        <v>11.462877516304513</v>
      </c>
      <c r="L13" s="704">
        <f>industrie!K18</f>
        <v>0</v>
      </c>
      <c r="M13" s="704">
        <f>industrie!L18</f>
        <v>0</v>
      </c>
      <c r="N13" s="704">
        <f>industrie!M18</f>
        <v>0</v>
      </c>
      <c r="O13" s="704">
        <f>industrie!N18</f>
        <v>2739.3649154595614</v>
      </c>
      <c r="P13" s="704">
        <f>industrie!O18</f>
        <v>0</v>
      </c>
      <c r="Q13" s="705">
        <f>industrie!P18</f>
        <v>0</v>
      </c>
      <c r="R13" s="707">
        <f>SUM(C13:Q13)</f>
        <v>34621.175844609439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57100.184322481742</v>
      </c>
      <c r="D15" s="709">
        <f t="shared" ref="D15:Q15" ca="1" si="0">SUM(D9:D14)</f>
        <v>0</v>
      </c>
      <c r="E15" s="709">
        <f t="shared" ca="1" si="0"/>
        <v>118945.98665912451</v>
      </c>
      <c r="F15" s="709">
        <f t="shared" si="0"/>
        <v>7279.3855946083468</v>
      </c>
      <c r="G15" s="709">
        <f t="shared" ca="1" si="0"/>
        <v>11136.805742067831</v>
      </c>
      <c r="H15" s="709">
        <f t="shared" si="0"/>
        <v>0</v>
      </c>
      <c r="I15" s="709">
        <f t="shared" si="0"/>
        <v>0</v>
      </c>
      <c r="J15" s="709">
        <f t="shared" si="0"/>
        <v>0</v>
      </c>
      <c r="K15" s="709">
        <f t="shared" si="0"/>
        <v>9380.7749461480871</v>
      </c>
      <c r="L15" s="709">
        <f t="shared" si="0"/>
        <v>0</v>
      </c>
      <c r="M15" s="709">
        <f t="shared" ca="1" si="0"/>
        <v>0</v>
      </c>
      <c r="N15" s="709">
        <f t="shared" si="0"/>
        <v>0</v>
      </c>
      <c r="O15" s="709">
        <f t="shared" ca="1" si="0"/>
        <v>22148.534427396917</v>
      </c>
      <c r="P15" s="709">
        <f t="shared" si="0"/>
        <v>165.71333333333334</v>
      </c>
      <c r="Q15" s="710">
        <f t="shared" si="0"/>
        <v>266.93333333333334</v>
      </c>
      <c r="R15" s="711">
        <f ca="1">SUM(R9:R14)</f>
        <v>226424.31835849411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285.9662383675992</v>
      </c>
      <c r="I18" s="704">
        <f>transport!H54</f>
        <v>0</v>
      </c>
      <c r="J18" s="704">
        <f>transport!I54</f>
        <v>0</v>
      </c>
      <c r="K18" s="704">
        <f>transport!J54</f>
        <v>0</v>
      </c>
      <c r="L18" s="704">
        <f>transport!K54</f>
        <v>0</v>
      </c>
      <c r="M18" s="704">
        <f>transport!L54</f>
        <v>0</v>
      </c>
      <c r="N18" s="704">
        <f>transport!M54</f>
        <v>12.717618069713224</v>
      </c>
      <c r="O18" s="704">
        <f>transport!N54</f>
        <v>0</v>
      </c>
      <c r="P18" s="704">
        <f>transport!O54</f>
        <v>0</v>
      </c>
      <c r="Q18" s="705">
        <f>transport!P54</f>
        <v>0</v>
      </c>
      <c r="R18" s="707">
        <f>SUM(C18:Q18)</f>
        <v>298.68385643731244</v>
      </c>
      <c r="S18" s="67"/>
    </row>
    <row r="19" spans="1:19" s="459" customFormat="1" ht="15" thickBot="1">
      <c r="A19" s="858" t="s">
        <v>307</v>
      </c>
      <c r="B19" s="863"/>
      <c r="C19" s="713">
        <f>transport!B14</f>
        <v>6.3775882740198755</v>
      </c>
      <c r="D19" s="713">
        <f>transport!C14</f>
        <v>0</v>
      </c>
      <c r="E19" s="713">
        <f>transport!D14</f>
        <v>9.601232834346467</v>
      </c>
      <c r="F19" s="713">
        <f>transport!E14</f>
        <v>336.85889179392655</v>
      </c>
      <c r="G19" s="713">
        <f>transport!F14</f>
        <v>0</v>
      </c>
      <c r="H19" s="713">
        <f>transport!G14</f>
        <v>95351.065619247049</v>
      </c>
      <c r="I19" s="713">
        <f>transport!H14</f>
        <v>14839.569295808566</v>
      </c>
      <c r="J19" s="713">
        <f>transport!I14</f>
        <v>0</v>
      </c>
      <c r="K19" s="713">
        <f>transport!J14</f>
        <v>0</v>
      </c>
      <c r="L19" s="713">
        <f>transport!K14</f>
        <v>0</v>
      </c>
      <c r="M19" s="713">
        <f>transport!L14</f>
        <v>0</v>
      </c>
      <c r="N19" s="713">
        <f>transport!M14</f>
        <v>4936.701689970896</v>
      </c>
      <c r="O19" s="713">
        <f>transport!N14</f>
        <v>0</v>
      </c>
      <c r="P19" s="713">
        <f>transport!O14</f>
        <v>0</v>
      </c>
      <c r="Q19" s="714">
        <f>transport!P14</f>
        <v>0</v>
      </c>
      <c r="R19" s="715">
        <f>SUM(C19:Q19)</f>
        <v>115480.17431792882</v>
      </c>
      <c r="S19" s="67"/>
    </row>
    <row r="20" spans="1:19" s="459" customFormat="1" ht="15.75" thickBot="1">
      <c r="A20" s="716" t="s">
        <v>230</v>
      </c>
      <c r="B20" s="866"/>
      <c r="C20" s="861">
        <f>SUM(C17:C19)</f>
        <v>6.3775882740198755</v>
      </c>
      <c r="D20" s="717">
        <f t="shared" ref="D20:R20" si="1">SUM(D17:D19)</f>
        <v>0</v>
      </c>
      <c r="E20" s="717">
        <f t="shared" si="1"/>
        <v>9.601232834346467</v>
      </c>
      <c r="F20" s="717">
        <f t="shared" si="1"/>
        <v>336.85889179392655</v>
      </c>
      <c r="G20" s="717">
        <f t="shared" si="1"/>
        <v>0</v>
      </c>
      <c r="H20" s="717">
        <f t="shared" si="1"/>
        <v>95637.031857614653</v>
      </c>
      <c r="I20" s="717">
        <f t="shared" si="1"/>
        <v>14839.569295808566</v>
      </c>
      <c r="J20" s="717">
        <f t="shared" si="1"/>
        <v>0</v>
      </c>
      <c r="K20" s="717">
        <f t="shared" si="1"/>
        <v>0</v>
      </c>
      <c r="L20" s="717">
        <f t="shared" si="1"/>
        <v>0</v>
      </c>
      <c r="M20" s="717">
        <f t="shared" si="1"/>
        <v>0</v>
      </c>
      <c r="N20" s="717">
        <f t="shared" si="1"/>
        <v>4949.4193080406094</v>
      </c>
      <c r="O20" s="717">
        <f t="shared" si="1"/>
        <v>0</v>
      </c>
      <c r="P20" s="717">
        <f t="shared" si="1"/>
        <v>0</v>
      </c>
      <c r="Q20" s="718">
        <f t="shared" si="1"/>
        <v>0</v>
      </c>
      <c r="R20" s="719">
        <f t="shared" si="1"/>
        <v>115778.85817436613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3028.3044635346237</v>
      </c>
      <c r="D22" s="713">
        <f>+landbouw!C8</f>
        <v>0</v>
      </c>
      <c r="E22" s="713">
        <f>+landbouw!D8</f>
        <v>7617.3918014202354</v>
      </c>
      <c r="F22" s="713">
        <f>+landbouw!E8</f>
        <v>38.160537489889549</v>
      </c>
      <c r="G22" s="713">
        <f>+landbouw!F8</f>
        <v>10448.409034792903</v>
      </c>
      <c r="H22" s="713">
        <f>+landbouw!G8</f>
        <v>0</v>
      </c>
      <c r="I22" s="713">
        <f>+landbouw!H8</f>
        <v>0</v>
      </c>
      <c r="J22" s="713">
        <f>+landbouw!I8</f>
        <v>0</v>
      </c>
      <c r="K22" s="713">
        <f>+landbouw!J8</f>
        <v>455.42256676542138</v>
      </c>
      <c r="L22" s="713">
        <f>+landbouw!K8</f>
        <v>0</v>
      </c>
      <c r="M22" s="713">
        <f>+landbouw!L8</f>
        <v>0</v>
      </c>
      <c r="N22" s="713">
        <f>+landbouw!M8</f>
        <v>0</v>
      </c>
      <c r="O22" s="713">
        <f>+landbouw!N8</f>
        <v>0</v>
      </c>
      <c r="P22" s="713">
        <f>+landbouw!O8</f>
        <v>0</v>
      </c>
      <c r="Q22" s="714">
        <f>+landbouw!P8</f>
        <v>0</v>
      </c>
      <c r="R22" s="715">
        <f>SUM(C22:Q22)</f>
        <v>21587.688404003075</v>
      </c>
      <c r="S22" s="67"/>
    </row>
    <row r="23" spans="1:19" s="459" customFormat="1" ht="17.25" thickTop="1" thickBot="1">
      <c r="A23" s="720" t="s">
        <v>116</v>
      </c>
      <c r="B23" s="852"/>
      <c r="C23" s="721">
        <f ca="1">C20+C15+C22</f>
        <v>60134.866374290388</v>
      </c>
      <c r="D23" s="721">
        <f t="shared" ref="D23:Q23" ca="1" si="2">D20+D15+D22</f>
        <v>0</v>
      </c>
      <c r="E23" s="721">
        <f t="shared" ca="1" si="2"/>
        <v>126572.97969337909</v>
      </c>
      <c r="F23" s="721">
        <f t="shared" si="2"/>
        <v>7654.4050238921636</v>
      </c>
      <c r="G23" s="721">
        <f t="shared" ca="1" si="2"/>
        <v>21585.214776860732</v>
      </c>
      <c r="H23" s="721">
        <f t="shared" si="2"/>
        <v>95637.031857614653</v>
      </c>
      <c r="I23" s="721">
        <f t="shared" si="2"/>
        <v>14839.569295808566</v>
      </c>
      <c r="J23" s="721">
        <f t="shared" si="2"/>
        <v>0</v>
      </c>
      <c r="K23" s="721">
        <f t="shared" si="2"/>
        <v>9836.197512913508</v>
      </c>
      <c r="L23" s="721">
        <f t="shared" si="2"/>
        <v>0</v>
      </c>
      <c r="M23" s="721">
        <f t="shared" ca="1" si="2"/>
        <v>0</v>
      </c>
      <c r="N23" s="721">
        <f t="shared" si="2"/>
        <v>4949.4193080406094</v>
      </c>
      <c r="O23" s="721">
        <f t="shared" ca="1" si="2"/>
        <v>22148.534427396917</v>
      </c>
      <c r="P23" s="721">
        <f t="shared" si="2"/>
        <v>165.71333333333334</v>
      </c>
      <c r="Q23" s="722">
        <f t="shared" si="2"/>
        <v>266.93333333333334</v>
      </c>
      <c r="R23" s="723">
        <f ca="1">R20+R15+R22</f>
        <v>363790.86493686336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3205.7057086857976</v>
      </c>
      <c r="D36" s="704">
        <f ca="1">tertiair!C20</f>
        <v>0</v>
      </c>
      <c r="E36" s="704">
        <f ca="1">tertiair!D20</f>
        <v>3475.7509928450254</v>
      </c>
      <c r="F36" s="704">
        <f>tertiair!E20</f>
        <v>42.847242684285433</v>
      </c>
      <c r="G36" s="704">
        <f ca="1">tertiair!F20</f>
        <v>826.723904565829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7551.0278487809373</v>
      </c>
    </row>
    <row r="37" spans="1:18">
      <c r="A37" s="873" t="s">
        <v>225</v>
      </c>
      <c r="B37" s="880"/>
      <c r="C37" s="704">
        <f ca="1">huishoudens!B12</f>
        <v>5955.0244002657892</v>
      </c>
      <c r="D37" s="704">
        <f ca="1">huishoudens!C12</f>
        <v>0</v>
      </c>
      <c r="E37" s="704">
        <f>huishoudens!D12</f>
        <v>18188.414116110001</v>
      </c>
      <c r="F37" s="704">
        <f>huishoudens!E12</f>
        <v>1329.5478534048293</v>
      </c>
      <c r="G37" s="704">
        <f>huishoudens!F12</f>
        <v>0</v>
      </c>
      <c r="H37" s="704">
        <f>huishoudens!G12</f>
        <v>0</v>
      </c>
      <c r="I37" s="704">
        <f>huishoudens!H12</f>
        <v>0</v>
      </c>
      <c r="J37" s="704">
        <f>huishoudens!I12</f>
        <v>0</v>
      </c>
      <c r="K37" s="704">
        <f>huishoudens!J12</f>
        <v>3316.7364722956513</v>
      </c>
      <c r="L37" s="704">
        <f>huishoudens!K12</f>
        <v>0</v>
      </c>
      <c r="M37" s="704">
        <f>huishoudens!L12</f>
        <v>0</v>
      </c>
      <c r="N37" s="704">
        <f>huishoudens!M12</f>
        <v>0</v>
      </c>
      <c r="O37" s="704">
        <f>huishoudens!N12</f>
        <v>0</v>
      </c>
      <c r="P37" s="704">
        <f>huishoudens!O12</f>
        <v>0</v>
      </c>
      <c r="Q37" s="814">
        <f>huishoudens!P12</f>
        <v>0</v>
      </c>
      <c r="R37" s="905">
        <f ca="1">SUM(C37:Q37)</f>
        <v>28789.722842076273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2160.9582888869218</v>
      </c>
      <c r="D39" s="704">
        <f ca="1">industrie!C22</f>
        <v>0</v>
      </c>
      <c r="E39" s="704">
        <f>industrie!D22</f>
        <v>2362.9241961881244</v>
      </c>
      <c r="F39" s="704">
        <f>industrie!E22</f>
        <v>280.02543388698012</v>
      </c>
      <c r="G39" s="704">
        <f>industrie!F22</f>
        <v>2146.8032285662816</v>
      </c>
      <c r="H39" s="704">
        <f>industrie!G22</f>
        <v>0</v>
      </c>
      <c r="I39" s="704">
        <f>industrie!H22</f>
        <v>0</v>
      </c>
      <c r="J39" s="704">
        <f>industrie!I22</f>
        <v>0</v>
      </c>
      <c r="K39" s="704">
        <f>industrie!J22</f>
        <v>4.0578586407717969</v>
      </c>
      <c r="L39" s="704">
        <f>industrie!K22</f>
        <v>0</v>
      </c>
      <c r="M39" s="704">
        <f>industrie!L22</f>
        <v>0</v>
      </c>
      <c r="N39" s="704">
        <f>industrie!M22</f>
        <v>0</v>
      </c>
      <c r="O39" s="704">
        <f>industrie!N22</f>
        <v>0</v>
      </c>
      <c r="P39" s="704">
        <f>industrie!O22</f>
        <v>0</v>
      </c>
      <c r="Q39" s="814">
        <f>industrie!P22</f>
        <v>0</v>
      </c>
      <c r="R39" s="906">
        <f ca="1">SUM(C39:Q39)</f>
        <v>6954.7690061690791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11321.688397838509</v>
      </c>
      <c r="D41" s="749">
        <f t="shared" ref="D41:R41" ca="1" si="4">SUM(D35:D40)</f>
        <v>0</v>
      </c>
      <c r="E41" s="749">
        <f t="shared" ca="1" si="4"/>
        <v>24027.089305143152</v>
      </c>
      <c r="F41" s="749">
        <f t="shared" si="4"/>
        <v>1652.4205299760949</v>
      </c>
      <c r="G41" s="749">
        <f t="shared" ca="1" si="4"/>
        <v>2973.5271331321105</v>
      </c>
      <c r="H41" s="749">
        <f t="shared" si="4"/>
        <v>0</v>
      </c>
      <c r="I41" s="749">
        <f t="shared" si="4"/>
        <v>0</v>
      </c>
      <c r="J41" s="749">
        <f t="shared" si="4"/>
        <v>0</v>
      </c>
      <c r="K41" s="749">
        <f t="shared" si="4"/>
        <v>3320.7943309364232</v>
      </c>
      <c r="L41" s="749">
        <f t="shared" si="4"/>
        <v>0</v>
      </c>
      <c r="M41" s="749">
        <f t="shared" ca="1" si="4"/>
        <v>0</v>
      </c>
      <c r="N41" s="749">
        <f t="shared" si="4"/>
        <v>0</v>
      </c>
      <c r="O41" s="749">
        <f t="shared" ca="1" si="4"/>
        <v>0</v>
      </c>
      <c r="P41" s="749">
        <f t="shared" si="4"/>
        <v>0</v>
      </c>
      <c r="Q41" s="750">
        <f t="shared" si="4"/>
        <v>0</v>
      </c>
      <c r="R41" s="751">
        <f t="shared" ca="1" si="4"/>
        <v>43295.519697026291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76.352985644148987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76.352985644148987</v>
      </c>
    </row>
    <row r="45" spans="1:18" ht="15" thickBot="1">
      <c r="A45" s="876" t="s">
        <v>307</v>
      </c>
      <c r="B45" s="886"/>
      <c r="C45" s="713">
        <f ca="1">transport!B18</f>
        <v>1.2645329962574716</v>
      </c>
      <c r="D45" s="713">
        <f>transport!C18</f>
        <v>0</v>
      </c>
      <c r="E45" s="713">
        <f>transport!D18</f>
        <v>1.9394490325379865</v>
      </c>
      <c r="F45" s="713">
        <f>transport!E18</f>
        <v>76.466968437221325</v>
      </c>
      <c r="G45" s="713">
        <f>transport!F18</f>
        <v>0</v>
      </c>
      <c r="H45" s="713">
        <f>transport!G18</f>
        <v>25458.734520338963</v>
      </c>
      <c r="I45" s="713">
        <f>transport!H18</f>
        <v>3695.052754656333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29233.458225461312</v>
      </c>
    </row>
    <row r="46" spans="1:18" ht="15.75" thickBot="1">
      <c r="A46" s="874" t="s">
        <v>230</v>
      </c>
      <c r="B46" s="887"/>
      <c r="C46" s="749">
        <f t="shared" ref="C46:R46" ca="1" si="5">SUM(C43:C45)</f>
        <v>1.2645329962574716</v>
      </c>
      <c r="D46" s="749">
        <f t="shared" ca="1" si="5"/>
        <v>0</v>
      </c>
      <c r="E46" s="749">
        <f t="shared" si="5"/>
        <v>1.9394490325379865</v>
      </c>
      <c r="F46" s="749">
        <f t="shared" si="5"/>
        <v>76.466968437221325</v>
      </c>
      <c r="G46" s="749">
        <f t="shared" si="5"/>
        <v>0</v>
      </c>
      <c r="H46" s="749">
        <f t="shared" si="5"/>
        <v>25535.087505983112</v>
      </c>
      <c r="I46" s="749">
        <f t="shared" si="5"/>
        <v>3695.052754656333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29309.811211105462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600.44498834346962</v>
      </c>
      <c r="D48" s="704">
        <f ca="1">+landbouw!C12</f>
        <v>0</v>
      </c>
      <c r="E48" s="704">
        <f>+landbouw!D12</f>
        <v>1538.7131438868876</v>
      </c>
      <c r="F48" s="704">
        <f>+landbouw!E12</f>
        <v>8.6624420102049271</v>
      </c>
      <c r="G48" s="704">
        <f>+landbouw!F12</f>
        <v>2789.7252122897053</v>
      </c>
      <c r="H48" s="704">
        <f>+landbouw!G12</f>
        <v>0</v>
      </c>
      <c r="I48" s="704">
        <f>+landbouw!H12</f>
        <v>0</v>
      </c>
      <c r="J48" s="704">
        <f>+landbouw!I12</f>
        <v>0</v>
      </c>
      <c r="K48" s="704">
        <f>+landbouw!J12</f>
        <v>161.21958863495917</v>
      </c>
      <c r="L48" s="704">
        <f>+landbouw!K12</f>
        <v>0</v>
      </c>
      <c r="M48" s="704">
        <f>+landbouw!L12</f>
        <v>0</v>
      </c>
      <c r="N48" s="704">
        <f>+landbouw!M12</f>
        <v>0</v>
      </c>
      <c r="O48" s="704">
        <f>+landbouw!N12</f>
        <v>0</v>
      </c>
      <c r="P48" s="704">
        <f>+landbouw!O12</f>
        <v>0</v>
      </c>
      <c r="Q48" s="705">
        <f>+landbouw!P12</f>
        <v>0</v>
      </c>
      <c r="R48" s="747">
        <f ca="1">SUM(C48:Q48)</f>
        <v>5098.765375165226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11923.397919178236</v>
      </c>
      <c r="D53" s="759">
        <f t="shared" ref="D53:Q53" ca="1" si="6">D41+D46+D48</f>
        <v>0</v>
      </c>
      <c r="E53" s="759">
        <f t="shared" ca="1" si="6"/>
        <v>25567.741898062581</v>
      </c>
      <c r="F53" s="759">
        <f t="shared" si="6"/>
        <v>1737.5499404235211</v>
      </c>
      <c r="G53" s="759">
        <f t="shared" ca="1" si="6"/>
        <v>5763.2523454218153</v>
      </c>
      <c r="H53" s="759">
        <f t="shared" si="6"/>
        <v>25535.087505983112</v>
      </c>
      <c r="I53" s="759">
        <f t="shared" si="6"/>
        <v>3695.052754656333</v>
      </c>
      <c r="J53" s="759">
        <f t="shared" si="6"/>
        <v>0</v>
      </c>
      <c r="K53" s="759">
        <f t="shared" si="6"/>
        <v>3482.0139195713823</v>
      </c>
      <c r="L53" s="759">
        <f t="shared" si="6"/>
        <v>0</v>
      </c>
      <c r="M53" s="759">
        <f t="shared" ca="1" si="6"/>
        <v>0</v>
      </c>
      <c r="N53" s="759">
        <f t="shared" si="6"/>
        <v>0</v>
      </c>
      <c r="O53" s="759">
        <f t="shared" ca="1" si="6"/>
        <v>0</v>
      </c>
      <c r="P53" s="759">
        <f>P41+P46+P48</f>
        <v>0</v>
      </c>
      <c r="Q53" s="760">
        <f t="shared" si="6"/>
        <v>0</v>
      </c>
      <c r="R53" s="761">
        <f ca="1">R41+R46+R48</f>
        <v>77704.096283296982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0.19827761560098647</v>
      </c>
      <c r="D55" s="824">
        <f t="shared" ca="1" si="7"/>
        <v>0</v>
      </c>
      <c r="E55" s="824">
        <f t="shared" ca="1" si="7"/>
        <v>0.20200000000000004</v>
      </c>
      <c r="F55" s="824">
        <f t="shared" si="7"/>
        <v>0.22700000000000001</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6182.8395906784608</v>
      </c>
      <c r="C66" s="781">
        <f>'lokale energieproductie'!B6</f>
        <v>6182.8395906784608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6182.8395906784608</v>
      </c>
      <c r="C69" s="789">
        <f>SUM(C64:C68)</f>
        <v>6182.8395906784608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30033.770490006646</v>
      </c>
      <c r="C4" s="463">
        <f>huishoudens!C8</f>
        <v>0</v>
      </c>
      <c r="D4" s="463">
        <f>huishoudens!D8</f>
        <v>90041.654040148525</v>
      </c>
      <c r="E4" s="463">
        <f>huishoudens!E8</f>
        <v>5857.0390017833888</v>
      </c>
      <c r="F4" s="463">
        <f>huishoudens!F8</f>
        <v>0</v>
      </c>
      <c r="G4" s="463">
        <f>huishoudens!G8</f>
        <v>0</v>
      </c>
      <c r="H4" s="463">
        <f>huishoudens!H8</f>
        <v>0</v>
      </c>
      <c r="I4" s="463">
        <f>huishoudens!I8</f>
        <v>0</v>
      </c>
      <c r="J4" s="463">
        <f>huishoudens!J8</f>
        <v>9369.3120686317834</v>
      </c>
      <c r="K4" s="463">
        <f>huishoudens!K8</f>
        <v>0</v>
      </c>
      <c r="L4" s="463">
        <f>huishoudens!L8</f>
        <v>0</v>
      </c>
      <c r="M4" s="463">
        <f>huishoudens!M8</f>
        <v>0</v>
      </c>
      <c r="N4" s="463">
        <f>huishoudens!N8</f>
        <v>17419.706978884464</v>
      </c>
      <c r="O4" s="463">
        <f>huishoudens!O8</f>
        <v>162.58666666666667</v>
      </c>
      <c r="P4" s="464">
        <f>huishoudens!P8</f>
        <v>247.86666666666667</v>
      </c>
      <c r="Q4" s="465">
        <f>SUM(B4:P4)</f>
        <v>153131.93591278815</v>
      </c>
    </row>
    <row r="5" spans="1:17">
      <c r="A5" s="462" t="s">
        <v>156</v>
      </c>
      <c r="B5" s="463">
        <f ca="1">tertiair!B16</f>
        <v>14881.489066403514</v>
      </c>
      <c r="C5" s="463">
        <f ca="1">tertiair!C16</f>
        <v>0</v>
      </c>
      <c r="D5" s="463">
        <f ca="1">tertiair!D16</f>
        <v>17206.688083391215</v>
      </c>
      <c r="E5" s="463">
        <f>tertiair!E16</f>
        <v>188.75437305852614</v>
      </c>
      <c r="F5" s="463">
        <f ca="1">tertiair!F16</f>
        <v>3096.3442118570374</v>
      </c>
      <c r="G5" s="463">
        <f>tertiair!G16</f>
        <v>0</v>
      </c>
      <c r="H5" s="463">
        <f>tertiair!H16</f>
        <v>0</v>
      </c>
      <c r="I5" s="463">
        <f>tertiair!I16</f>
        <v>0</v>
      </c>
      <c r="J5" s="463">
        <f>tertiair!J16</f>
        <v>0</v>
      </c>
      <c r="K5" s="463">
        <f>tertiair!K16</f>
        <v>0</v>
      </c>
      <c r="L5" s="463">
        <f ca="1">tertiair!L16</f>
        <v>0</v>
      </c>
      <c r="M5" s="463">
        <f>tertiair!M16</f>
        <v>0</v>
      </c>
      <c r="N5" s="463">
        <f ca="1">tertiair!N16</f>
        <v>1989.4625330528916</v>
      </c>
      <c r="O5" s="463">
        <f>tertiair!O16</f>
        <v>3.1266666666666669</v>
      </c>
      <c r="P5" s="464">
        <f>tertiair!P16</f>
        <v>19.066666666666666</v>
      </c>
      <c r="Q5" s="462">
        <f t="shared" ref="Q5:Q13" ca="1" si="0">SUM(B5:P5)</f>
        <v>37384.931601096512</v>
      </c>
    </row>
    <row r="6" spans="1:17">
      <c r="A6" s="462" t="s">
        <v>194</v>
      </c>
      <c r="B6" s="463">
        <f>'openbare verlichting'!B8</f>
        <v>1286.2750000000001</v>
      </c>
      <c r="C6" s="463"/>
      <c r="D6" s="463"/>
      <c r="E6" s="463"/>
      <c r="F6" s="463"/>
      <c r="G6" s="463"/>
      <c r="H6" s="463"/>
      <c r="I6" s="463"/>
      <c r="J6" s="463"/>
      <c r="K6" s="463"/>
      <c r="L6" s="463"/>
      <c r="M6" s="463"/>
      <c r="N6" s="463"/>
      <c r="O6" s="463"/>
      <c r="P6" s="464"/>
      <c r="Q6" s="462">
        <f t="shared" si="0"/>
        <v>1286.2750000000001</v>
      </c>
    </row>
    <row r="7" spans="1:17">
      <c r="A7" s="462" t="s">
        <v>112</v>
      </c>
      <c r="B7" s="463">
        <f>landbouw!B8</f>
        <v>3028.3044635346237</v>
      </c>
      <c r="C7" s="463">
        <f>landbouw!C8</f>
        <v>0</v>
      </c>
      <c r="D7" s="463">
        <f>landbouw!D8</f>
        <v>7617.3918014202354</v>
      </c>
      <c r="E7" s="463">
        <f>landbouw!E8</f>
        <v>38.160537489889549</v>
      </c>
      <c r="F7" s="463">
        <f>landbouw!F8</f>
        <v>10448.409034792903</v>
      </c>
      <c r="G7" s="463">
        <f>landbouw!G8</f>
        <v>0</v>
      </c>
      <c r="H7" s="463">
        <f>landbouw!H8</f>
        <v>0</v>
      </c>
      <c r="I7" s="463">
        <f>landbouw!I8</f>
        <v>0</v>
      </c>
      <c r="J7" s="463">
        <f>landbouw!J8</f>
        <v>455.42256676542138</v>
      </c>
      <c r="K7" s="463">
        <f>landbouw!K8</f>
        <v>0</v>
      </c>
      <c r="L7" s="463">
        <f>landbouw!L8</f>
        <v>0</v>
      </c>
      <c r="M7" s="463">
        <f>landbouw!M8</f>
        <v>0</v>
      </c>
      <c r="N7" s="463">
        <f>landbouw!N8</f>
        <v>0</v>
      </c>
      <c r="O7" s="463">
        <f>landbouw!O8</f>
        <v>0</v>
      </c>
      <c r="P7" s="464">
        <f>landbouw!P8</f>
        <v>0</v>
      </c>
      <c r="Q7" s="462">
        <f t="shared" si="0"/>
        <v>21587.688404003075</v>
      </c>
    </row>
    <row r="8" spans="1:17">
      <c r="A8" s="462" t="s">
        <v>657</v>
      </c>
      <c r="B8" s="463">
        <f>industrie!B18</f>
        <v>10898.64976607158</v>
      </c>
      <c r="C8" s="463">
        <f>industrie!C18</f>
        <v>0</v>
      </c>
      <c r="D8" s="463">
        <f>industrie!D18</f>
        <v>11697.644535584774</v>
      </c>
      <c r="E8" s="463">
        <f>industrie!E18</f>
        <v>1233.5922197664322</v>
      </c>
      <c r="F8" s="463">
        <f>industrie!F18</f>
        <v>8040.4615302107923</v>
      </c>
      <c r="G8" s="463">
        <f>industrie!G18</f>
        <v>0</v>
      </c>
      <c r="H8" s="463">
        <f>industrie!H18</f>
        <v>0</v>
      </c>
      <c r="I8" s="463">
        <f>industrie!I18</f>
        <v>0</v>
      </c>
      <c r="J8" s="463">
        <f>industrie!J18</f>
        <v>11.462877516304513</v>
      </c>
      <c r="K8" s="463">
        <f>industrie!K18</f>
        <v>0</v>
      </c>
      <c r="L8" s="463">
        <f>industrie!L18</f>
        <v>0</v>
      </c>
      <c r="M8" s="463">
        <f>industrie!M18</f>
        <v>0</v>
      </c>
      <c r="N8" s="463">
        <f>industrie!N18</f>
        <v>2739.3649154595614</v>
      </c>
      <c r="O8" s="463">
        <f>industrie!O18</f>
        <v>0</v>
      </c>
      <c r="P8" s="464">
        <f>industrie!P18</f>
        <v>0</v>
      </c>
      <c r="Q8" s="462">
        <f t="shared" si="0"/>
        <v>34621.175844609439</v>
      </c>
    </row>
    <row r="9" spans="1:17" s="468" customFormat="1">
      <c r="A9" s="466" t="s">
        <v>574</v>
      </c>
      <c r="B9" s="467">
        <f>transport!B14</f>
        <v>6.3775882740198755</v>
      </c>
      <c r="C9" s="467">
        <f>transport!C14</f>
        <v>0</v>
      </c>
      <c r="D9" s="467">
        <f>transport!D14</f>
        <v>9.601232834346467</v>
      </c>
      <c r="E9" s="467">
        <f>transport!E14</f>
        <v>336.85889179392655</v>
      </c>
      <c r="F9" s="467">
        <f>transport!F14</f>
        <v>0</v>
      </c>
      <c r="G9" s="467">
        <f>transport!G14</f>
        <v>95351.065619247049</v>
      </c>
      <c r="H9" s="467">
        <f>transport!H14</f>
        <v>14839.569295808566</v>
      </c>
      <c r="I9" s="467">
        <f>transport!I14</f>
        <v>0</v>
      </c>
      <c r="J9" s="467">
        <f>transport!J14</f>
        <v>0</v>
      </c>
      <c r="K9" s="467">
        <f>transport!K14</f>
        <v>0</v>
      </c>
      <c r="L9" s="467">
        <f>transport!L14</f>
        <v>0</v>
      </c>
      <c r="M9" s="467">
        <f>transport!M14</f>
        <v>4936.701689970896</v>
      </c>
      <c r="N9" s="467">
        <f>transport!N14</f>
        <v>0</v>
      </c>
      <c r="O9" s="467">
        <f>transport!O14</f>
        <v>0</v>
      </c>
      <c r="P9" s="467">
        <f>transport!P14</f>
        <v>0</v>
      </c>
      <c r="Q9" s="466">
        <f>SUM(B9:P9)</f>
        <v>115480.17431792882</v>
      </c>
    </row>
    <row r="10" spans="1:17">
      <c r="A10" s="462" t="s">
        <v>564</v>
      </c>
      <c r="B10" s="463">
        <f>transport!B54</f>
        <v>0</v>
      </c>
      <c r="C10" s="463">
        <f>transport!C54</f>
        <v>0</v>
      </c>
      <c r="D10" s="463">
        <f>transport!D54</f>
        <v>0</v>
      </c>
      <c r="E10" s="463">
        <f>transport!E54</f>
        <v>0</v>
      </c>
      <c r="F10" s="463">
        <f>transport!F54</f>
        <v>0</v>
      </c>
      <c r="G10" s="463">
        <f>transport!G54</f>
        <v>285.9662383675992</v>
      </c>
      <c r="H10" s="463">
        <f>transport!H54</f>
        <v>0</v>
      </c>
      <c r="I10" s="463">
        <f>transport!I54</f>
        <v>0</v>
      </c>
      <c r="J10" s="463">
        <f>transport!J54</f>
        <v>0</v>
      </c>
      <c r="K10" s="463">
        <f>transport!K54</f>
        <v>0</v>
      </c>
      <c r="L10" s="463">
        <f>transport!L54</f>
        <v>0</v>
      </c>
      <c r="M10" s="463">
        <f>transport!M54</f>
        <v>12.717618069713224</v>
      </c>
      <c r="N10" s="463">
        <f>transport!N54</f>
        <v>0</v>
      </c>
      <c r="O10" s="463">
        <f>transport!O54</f>
        <v>0</v>
      </c>
      <c r="P10" s="464">
        <f>transport!P54</f>
        <v>0</v>
      </c>
      <c r="Q10" s="462">
        <f t="shared" si="0"/>
        <v>298.68385643731244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60134.866374290381</v>
      </c>
      <c r="C14" s="473">
        <f t="shared" ref="C14:Q14" ca="1" si="1">SUM(C4:C13)</f>
        <v>0</v>
      </c>
      <c r="D14" s="473">
        <f t="shared" ca="1" si="1"/>
        <v>126572.97969337909</v>
      </c>
      <c r="E14" s="473">
        <f t="shared" si="1"/>
        <v>7654.4050238921636</v>
      </c>
      <c r="F14" s="473">
        <f t="shared" ca="1" si="1"/>
        <v>21585.214776860732</v>
      </c>
      <c r="G14" s="473">
        <f t="shared" si="1"/>
        <v>95637.031857614653</v>
      </c>
      <c r="H14" s="473">
        <f t="shared" si="1"/>
        <v>14839.569295808566</v>
      </c>
      <c r="I14" s="473">
        <f t="shared" si="1"/>
        <v>0</v>
      </c>
      <c r="J14" s="473">
        <f t="shared" si="1"/>
        <v>9836.197512913508</v>
      </c>
      <c r="K14" s="473">
        <f t="shared" si="1"/>
        <v>0</v>
      </c>
      <c r="L14" s="473">
        <f t="shared" ca="1" si="1"/>
        <v>0</v>
      </c>
      <c r="M14" s="473">
        <f t="shared" si="1"/>
        <v>4949.4193080406094</v>
      </c>
      <c r="N14" s="473">
        <f t="shared" ca="1" si="1"/>
        <v>22148.534427396917</v>
      </c>
      <c r="O14" s="473">
        <f t="shared" si="1"/>
        <v>165.71333333333334</v>
      </c>
      <c r="P14" s="474">
        <f t="shared" si="1"/>
        <v>266.93333333333334</v>
      </c>
      <c r="Q14" s="474">
        <f t="shared" ca="1" si="1"/>
        <v>363790.86493686331</v>
      </c>
    </row>
    <row r="16" spans="1:17">
      <c r="A16" s="476" t="s">
        <v>569</v>
      </c>
      <c r="B16" s="829">
        <f ca="1">huishoudens!B10</f>
        <v>0.19827761560098647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5955.0244002657892</v>
      </c>
      <c r="C21" s="463">
        <f t="shared" ref="C21:C30" ca="1" si="3">C4*$C$16</f>
        <v>0</v>
      </c>
      <c r="D21" s="463">
        <f t="shared" ref="D21:D30" si="4">D4*$D$16</f>
        <v>18188.414116110001</v>
      </c>
      <c r="E21" s="463">
        <f t="shared" ref="E21:E30" si="5">E4*$E$16</f>
        <v>1329.5478534048293</v>
      </c>
      <c r="F21" s="463">
        <f t="shared" ref="F21:F30" si="6">F4*$F$16</f>
        <v>0</v>
      </c>
      <c r="G21" s="463">
        <f t="shared" ref="G21:G30" si="7">G4*$G$16</f>
        <v>0</v>
      </c>
      <c r="H21" s="463">
        <f t="shared" ref="H21:H30" si="8">H4*$H$16</f>
        <v>0</v>
      </c>
      <c r="I21" s="463">
        <f t="shared" ref="I21:I30" si="9">I4*$I$16</f>
        <v>0</v>
      </c>
      <c r="J21" s="463">
        <f t="shared" ref="J21:J30" si="10">J4*$J$16</f>
        <v>3316.7364722956513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28789.722842076273</v>
      </c>
    </row>
    <row r="22" spans="1:17">
      <c r="A22" s="462" t="s">
        <v>156</v>
      </c>
      <c r="B22" s="463">
        <f t="shared" ca="1" si="2"/>
        <v>2950.6661686786388</v>
      </c>
      <c r="C22" s="463">
        <f t="shared" ca="1" si="3"/>
        <v>0</v>
      </c>
      <c r="D22" s="463">
        <f t="shared" ca="1" si="4"/>
        <v>3475.7509928450254</v>
      </c>
      <c r="E22" s="463">
        <f t="shared" si="5"/>
        <v>42.847242684285433</v>
      </c>
      <c r="F22" s="463">
        <f t="shared" ca="1" si="6"/>
        <v>826.723904565829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7295.988308773779</v>
      </c>
    </row>
    <row r="23" spans="1:17">
      <c r="A23" s="462" t="s">
        <v>194</v>
      </c>
      <c r="B23" s="463">
        <f t="shared" ca="1" si="2"/>
        <v>255.03954000715891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255.03954000715891</v>
      </c>
    </row>
    <row r="24" spans="1:17">
      <c r="A24" s="462" t="s">
        <v>112</v>
      </c>
      <c r="B24" s="463">
        <f t="shared" ca="1" si="2"/>
        <v>600.44498834346962</v>
      </c>
      <c r="C24" s="463">
        <f t="shared" ca="1" si="3"/>
        <v>0</v>
      </c>
      <c r="D24" s="463">
        <f t="shared" si="4"/>
        <v>1538.7131438868876</v>
      </c>
      <c r="E24" s="463">
        <f t="shared" si="5"/>
        <v>8.6624420102049271</v>
      </c>
      <c r="F24" s="463">
        <f t="shared" si="6"/>
        <v>2789.7252122897053</v>
      </c>
      <c r="G24" s="463">
        <f t="shared" si="7"/>
        <v>0</v>
      </c>
      <c r="H24" s="463">
        <f t="shared" si="8"/>
        <v>0</v>
      </c>
      <c r="I24" s="463">
        <f t="shared" si="9"/>
        <v>0</v>
      </c>
      <c r="J24" s="463">
        <f t="shared" si="10"/>
        <v>161.21958863495917</v>
      </c>
      <c r="K24" s="463">
        <f t="shared" si="11"/>
        <v>0</v>
      </c>
      <c r="L24" s="463">
        <f t="shared" si="12"/>
        <v>0</v>
      </c>
      <c r="M24" s="463">
        <f t="shared" si="13"/>
        <v>0</v>
      </c>
      <c r="N24" s="463">
        <f t="shared" si="14"/>
        <v>0</v>
      </c>
      <c r="O24" s="463">
        <f t="shared" si="15"/>
        <v>0</v>
      </c>
      <c r="P24" s="464">
        <f t="shared" si="16"/>
        <v>0</v>
      </c>
      <c r="Q24" s="462">
        <f t="shared" ca="1" si="17"/>
        <v>5098.765375165226</v>
      </c>
    </row>
    <row r="25" spans="1:17">
      <c r="A25" s="462" t="s">
        <v>657</v>
      </c>
      <c r="B25" s="463">
        <f t="shared" ca="1" si="2"/>
        <v>2160.9582888869218</v>
      </c>
      <c r="C25" s="463">
        <f t="shared" ca="1" si="3"/>
        <v>0</v>
      </c>
      <c r="D25" s="463">
        <f t="shared" si="4"/>
        <v>2362.9241961881244</v>
      </c>
      <c r="E25" s="463">
        <f t="shared" si="5"/>
        <v>280.02543388698012</v>
      </c>
      <c r="F25" s="463">
        <f t="shared" si="6"/>
        <v>2146.8032285662816</v>
      </c>
      <c r="G25" s="463">
        <f t="shared" si="7"/>
        <v>0</v>
      </c>
      <c r="H25" s="463">
        <f t="shared" si="8"/>
        <v>0</v>
      </c>
      <c r="I25" s="463">
        <f t="shared" si="9"/>
        <v>0</v>
      </c>
      <c r="J25" s="463">
        <f t="shared" si="10"/>
        <v>4.0578586407717969</v>
      </c>
      <c r="K25" s="463">
        <f t="shared" si="11"/>
        <v>0</v>
      </c>
      <c r="L25" s="463">
        <f t="shared" si="12"/>
        <v>0</v>
      </c>
      <c r="M25" s="463">
        <f t="shared" si="13"/>
        <v>0</v>
      </c>
      <c r="N25" s="463">
        <f t="shared" si="14"/>
        <v>0</v>
      </c>
      <c r="O25" s="463">
        <f t="shared" si="15"/>
        <v>0</v>
      </c>
      <c r="P25" s="464">
        <f t="shared" si="16"/>
        <v>0</v>
      </c>
      <c r="Q25" s="462">
        <f t="shared" ca="1" si="17"/>
        <v>6954.7690061690791</v>
      </c>
    </row>
    <row r="26" spans="1:17" s="468" customFormat="1">
      <c r="A26" s="466" t="s">
        <v>574</v>
      </c>
      <c r="B26" s="823">
        <f t="shared" ca="1" si="2"/>
        <v>1.2645329962574716</v>
      </c>
      <c r="C26" s="467">
        <f t="shared" ca="1" si="3"/>
        <v>0</v>
      </c>
      <c r="D26" s="467">
        <f t="shared" si="4"/>
        <v>1.9394490325379865</v>
      </c>
      <c r="E26" s="467">
        <f t="shared" si="5"/>
        <v>76.466968437221325</v>
      </c>
      <c r="F26" s="467">
        <f t="shared" si="6"/>
        <v>0</v>
      </c>
      <c r="G26" s="467">
        <f t="shared" si="7"/>
        <v>25458.734520338963</v>
      </c>
      <c r="H26" s="467">
        <f t="shared" si="8"/>
        <v>3695.052754656333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29233.458225461312</v>
      </c>
    </row>
    <row r="27" spans="1:17">
      <c r="A27" s="462" t="s">
        <v>564</v>
      </c>
      <c r="B27" s="463">
        <f t="shared" ca="1" si="2"/>
        <v>0</v>
      </c>
      <c r="C27" s="463">
        <f t="shared" ca="1" si="3"/>
        <v>0</v>
      </c>
      <c r="D27" s="463">
        <f t="shared" si="4"/>
        <v>0</v>
      </c>
      <c r="E27" s="463">
        <f t="shared" si="5"/>
        <v>0</v>
      </c>
      <c r="F27" s="463">
        <f t="shared" si="6"/>
        <v>0</v>
      </c>
      <c r="G27" s="463">
        <f t="shared" si="7"/>
        <v>76.352985644148987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76.352985644148987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11923.397919178238</v>
      </c>
      <c r="C31" s="473">
        <f t="shared" ca="1" si="18"/>
        <v>0</v>
      </c>
      <c r="D31" s="473">
        <f t="shared" ca="1" si="18"/>
        <v>25567.741898062581</v>
      </c>
      <c r="E31" s="473">
        <f t="shared" si="18"/>
        <v>1737.5499404235211</v>
      </c>
      <c r="F31" s="473">
        <f t="shared" ca="1" si="18"/>
        <v>5763.2523454218153</v>
      </c>
      <c r="G31" s="473">
        <f t="shared" si="18"/>
        <v>25535.087505983112</v>
      </c>
      <c r="H31" s="473">
        <f t="shared" si="18"/>
        <v>3695.052754656333</v>
      </c>
      <c r="I31" s="473">
        <f t="shared" si="18"/>
        <v>0</v>
      </c>
      <c r="J31" s="473">
        <f t="shared" si="18"/>
        <v>3482.0139195713823</v>
      </c>
      <c r="K31" s="473">
        <f t="shared" si="18"/>
        <v>0</v>
      </c>
      <c r="L31" s="473">
        <f t="shared" ca="1" si="18"/>
        <v>0</v>
      </c>
      <c r="M31" s="473">
        <f t="shared" si="18"/>
        <v>0</v>
      </c>
      <c r="N31" s="473">
        <f t="shared" ca="1" si="18"/>
        <v>0</v>
      </c>
      <c r="O31" s="473">
        <f t="shared" si="18"/>
        <v>0</v>
      </c>
      <c r="P31" s="474">
        <f t="shared" si="18"/>
        <v>0</v>
      </c>
      <c r="Q31" s="474">
        <f t="shared" ca="1" si="18"/>
        <v>77704.096283296982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0.19827761560098647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0.19827761560098647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0.19827761560098647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33029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7645</v>
      </c>
      <c r="C9" s="338">
        <v>7753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3039</v>
      </c>
    </row>
    <row r="15" spans="1:6">
      <c r="A15" s="1212" t="s">
        <v>184</v>
      </c>
      <c r="B15" s="335">
        <v>983</v>
      </c>
    </row>
    <row r="16" spans="1:6">
      <c r="A16" s="1212" t="s">
        <v>6</v>
      </c>
      <c r="B16" s="335">
        <v>1239</v>
      </c>
    </row>
    <row r="17" spans="1:6">
      <c r="A17" s="1212" t="s">
        <v>7</v>
      </c>
      <c r="B17" s="335">
        <v>938</v>
      </c>
    </row>
    <row r="18" spans="1:6">
      <c r="A18" s="1212" t="s">
        <v>8</v>
      </c>
      <c r="B18" s="335">
        <v>1494</v>
      </c>
    </row>
    <row r="19" spans="1:6">
      <c r="A19" s="1212" t="s">
        <v>9</v>
      </c>
      <c r="B19" s="335">
        <v>1451</v>
      </c>
    </row>
    <row r="20" spans="1:6">
      <c r="A20" s="1212" t="s">
        <v>10</v>
      </c>
      <c r="B20" s="335">
        <v>995</v>
      </c>
    </row>
    <row r="21" spans="1:6">
      <c r="A21" s="1212" t="s">
        <v>11</v>
      </c>
      <c r="B21" s="335">
        <v>9751</v>
      </c>
    </row>
    <row r="22" spans="1:6">
      <c r="A22" s="1212" t="s">
        <v>12</v>
      </c>
      <c r="B22" s="335">
        <v>24189</v>
      </c>
    </row>
    <row r="23" spans="1:6">
      <c r="A23" s="1212" t="s">
        <v>13</v>
      </c>
      <c r="B23" s="335">
        <v>433</v>
      </c>
    </row>
    <row r="24" spans="1:6">
      <c r="A24" s="1212" t="s">
        <v>14</v>
      </c>
      <c r="B24" s="335">
        <v>17</v>
      </c>
    </row>
    <row r="25" spans="1:6">
      <c r="A25" s="1212" t="s">
        <v>15</v>
      </c>
      <c r="B25" s="335">
        <v>2353</v>
      </c>
    </row>
    <row r="26" spans="1:6">
      <c r="A26" s="1212" t="s">
        <v>16</v>
      </c>
      <c r="B26" s="335">
        <v>104</v>
      </c>
    </row>
    <row r="27" spans="1:6">
      <c r="A27" s="1212" t="s">
        <v>17</v>
      </c>
      <c r="B27" s="335">
        <v>4</v>
      </c>
    </row>
    <row r="28" spans="1:6" s="341" customFormat="1">
      <c r="A28" s="1213" t="s">
        <v>18</v>
      </c>
      <c r="B28" s="1213">
        <v>306195</v>
      </c>
    </row>
    <row r="29" spans="1:6">
      <c r="A29" s="1213" t="s">
        <v>836</v>
      </c>
      <c r="B29" s="1213">
        <v>184</v>
      </c>
      <c r="C29" s="341"/>
      <c r="D29" s="341"/>
      <c r="E29" s="341"/>
      <c r="F29" s="341"/>
    </row>
    <row r="30" spans="1:6">
      <c r="A30" s="1208" t="s">
        <v>837</v>
      </c>
      <c r="B30" s="1208">
        <v>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16356.237232990799</v>
      </c>
      <c r="E38" s="335">
        <v>4</v>
      </c>
      <c r="F38" s="335">
        <v>89472.510015374006</v>
      </c>
    </row>
    <row r="39" spans="1:6">
      <c r="A39" s="1212" t="s">
        <v>30</v>
      </c>
      <c r="B39" s="1212" t="s">
        <v>31</v>
      </c>
      <c r="C39" s="335">
        <v>5882</v>
      </c>
      <c r="D39" s="335">
        <v>99824450.155375302</v>
      </c>
      <c r="E39" s="335">
        <v>7397</v>
      </c>
      <c r="F39" s="335">
        <v>27064133.8237908</v>
      </c>
    </row>
    <row r="40" spans="1:6">
      <c r="A40" s="1212" t="s">
        <v>30</v>
      </c>
      <c r="B40" s="1212" t="s">
        <v>29</v>
      </c>
      <c r="C40" s="335">
        <v>0</v>
      </c>
      <c r="D40" s="335">
        <v>0</v>
      </c>
      <c r="E40" s="335">
        <v>0</v>
      </c>
      <c r="F40" s="335">
        <v>0</v>
      </c>
    </row>
    <row r="41" spans="1:6">
      <c r="A41" s="1212" t="s">
        <v>32</v>
      </c>
      <c r="B41" s="1212" t="s">
        <v>33</v>
      </c>
      <c r="C41" s="335">
        <v>51</v>
      </c>
      <c r="D41" s="335">
        <v>1171549.1641200201</v>
      </c>
      <c r="E41" s="335">
        <v>135</v>
      </c>
      <c r="F41" s="335">
        <v>2546227.2528500101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12</v>
      </c>
      <c r="F44" s="335">
        <v>417198.18851720798</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33</v>
      </c>
      <c r="D48" s="335">
        <v>7857819.9079017797</v>
      </c>
      <c r="E48" s="335">
        <v>34</v>
      </c>
      <c r="F48" s="335">
        <v>4454369.8471467802</v>
      </c>
    </row>
    <row r="49" spans="1:6">
      <c r="A49" s="1212" t="s">
        <v>32</v>
      </c>
      <c r="B49" s="1212" t="s">
        <v>40</v>
      </c>
      <c r="C49" s="335">
        <v>0</v>
      </c>
      <c r="D49" s="335">
        <v>0</v>
      </c>
      <c r="E49" s="335">
        <v>0</v>
      </c>
      <c r="F49" s="335">
        <v>0</v>
      </c>
    </row>
    <row r="50" spans="1:6">
      <c r="A50" s="1212" t="s">
        <v>32</v>
      </c>
      <c r="B50" s="1212" t="s">
        <v>41</v>
      </c>
      <c r="C50" s="335">
        <v>16</v>
      </c>
      <c r="D50" s="335">
        <v>3939194.7146575502</v>
      </c>
      <c r="E50" s="335">
        <v>18</v>
      </c>
      <c r="F50" s="335">
        <v>3480854.47755758</v>
      </c>
    </row>
    <row r="51" spans="1:6">
      <c r="A51" s="1212" t="s">
        <v>42</v>
      </c>
      <c r="B51" s="1212" t="s">
        <v>43</v>
      </c>
      <c r="C51" s="335">
        <v>7</v>
      </c>
      <c r="D51" s="335">
        <v>810020.14838640101</v>
      </c>
      <c r="E51" s="335">
        <v>118</v>
      </c>
      <c r="F51" s="335">
        <v>2512074.4875316899</v>
      </c>
    </row>
    <row r="52" spans="1:6">
      <c r="A52" s="1212" t="s">
        <v>42</v>
      </c>
      <c r="B52" s="1212" t="s">
        <v>29</v>
      </c>
      <c r="C52" s="335">
        <v>9</v>
      </c>
      <c r="D52" s="335">
        <v>2780055.7604602799</v>
      </c>
      <c r="E52" s="335">
        <v>11</v>
      </c>
      <c r="F52" s="335">
        <v>516229.97600293398</v>
      </c>
    </row>
    <row r="53" spans="1:6">
      <c r="A53" s="1212" t="s">
        <v>44</v>
      </c>
      <c r="B53" s="1212" t="s">
        <v>45</v>
      </c>
      <c r="C53" s="335">
        <v>152</v>
      </c>
      <c r="D53" s="335">
        <v>4854926.0882932702</v>
      </c>
      <c r="E53" s="335">
        <v>192</v>
      </c>
      <c r="F53" s="335">
        <v>1035944.57018633</v>
      </c>
    </row>
    <row r="54" spans="1:6">
      <c r="A54" s="1212" t="s">
        <v>46</v>
      </c>
      <c r="B54" s="1212" t="s">
        <v>47</v>
      </c>
      <c r="C54" s="335">
        <v>0</v>
      </c>
      <c r="D54" s="335">
        <v>0</v>
      </c>
      <c r="E54" s="335">
        <v>1</v>
      </c>
      <c r="F54" s="335">
        <v>1286275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45</v>
      </c>
      <c r="D57" s="335">
        <v>3662441.5038348599</v>
      </c>
      <c r="E57" s="335">
        <v>145</v>
      </c>
      <c r="F57" s="335">
        <v>2588366.0146192401</v>
      </c>
    </row>
    <row r="58" spans="1:6">
      <c r="A58" s="1212" t="s">
        <v>49</v>
      </c>
      <c r="B58" s="1212" t="s">
        <v>51</v>
      </c>
      <c r="C58" s="335">
        <v>20</v>
      </c>
      <c r="D58" s="335">
        <v>702988.07982810203</v>
      </c>
      <c r="E58" s="335">
        <v>26</v>
      </c>
      <c r="F58" s="335">
        <v>830557.407655783</v>
      </c>
    </row>
    <row r="59" spans="1:6">
      <c r="A59" s="1212" t="s">
        <v>49</v>
      </c>
      <c r="B59" s="1212" t="s">
        <v>52</v>
      </c>
      <c r="C59" s="335">
        <v>80</v>
      </c>
      <c r="D59" s="335">
        <v>3012732.8788223402</v>
      </c>
      <c r="E59" s="335">
        <v>178</v>
      </c>
      <c r="F59" s="335">
        <v>4101622.83536105</v>
      </c>
    </row>
    <row r="60" spans="1:6">
      <c r="A60" s="1212" t="s">
        <v>49</v>
      </c>
      <c r="B60" s="1212" t="s">
        <v>53</v>
      </c>
      <c r="C60" s="335">
        <v>53</v>
      </c>
      <c r="D60" s="335">
        <v>1948663.4538688201</v>
      </c>
      <c r="E60" s="335">
        <v>73</v>
      </c>
      <c r="F60" s="335">
        <v>1376610.4873756601</v>
      </c>
    </row>
    <row r="61" spans="1:6">
      <c r="A61" s="1212" t="s">
        <v>49</v>
      </c>
      <c r="B61" s="1212" t="s">
        <v>54</v>
      </c>
      <c r="C61" s="335">
        <v>107</v>
      </c>
      <c r="D61" s="335">
        <v>2294346.4564761398</v>
      </c>
      <c r="E61" s="335">
        <v>242</v>
      </c>
      <c r="F61" s="335">
        <v>3556993.36835548</v>
      </c>
    </row>
    <row r="62" spans="1:6">
      <c r="A62" s="1212" t="s">
        <v>49</v>
      </c>
      <c r="B62" s="1212" t="s">
        <v>55</v>
      </c>
      <c r="C62" s="335">
        <v>14</v>
      </c>
      <c r="D62" s="335">
        <v>1827473.74685953</v>
      </c>
      <c r="E62" s="335">
        <v>14</v>
      </c>
      <c r="F62" s="335">
        <v>353655.50260200101</v>
      </c>
    </row>
    <row r="63" spans="1:6">
      <c r="A63" s="1212" t="s">
        <v>49</v>
      </c>
      <c r="B63" s="1212" t="s">
        <v>29</v>
      </c>
      <c r="C63" s="335">
        <v>101</v>
      </c>
      <c r="D63" s="335">
        <v>5627504.7488148799</v>
      </c>
      <c r="E63" s="335">
        <v>85</v>
      </c>
      <c r="F63" s="335">
        <v>2073683.4504342999</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68018.127318028899</v>
      </c>
      <c r="E68" s="335">
        <v>9</v>
      </c>
      <c r="F68" s="335">
        <v>269745.67022362701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51496669</v>
      </c>
      <c r="E73" s="335">
        <v>60773095.989911556</v>
      </c>
    </row>
    <row r="74" spans="1:6">
      <c r="A74" s="1212" t="s">
        <v>64</v>
      </c>
      <c r="B74" s="1212" t="s">
        <v>727</v>
      </c>
      <c r="C74" s="1212" t="s">
        <v>728</v>
      </c>
      <c r="D74" s="335">
        <v>6262863.6434493223</v>
      </c>
      <c r="E74" s="335">
        <v>8073143.8002457628</v>
      </c>
    </row>
    <row r="75" spans="1:6">
      <c r="A75" s="1212" t="s">
        <v>65</v>
      </c>
      <c r="B75" s="1212" t="s">
        <v>725</v>
      </c>
      <c r="C75" s="1212" t="s">
        <v>729</v>
      </c>
      <c r="D75" s="335">
        <v>6075392</v>
      </c>
      <c r="E75" s="335">
        <v>6490458.2152916212</v>
      </c>
    </row>
    <row r="76" spans="1:6">
      <c r="A76" s="1212" t="s">
        <v>65</v>
      </c>
      <c r="B76" s="1212" t="s">
        <v>727</v>
      </c>
      <c r="C76" s="1212" t="s">
        <v>730</v>
      </c>
      <c r="D76" s="335">
        <v>146133.64344932273</v>
      </c>
      <c r="E76" s="335">
        <v>169101.07786576648</v>
      </c>
    </row>
    <row r="77" spans="1:6">
      <c r="A77" s="1212" t="s">
        <v>66</v>
      </c>
      <c r="B77" s="1212" t="s">
        <v>725</v>
      </c>
      <c r="C77" s="1212" t="s">
        <v>731</v>
      </c>
      <c r="D77" s="335">
        <v>59225144</v>
      </c>
      <c r="E77" s="335">
        <v>66933200.807902195</v>
      </c>
    </row>
    <row r="78" spans="1:6">
      <c r="A78" s="1208" t="s">
        <v>66</v>
      </c>
      <c r="B78" s="1208" t="s">
        <v>727</v>
      </c>
      <c r="C78" s="1208" t="s">
        <v>732</v>
      </c>
      <c r="D78" s="1208">
        <v>8521718</v>
      </c>
      <c r="E78" s="1208">
        <v>9673428.3419228382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78908.713101354529</v>
      </c>
      <c r="C83" s="335">
        <v>79379.483559873828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2969.6366662158475</v>
      </c>
    </row>
    <row r="92" spans="1:6">
      <c r="A92" s="1208" t="s">
        <v>69</v>
      </c>
      <c r="B92" s="338">
        <v>3213.2029244626137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4275</v>
      </c>
    </row>
    <row r="98" spans="1:6">
      <c r="A98" s="1212" t="s">
        <v>72</v>
      </c>
      <c r="B98" s="335">
        <v>0</v>
      </c>
    </row>
    <row r="99" spans="1:6">
      <c r="A99" s="1212" t="s">
        <v>73</v>
      </c>
      <c r="B99" s="335">
        <v>150</v>
      </c>
    </row>
    <row r="100" spans="1:6">
      <c r="A100" s="1212" t="s">
        <v>74</v>
      </c>
      <c r="B100" s="335">
        <v>542</v>
      </c>
    </row>
    <row r="101" spans="1:6">
      <c r="A101" s="1212" t="s">
        <v>75</v>
      </c>
      <c r="B101" s="335">
        <v>119</v>
      </c>
    </row>
    <row r="102" spans="1:6">
      <c r="A102" s="1212" t="s">
        <v>76</v>
      </c>
      <c r="B102" s="335">
        <v>92</v>
      </c>
    </row>
    <row r="103" spans="1:6">
      <c r="A103" s="1212" t="s">
        <v>77</v>
      </c>
      <c r="B103" s="335">
        <v>391</v>
      </c>
    </row>
    <row r="104" spans="1:6">
      <c r="A104" s="1212" t="s">
        <v>78</v>
      </c>
      <c r="B104" s="335">
        <v>1284</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92</v>
      </c>
    </row>
    <row r="130" spans="1:6">
      <c r="A130" s="1212" t="s">
        <v>295</v>
      </c>
      <c r="B130" s="335">
        <v>2</v>
      </c>
    </row>
    <row r="131" spans="1:6">
      <c r="A131" s="1212" t="s">
        <v>296</v>
      </c>
      <c r="B131" s="335">
        <v>1</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60134.866374290388</v>
      </c>
      <c r="C3" s="43" t="s">
        <v>170</v>
      </c>
      <c r="D3" s="43"/>
      <c r="E3" s="156"/>
      <c r="F3" s="43"/>
      <c r="G3" s="43"/>
      <c r="H3" s="43"/>
      <c r="I3" s="43"/>
      <c r="J3" s="43"/>
      <c r="K3" s="96"/>
    </row>
    <row r="4" spans="1:11">
      <c r="A4" s="366" t="s">
        <v>171</v>
      </c>
      <c r="B4" s="49">
        <f>IF(ISERROR('SEAP template'!B69),0,'SEAP template'!B69)</f>
        <v>6182.8395906784608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0.19827761560098647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1286.2750000000001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1286.2750000000001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0.19827761560098647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255.03954000715891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27064.133823790798</v>
      </c>
      <c r="C5" s="17">
        <f>IF(ISERROR('Eigen informatie GS &amp; warmtenet'!B57),0,'Eigen informatie GS &amp; warmtenet'!B57)</f>
        <v>0</v>
      </c>
      <c r="D5" s="30">
        <f>(SUM(HH_hh_gas_kWh,HH_rest_gas_kWh)/1000)*0.902</f>
        <v>90041.654040148525</v>
      </c>
      <c r="E5" s="17">
        <f>B46*B57</f>
        <v>5857.0390017833888</v>
      </c>
      <c r="F5" s="17">
        <f>B51*B62</f>
        <v>0</v>
      </c>
      <c r="G5" s="18"/>
      <c r="H5" s="17"/>
      <c r="I5" s="17"/>
      <c r="J5" s="17">
        <f>B50*B61+C50*C61</f>
        <v>9369.3120686317834</v>
      </c>
      <c r="K5" s="17"/>
      <c r="L5" s="17"/>
      <c r="M5" s="17"/>
      <c r="N5" s="17">
        <f>B48*B59+C48*C59</f>
        <v>17419.706978884464</v>
      </c>
      <c r="O5" s="17">
        <f>B69*B70*B71</f>
        <v>162.58666666666667</v>
      </c>
      <c r="P5" s="17">
        <f>B77*B78*B79/1000-B77*B78*B79/1000/B80</f>
        <v>247.86666666666667</v>
      </c>
    </row>
    <row r="6" spans="1:16">
      <c r="A6" s="16" t="s">
        <v>634</v>
      </c>
      <c r="B6" s="831">
        <f>kWh_PV_kleiner_dan_10kW</f>
        <v>2969.6366662158475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30033.770490006646</v>
      </c>
      <c r="C8" s="21">
        <f>C5</f>
        <v>0</v>
      </c>
      <c r="D8" s="21">
        <f>D5</f>
        <v>90041.654040148525</v>
      </c>
      <c r="E8" s="21">
        <f>E5</f>
        <v>5857.0390017833888</v>
      </c>
      <c r="F8" s="21">
        <f>F5</f>
        <v>0</v>
      </c>
      <c r="G8" s="21"/>
      <c r="H8" s="21"/>
      <c r="I8" s="21"/>
      <c r="J8" s="21">
        <f>J5</f>
        <v>9369.3120686317834</v>
      </c>
      <c r="K8" s="21"/>
      <c r="L8" s="21">
        <f>L5</f>
        <v>0</v>
      </c>
      <c r="M8" s="21">
        <f>M5</f>
        <v>0</v>
      </c>
      <c r="N8" s="21">
        <f>N5</f>
        <v>17419.706978884464</v>
      </c>
      <c r="O8" s="21">
        <f>O5</f>
        <v>162.58666666666667</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0.19827761560098647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5955.0244002657892</v>
      </c>
      <c r="C12" s="23">
        <f ca="1">C10*C8</f>
        <v>0</v>
      </c>
      <c r="D12" s="23">
        <f>D8*D10</f>
        <v>18188.414116110001</v>
      </c>
      <c r="E12" s="23">
        <f>E10*E8</f>
        <v>1329.5478534048293</v>
      </c>
      <c r="F12" s="23">
        <f>F10*F8</f>
        <v>0</v>
      </c>
      <c r="G12" s="23"/>
      <c r="H12" s="23"/>
      <c r="I12" s="23"/>
      <c r="J12" s="23">
        <f>J10*J8</f>
        <v>3316.7364722956513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4275</v>
      </c>
      <c r="C18" s="168" t="s">
        <v>111</v>
      </c>
      <c r="D18" s="230"/>
      <c r="E18" s="15"/>
    </row>
    <row r="19" spans="1:7">
      <c r="A19" s="173" t="s">
        <v>72</v>
      </c>
      <c r="B19" s="37">
        <f>aantalw2001_ander</f>
        <v>0</v>
      </c>
      <c r="C19" s="168" t="s">
        <v>111</v>
      </c>
      <c r="D19" s="231"/>
      <c r="E19" s="15"/>
    </row>
    <row r="20" spans="1:7">
      <c r="A20" s="173" t="s">
        <v>73</v>
      </c>
      <c r="B20" s="37">
        <f>aantalw2001_propaan</f>
        <v>150</v>
      </c>
      <c r="C20" s="169">
        <f>IF(ISERROR(B20/SUM($B$20,$B$21,$B$22)*100),0,B20/SUM($B$20,$B$21,$B$22)*100)</f>
        <v>18.495684340320594</v>
      </c>
      <c r="D20" s="231"/>
      <c r="E20" s="15"/>
    </row>
    <row r="21" spans="1:7">
      <c r="A21" s="173" t="s">
        <v>74</v>
      </c>
      <c r="B21" s="37">
        <f>aantalw2001_elektriciteit</f>
        <v>542</v>
      </c>
      <c r="C21" s="169">
        <f>IF(ISERROR(B21/SUM($B$20,$B$21,$B$22)*100),0,B21/SUM($B$20,$B$21,$B$22)*100)</f>
        <v>66.831072749691728</v>
      </c>
      <c r="D21" s="231"/>
      <c r="E21" s="15"/>
    </row>
    <row r="22" spans="1:7">
      <c r="A22" s="173" t="s">
        <v>75</v>
      </c>
      <c r="B22" s="37">
        <f>aantalw2001_hout</f>
        <v>119</v>
      </c>
      <c r="C22" s="169">
        <f>IF(ISERROR(B22/SUM($B$20,$B$21,$B$22)*100),0,B22/SUM($B$20,$B$21,$B$22)*100)</f>
        <v>14.673242909987669</v>
      </c>
      <c r="D22" s="231"/>
      <c r="E22" s="15"/>
    </row>
    <row r="23" spans="1:7">
      <c r="A23" s="173" t="s">
        <v>76</v>
      </c>
      <c r="B23" s="37">
        <f>aantalw2001_niet_gespec</f>
        <v>92</v>
      </c>
      <c r="C23" s="168" t="s">
        <v>111</v>
      </c>
      <c r="D23" s="230"/>
      <c r="E23" s="15"/>
    </row>
    <row r="24" spans="1:7">
      <c r="A24" s="173" t="s">
        <v>77</v>
      </c>
      <c r="B24" s="37">
        <f>aantalw2001_steenkool</f>
        <v>391</v>
      </c>
      <c r="C24" s="168" t="s">
        <v>111</v>
      </c>
      <c r="D24" s="231"/>
      <c r="E24" s="15"/>
    </row>
    <row r="25" spans="1:7">
      <c r="A25" s="173" t="s">
        <v>78</v>
      </c>
      <c r="B25" s="37">
        <f>aantalw2001_stookolie</f>
        <v>1284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7645</v>
      </c>
      <c r="C28" s="36"/>
      <c r="D28" s="230"/>
    </row>
    <row r="29" spans="1:7" s="15" customFormat="1">
      <c r="A29" s="232" t="s">
        <v>746</v>
      </c>
      <c r="B29" s="37">
        <f>SUM(HH_hh_gas_aantal,HH_rest_gas_aantal)</f>
        <v>5882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5882</v>
      </c>
      <c r="C32" s="169">
        <f>IF(ISERROR(B32/SUM($B$32,$B$34,$B$35,$B$36,$B$38,$B$39)*100),0,B32/SUM($B$32,$B$34,$B$35,$B$36,$B$38,$B$39)*100)</f>
        <v>77.070230607966465</v>
      </c>
      <c r="D32" s="235"/>
      <c r="G32" s="15"/>
    </row>
    <row r="33" spans="1:7">
      <c r="A33" s="173" t="s">
        <v>72</v>
      </c>
      <c r="B33" s="34" t="s">
        <v>111</v>
      </c>
      <c r="C33" s="169"/>
      <c r="D33" s="235"/>
      <c r="G33" s="15"/>
    </row>
    <row r="34" spans="1:7">
      <c r="A34" s="173" t="s">
        <v>73</v>
      </c>
      <c r="B34" s="33">
        <f>IF((($B$28-$B$32-$B$39-$B$77-$B$38)*C20/100)&lt;0,0,($B$28-$B$32-$B$39-$B$77-$B$38)*C20/100)</f>
        <v>281.07891491985208</v>
      </c>
      <c r="C34" s="169">
        <f>IF(ISERROR(B34/SUM($B$32,$B$34,$B$35,$B$36,$B$38,$B$39)*100),0,B34/SUM($B$32,$B$34,$B$35,$B$36,$B$38,$B$39)*100)</f>
        <v>3.6828998286144143</v>
      </c>
      <c r="D34" s="235"/>
      <c r="G34" s="15"/>
    </row>
    <row r="35" spans="1:7">
      <c r="A35" s="173" t="s">
        <v>74</v>
      </c>
      <c r="B35" s="33">
        <f>IF((($B$28-$B$32-$B$39-$B$77-$B$38)*C21/100)&lt;0,0,($B$28-$B$32-$B$39-$B$77-$B$38)*C21/100)</f>
        <v>1015.6318125770653</v>
      </c>
      <c r="C35" s="169">
        <f>IF(ISERROR(B35/SUM($B$32,$B$34,$B$35,$B$36,$B$38,$B$39)*100),0,B35/SUM($B$32,$B$34,$B$35,$B$36,$B$38,$B$39)*100)</f>
        <v>13.307544714060082</v>
      </c>
      <c r="D35" s="235"/>
      <c r="G35" s="15"/>
    </row>
    <row r="36" spans="1:7">
      <c r="A36" s="173" t="s">
        <v>75</v>
      </c>
      <c r="B36" s="33">
        <f>IF((($B$28-$B$32-$B$39-$B$77-$B$38)*C22/100)&lt;0,0,($B$28-$B$32-$B$39-$B$77-$B$38)*C22/100)</f>
        <v>222.98927250308262</v>
      </c>
      <c r="C36" s="169">
        <f>IF(ISERROR(B36/SUM($B$32,$B$34,$B$35,$B$36,$B$38,$B$39)*100),0,B36/SUM($B$32,$B$34,$B$35,$B$36,$B$38,$B$39)*100)</f>
        <v>2.9217671973674348</v>
      </c>
      <c r="D36" s="235"/>
      <c r="G36" s="15"/>
    </row>
    <row r="37" spans="1:7">
      <c r="A37" s="173" t="s">
        <v>76</v>
      </c>
      <c r="B37" s="34" t="s">
        <v>111</v>
      </c>
      <c r="C37" s="169"/>
      <c r="D37" s="175"/>
      <c r="G37" s="15"/>
    </row>
    <row r="38" spans="1:7">
      <c r="A38" s="173" t="s">
        <v>77</v>
      </c>
      <c r="B38" s="33">
        <f>IF((B24-(B29-B18)*0.1)&lt;0,0,B24-(B29-B18)*0.1)</f>
        <v>230.29999999999998</v>
      </c>
      <c r="C38" s="169">
        <f>IF(ISERROR(B38/SUM($B$32,$B$34,$B$35,$B$36,$B$38,$B$39)*100),0,B38/SUM($B$32,$B$34,$B$35,$B$36,$B$38,$B$39)*100)</f>
        <v>3.0175576519916145</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5882</v>
      </c>
      <c r="C44" s="34" t="s">
        <v>111</v>
      </c>
      <c r="D44" s="176"/>
    </row>
    <row r="45" spans="1:7">
      <c r="A45" s="173" t="s">
        <v>72</v>
      </c>
      <c r="B45" s="33" t="str">
        <f t="shared" si="0"/>
        <v>-</v>
      </c>
      <c r="C45" s="34" t="s">
        <v>111</v>
      </c>
      <c r="D45" s="176"/>
    </row>
    <row r="46" spans="1:7">
      <c r="A46" s="173" t="s">
        <v>73</v>
      </c>
      <c r="B46" s="33">
        <f t="shared" si="0"/>
        <v>281.07891491985208</v>
      </c>
      <c r="C46" s="34" t="s">
        <v>111</v>
      </c>
      <c r="D46" s="176"/>
    </row>
    <row r="47" spans="1:7">
      <c r="A47" s="173" t="s">
        <v>74</v>
      </c>
      <c r="B47" s="33">
        <f t="shared" si="0"/>
        <v>1015.6318125770653</v>
      </c>
      <c r="C47" s="34" t="s">
        <v>111</v>
      </c>
      <c r="D47" s="176"/>
    </row>
    <row r="48" spans="1:7">
      <c r="A48" s="173" t="s">
        <v>75</v>
      </c>
      <c r="B48" s="33">
        <f t="shared" si="0"/>
        <v>222.98927250308262</v>
      </c>
      <c r="C48" s="33">
        <f>B48*10</f>
        <v>2229.8927250308261</v>
      </c>
      <c r="D48" s="236"/>
    </row>
    <row r="49" spans="1:6">
      <c r="A49" s="173" t="s">
        <v>76</v>
      </c>
      <c r="B49" s="33" t="str">
        <f t="shared" si="0"/>
        <v>-</v>
      </c>
      <c r="C49" s="34" t="s">
        <v>111</v>
      </c>
      <c r="D49" s="236"/>
    </row>
    <row r="50" spans="1:6">
      <c r="A50" s="173" t="s">
        <v>77</v>
      </c>
      <c r="B50" s="33">
        <f t="shared" si="0"/>
        <v>230.29999999999998</v>
      </c>
      <c r="C50" s="33">
        <f>B50*2</f>
        <v>460.59999999999997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14881.489066403514</v>
      </c>
      <c r="C5" s="17">
        <f>IF(ISERROR('Eigen informatie GS &amp; warmtenet'!B58),0,'Eigen informatie GS &amp; warmtenet'!B58)</f>
        <v>0</v>
      </c>
      <c r="D5" s="30">
        <f>SUM(D6:D12)</f>
        <v>17206.688083391215</v>
      </c>
      <c r="E5" s="17">
        <f>SUM(E6:E12)</f>
        <v>188.75437305852614</v>
      </c>
      <c r="F5" s="17">
        <f>SUM(F6:F12)</f>
        <v>3096.3442118570374</v>
      </c>
      <c r="G5" s="18"/>
      <c r="H5" s="17"/>
      <c r="I5" s="17"/>
      <c r="J5" s="17">
        <f>SUM(J6:J12)</f>
        <v>0</v>
      </c>
      <c r="K5" s="17"/>
      <c r="L5" s="17"/>
      <c r="M5" s="17"/>
      <c r="N5" s="17">
        <f>SUM(N6:N12)</f>
        <v>1989.4625330528916</v>
      </c>
      <c r="O5" s="17">
        <f>B38*B39*B40</f>
        <v>3.1266666666666669</v>
      </c>
      <c r="P5" s="17">
        <f>B46*B47*B48/1000-B46*B47*B48/1000/B49</f>
        <v>19.066666666666666</v>
      </c>
      <c r="R5" s="32"/>
    </row>
    <row r="6" spans="1:18">
      <c r="A6" s="32" t="s">
        <v>54</v>
      </c>
      <c r="B6" s="37">
        <f>B26</f>
        <v>3556.99336835548</v>
      </c>
      <c r="C6" s="33"/>
      <c r="D6" s="37">
        <f>IF(ISERROR(TER_kantoor_gas_kWh/1000),0,TER_kantoor_gas_kWh/1000)*0.902</f>
        <v>2069.500503741478</v>
      </c>
      <c r="E6" s="33">
        <f>$C$26*'E Balans VL '!I12/100/3.6*1000000</f>
        <v>13.819672295434009</v>
      </c>
      <c r="F6" s="33">
        <f>$C$26*('E Balans VL '!L12+'E Balans VL '!N12)/100/3.6*1000000</f>
        <v>540.98632526766266</v>
      </c>
      <c r="G6" s="34"/>
      <c r="H6" s="33"/>
      <c r="I6" s="33"/>
      <c r="J6" s="33">
        <f>$C$26*('E Balans VL '!D12+'E Balans VL '!E12)/100/3.6*1000000</f>
        <v>0</v>
      </c>
      <c r="K6" s="33"/>
      <c r="L6" s="33"/>
      <c r="M6" s="33"/>
      <c r="N6" s="33">
        <f>$C$26*'E Balans VL '!Y12/100/3.6*1000000</f>
        <v>1.9603294632754318</v>
      </c>
      <c r="O6" s="33"/>
      <c r="P6" s="33"/>
      <c r="R6" s="32"/>
    </row>
    <row r="7" spans="1:18">
      <c r="A7" s="32" t="s">
        <v>53</v>
      </c>
      <c r="B7" s="37">
        <f t="shared" ref="B7:B12" si="0">B27</f>
        <v>1376.6104873756601</v>
      </c>
      <c r="C7" s="33"/>
      <c r="D7" s="37">
        <f>IF(ISERROR(TER_horeca_gas_kWh/1000),0,TER_horeca_gas_kWh/1000)*0.902</f>
        <v>1757.6944353896758</v>
      </c>
      <c r="E7" s="33">
        <f>$C$27*'E Balans VL '!I9/100/3.6*1000000</f>
        <v>77.544836798536693</v>
      </c>
      <c r="F7" s="33">
        <f>$C$27*('E Balans VL '!L9+'E Balans VL '!N9)/100/3.6*1000000</f>
        <v>396.93204857170088</v>
      </c>
      <c r="G7" s="34"/>
      <c r="H7" s="33"/>
      <c r="I7" s="33"/>
      <c r="J7" s="33">
        <f>$C$27*('E Balans VL '!D9+'E Balans VL '!E9)/100/3.6*1000000</f>
        <v>0</v>
      </c>
      <c r="K7" s="33"/>
      <c r="L7" s="33"/>
      <c r="M7" s="33"/>
      <c r="N7" s="33">
        <f>$C$27*'E Balans VL '!Y9/100/3.6*1000000</f>
        <v>0.3800750020232726</v>
      </c>
      <c r="O7" s="33"/>
      <c r="P7" s="33"/>
      <c r="R7" s="32"/>
    </row>
    <row r="8" spans="1:18">
      <c r="A8" s="6" t="s">
        <v>52</v>
      </c>
      <c r="B8" s="37">
        <f t="shared" si="0"/>
        <v>4101.6228353610504</v>
      </c>
      <c r="C8" s="33"/>
      <c r="D8" s="37">
        <f>IF(ISERROR(TER_handel_gas_kWh/1000),0,TER_handel_gas_kWh/1000)*0.902</f>
        <v>2717.4850566977511</v>
      </c>
      <c r="E8" s="33">
        <f>$C$28*'E Balans VL '!I13/100/3.6*1000000</f>
        <v>59.118300479587099</v>
      </c>
      <c r="F8" s="33">
        <f>$C$28*('E Balans VL '!L13+'E Balans VL '!N13)/100/3.6*1000000</f>
        <v>712.54740685244644</v>
      </c>
      <c r="G8" s="34"/>
      <c r="H8" s="33"/>
      <c r="I8" s="33"/>
      <c r="J8" s="33">
        <f>$C$28*('E Balans VL '!D13+'E Balans VL '!E13)/100/3.6*1000000</f>
        <v>0</v>
      </c>
      <c r="K8" s="33"/>
      <c r="L8" s="33"/>
      <c r="M8" s="33"/>
      <c r="N8" s="33">
        <f>$C$28*'E Balans VL '!Y13/100/3.6*1000000</f>
        <v>12.288918616801812</v>
      </c>
      <c r="O8" s="33"/>
      <c r="P8" s="33"/>
      <c r="R8" s="32"/>
    </row>
    <row r="9" spans="1:18">
      <c r="A9" s="32" t="s">
        <v>51</v>
      </c>
      <c r="B9" s="37">
        <f t="shared" si="0"/>
        <v>830.55740765578298</v>
      </c>
      <c r="C9" s="33"/>
      <c r="D9" s="37">
        <f>IF(ISERROR(TER_gezond_gas_kWh/1000),0,TER_gezond_gas_kWh/1000)*0.902</f>
        <v>634.09524800494808</v>
      </c>
      <c r="E9" s="33">
        <f>$C$29*'E Balans VL '!I10/100/3.6*1000000</f>
        <v>0.88725058395080592</v>
      </c>
      <c r="F9" s="33">
        <f>$C$29*('E Balans VL '!L10+'E Balans VL '!N10)/100/3.6*1000000</f>
        <v>135.48915477547348</v>
      </c>
      <c r="G9" s="34"/>
      <c r="H9" s="33"/>
      <c r="I9" s="33"/>
      <c r="J9" s="33">
        <f>$C$29*('E Balans VL '!D10+'E Balans VL '!E10)/100/3.6*1000000</f>
        <v>0</v>
      </c>
      <c r="K9" s="33"/>
      <c r="L9" s="33"/>
      <c r="M9" s="33"/>
      <c r="N9" s="33">
        <f>$C$29*'E Balans VL '!Y10/100/3.6*1000000</f>
        <v>8.5501146052140609</v>
      </c>
      <c r="O9" s="33"/>
      <c r="P9" s="33"/>
      <c r="R9" s="32"/>
    </row>
    <row r="10" spans="1:18">
      <c r="A10" s="32" t="s">
        <v>50</v>
      </c>
      <c r="B10" s="37">
        <f t="shared" si="0"/>
        <v>2588.3660146192401</v>
      </c>
      <c r="C10" s="33"/>
      <c r="D10" s="37">
        <f>IF(ISERROR(TER_ander_gas_kWh/1000),0,TER_ander_gas_kWh/1000)*0.902</f>
        <v>3303.5222364590436</v>
      </c>
      <c r="E10" s="33">
        <f>$C$30*'E Balans VL '!I14/100/3.6*1000000</f>
        <v>11.903501581535815</v>
      </c>
      <c r="F10" s="33">
        <f>$C$30*('E Balans VL '!L14+'E Balans VL '!N14)/100/3.6*1000000</f>
        <v>775.81493898354711</v>
      </c>
      <c r="G10" s="34"/>
      <c r="H10" s="33"/>
      <c r="I10" s="33"/>
      <c r="J10" s="33">
        <f>$C$30*('E Balans VL '!D14+'E Balans VL '!E14)/100/3.6*1000000</f>
        <v>0</v>
      </c>
      <c r="K10" s="33"/>
      <c r="L10" s="33"/>
      <c r="M10" s="33"/>
      <c r="N10" s="33">
        <f>$C$30*'E Balans VL '!Y14/100/3.6*1000000</f>
        <v>1801.6736062052555</v>
      </c>
      <c r="O10" s="33"/>
      <c r="P10" s="33"/>
      <c r="R10" s="32"/>
    </row>
    <row r="11" spans="1:18">
      <c r="A11" s="32" t="s">
        <v>55</v>
      </c>
      <c r="B11" s="37">
        <f t="shared" si="0"/>
        <v>353.65550260200104</v>
      </c>
      <c r="C11" s="33"/>
      <c r="D11" s="37">
        <f>IF(ISERROR(TER_onderwijs_gas_kWh/1000),0,TER_onderwijs_gas_kWh/1000)*0.902</f>
        <v>1648.3813196672961</v>
      </c>
      <c r="E11" s="33">
        <f>$C$31*'E Balans VL '!I11/100/3.6*1000000</f>
        <v>0.32806198746641513</v>
      </c>
      <c r="F11" s="33">
        <f>$C$31*('E Balans VL '!L11+'E Balans VL '!N11)/100/3.6*1000000</f>
        <v>124.23104987674152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2073.6834504343001</v>
      </c>
      <c r="C12" s="33"/>
      <c r="D12" s="37">
        <f>IF(ISERROR(TER_rest_gas_kWh/1000),0,TER_rest_gas_kWh/1000)*0.902</f>
        <v>5076.0092834310217</v>
      </c>
      <c r="E12" s="33">
        <f>$C$32*'E Balans VL '!I8/100/3.6*1000000</f>
        <v>25.152749332015294</v>
      </c>
      <c r="F12" s="33">
        <f>$C$32*('E Balans VL '!L8+'E Balans VL '!N8)/100/3.6*1000000</f>
        <v>410.34328752946499</v>
      </c>
      <c r="G12" s="34"/>
      <c r="H12" s="33"/>
      <c r="I12" s="33"/>
      <c r="J12" s="33">
        <f>$C$32*('E Balans VL '!D8+'E Balans VL '!E8)/100/3.6*1000000</f>
        <v>0</v>
      </c>
      <c r="K12" s="33"/>
      <c r="L12" s="33"/>
      <c r="M12" s="33"/>
      <c r="N12" s="33">
        <f>$C$32*'E Balans VL '!Y8/100/3.6*1000000</f>
        <v>164.60948916032152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14881.489066403514</v>
      </c>
      <c r="C16" s="21">
        <f t="shared" ca="1" si="1"/>
        <v>0</v>
      </c>
      <c r="D16" s="21">
        <f t="shared" ca="1" si="1"/>
        <v>17206.688083391215</v>
      </c>
      <c r="E16" s="21">
        <f t="shared" si="1"/>
        <v>188.75437305852614</v>
      </c>
      <c r="F16" s="21">
        <f t="shared" ca="1" si="1"/>
        <v>3096.3442118570374</v>
      </c>
      <c r="G16" s="21">
        <f t="shared" si="1"/>
        <v>0</v>
      </c>
      <c r="H16" s="21">
        <f t="shared" si="1"/>
        <v>0</v>
      </c>
      <c r="I16" s="21">
        <f t="shared" si="1"/>
        <v>0</v>
      </c>
      <c r="J16" s="21">
        <f t="shared" si="1"/>
        <v>0</v>
      </c>
      <c r="K16" s="21">
        <f t="shared" si="1"/>
        <v>0</v>
      </c>
      <c r="L16" s="21">
        <f t="shared" ca="1" si="1"/>
        <v>0</v>
      </c>
      <c r="M16" s="21">
        <f t="shared" si="1"/>
        <v>0</v>
      </c>
      <c r="N16" s="21">
        <f t="shared" ca="1" si="1"/>
        <v>1989.4625330528916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0.19827761560098647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2950.6661686786388</v>
      </c>
      <c r="C20" s="23">
        <f t="shared" ref="C20:P20" ca="1" si="2">C16*C18</f>
        <v>0</v>
      </c>
      <c r="D20" s="23">
        <f t="shared" ca="1" si="2"/>
        <v>3475.7509928450254</v>
      </c>
      <c r="E20" s="23">
        <f t="shared" si="2"/>
        <v>42.847242684285433</v>
      </c>
      <c r="F20" s="23">
        <f t="shared" ca="1" si="2"/>
        <v>826.723904565829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3556.99336835548</v>
      </c>
      <c r="C26" s="39">
        <f>IF(ISERROR(B26*3.6/1000000/'E Balans VL '!Z12*100),0,B26*3.6/1000000/'E Balans VL '!Z12*100)</f>
        <v>7.5552301049340506E-2</v>
      </c>
      <c r="D26" s="239" t="s">
        <v>692</v>
      </c>
      <c r="F26" s="6"/>
    </row>
    <row r="27" spans="1:18">
      <c r="A27" s="233" t="s">
        <v>53</v>
      </c>
      <c r="B27" s="33">
        <f>IF(ISERROR(TER_horeca_ele_kWh/1000),0,TER_horeca_ele_kWh/1000)</f>
        <v>1376.6104873756601</v>
      </c>
      <c r="C27" s="39">
        <f>IF(ISERROR(B27*3.6/1000000/'E Balans VL '!Z9*100),0,B27*3.6/1000000/'E Balans VL '!Z9*100)</f>
        <v>0.10703984905910849</v>
      </c>
      <c r="D27" s="239" t="s">
        <v>692</v>
      </c>
      <c r="F27" s="6"/>
    </row>
    <row r="28" spans="1:18">
      <c r="A28" s="173" t="s">
        <v>52</v>
      </c>
      <c r="B28" s="33">
        <f>IF(ISERROR(TER_handel_ele_kWh/1000),0,TER_handel_ele_kWh/1000)</f>
        <v>4101.6228353610504</v>
      </c>
      <c r="C28" s="39">
        <f>IF(ISERROR(B28*3.6/1000000/'E Balans VL '!Z13*100),0,B28*3.6/1000000/'E Balans VL '!Z13*100)</f>
        <v>0.11735225644687482</v>
      </c>
      <c r="D28" s="239" t="s">
        <v>692</v>
      </c>
      <c r="F28" s="6"/>
    </row>
    <row r="29" spans="1:18">
      <c r="A29" s="233" t="s">
        <v>51</v>
      </c>
      <c r="B29" s="33">
        <f>IF(ISERROR(TER_gezond_ele_kWh/1000),0,TER_gezond_ele_kWh/1000)</f>
        <v>830.55740765578298</v>
      </c>
      <c r="C29" s="39">
        <f>IF(ISERROR(B29*3.6/1000000/'E Balans VL '!Z10*100),0,B29*3.6/1000000/'E Balans VL '!Z10*100)</f>
        <v>9.0550057273969281E-2</v>
      </c>
      <c r="D29" s="239" t="s">
        <v>692</v>
      </c>
      <c r="F29" s="6"/>
    </row>
    <row r="30" spans="1:18">
      <c r="A30" s="233" t="s">
        <v>50</v>
      </c>
      <c r="B30" s="33">
        <f>IF(ISERROR(TER_ander_ele_kWh/1000),0,TER_ander_ele_kWh/1000)</f>
        <v>2588.3660146192401</v>
      </c>
      <c r="C30" s="39">
        <f>IF(ISERROR(B30*3.6/1000000/'E Balans VL '!Z14*100),0,B30*3.6/1000000/'E Balans VL '!Z14*100)</f>
        <v>0.18941075338071997</v>
      </c>
      <c r="D30" s="239" t="s">
        <v>692</v>
      </c>
      <c r="F30" s="6"/>
    </row>
    <row r="31" spans="1:18">
      <c r="A31" s="233" t="s">
        <v>55</v>
      </c>
      <c r="B31" s="33">
        <f>IF(ISERROR(TER_onderwijs_ele_kWh/1000),0,TER_onderwijs_ele_kWh/1000)</f>
        <v>353.65550260200104</v>
      </c>
      <c r="C31" s="39">
        <f>IF(ISERROR(B31*3.6/1000000/'E Balans VL '!Z11*100),0,B31*3.6/1000000/'E Balans VL '!Z11*100)</f>
        <v>7.1031970314946485E-2</v>
      </c>
      <c r="D31" s="239" t="s">
        <v>692</v>
      </c>
    </row>
    <row r="32" spans="1:18">
      <c r="A32" s="233" t="s">
        <v>260</v>
      </c>
      <c r="B32" s="33">
        <f>IF(ISERROR(TER_rest_ele_kWh/1000),0,TER_rest_ele_kWh/1000)</f>
        <v>2073.6834504343001</v>
      </c>
      <c r="C32" s="39">
        <f>IF(ISERROR(B32*3.6/1000000/'E Balans VL '!Z8*100),0,B32*3.6/1000000/'E Balans VL '!Z8*100)</f>
        <v>1.6899261666494535E-2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10898.64976607158</v>
      </c>
      <c r="C5" s="17">
        <f>IF(ISERROR('Eigen informatie GS &amp; warmtenet'!B59),0,'Eigen informatie GS &amp; warmtenet'!B59)</f>
        <v>0</v>
      </c>
      <c r="D5" s="30">
        <f>SUM(D6:D15)</f>
        <v>11697.644535584774</v>
      </c>
      <c r="E5" s="17">
        <f>SUM(E6:E15)</f>
        <v>1233.5922197664322</v>
      </c>
      <c r="F5" s="17">
        <f>SUM(F6:F15)</f>
        <v>8040.4615302107923</v>
      </c>
      <c r="G5" s="18"/>
      <c r="H5" s="17"/>
      <c r="I5" s="17"/>
      <c r="J5" s="17">
        <f>SUM(J6:J15)</f>
        <v>11.462877516304513</v>
      </c>
      <c r="K5" s="17"/>
      <c r="L5" s="17"/>
      <c r="M5" s="17"/>
      <c r="N5" s="17">
        <f>SUM(N6:N15)</f>
        <v>2739.3649154595614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417.198188517208</v>
      </c>
      <c r="C8" s="33"/>
      <c r="D8" s="37">
        <f>IF( ISERROR(IND_metaal_Gas_kWH/1000),0,IND_metaal_Gas_kWH/1000)*0.902</f>
        <v>0</v>
      </c>
      <c r="E8" s="33">
        <f>C30*'E Balans VL '!I18/100/3.6*1000000</f>
        <v>11.983497944102981</v>
      </c>
      <c r="F8" s="33">
        <f>C30*'E Balans VL '!L18/100/3.6*1000000+C30*'E Balans VL '!N18/100/3.6*1000000</f>
        <v>107.00331148037739</v>
      </c>
      <c r="G8" s="34"/>
      <c r="H8" s="33"/>
      <c r="I8" s="33"/>
      <c r="J8" s="40">
        <f>C30*'E Balans VL '!D18/100/3.6*1000000+C30*'E Balans VL '!E18/100/3.6*1000000</f>
        <v>0</v>
      </c>
      <c r="K8" s="33"/>
      <c r="L8" s="33"/>
      <c r="M8" s="33"/>
      <c r="N8" s="33">
        <f>C30*'E Balans VL '!Y18/100/3.6*1000000</f>
        <v>11.327782440400847</v>
      </c>
      <c r="O8" s="33"/>
      <c r="P8" s="33"/>
      <c r="R8" s="32"/>
    </row>
    <row r="9" spans="1:18">
      <c r="A9" s="6" t="s">
        <v>33</v>
      </c>
      <c r="B9" s="37">
        <f t="shared" si="0"/>
        <v>2546.2272528500102</v>
      </c>
      <c r="C9" s="33"/>
      <c r="D9" s="37">
        <f>IF( ISERROR(IND_andere_gas_kWh/1000),0,IND_andere_gas_kWh/1000)*0.902</f>
        <v>1056.7373460362583</v>
      </c>
      <c r="E9" s="33">
        <f>C31*'E Balans VL '!I19/100/3.6*1000000</f>
        <v>689.20111315404779</v>
      </c>
      <c r="F9" s="33">
        <f>C31*'E Balans VL '!L19/100/3.6*1000000+C31*'E Balans VL '!N19/100/3.6*1000000</f>
        <v>1696.0567975263364</v>
      </c>
      <c r="G9" s="34"/>
      <c r="H9" s="33"/>
      <c r="I9" s="33"/>
      <c r="J9" s="40">
        <f>C31*'E Balans VL '!D19/100/3.6*1000000+C31*'E Balans VL '!E19/100/3.6*1000000</f>
        <v>0</v>
      </c>
      <c r="K9" s="33"/>
      <c r="L9" s="33"/>
      <c r="M9" s="33"/>
      <c r="N9" s="33">
        <f>C31*'E Balans VL '!Y19/100/3.6*1000000</f>
        <v>831.30090159981648</v>
      </c>
      <c r="O9" s="33"/>
      <c r="P9" s="33"/>
      <c r="R9" s="32"/>
    </row>
    <row r="10" spans="1:18">
      <c r="A10" s="6" t="s">
        <v>41</v>
      </c>
      <c r="B10" s="37">
        <f t="shared" si="0"/>
        <v>3480.8544775575801</v>
      </c>
      <c r="C10" s="33"/>
      <c r="D10" s="37">
        <f>IF( ISERROR(IND_voed_gas_kWh/1000),0,IND_voed_gas_kWh/1000)*0.902</f>
        <v>3553.1536326211103</v>
      </c>
      <c r="E10" s="33">
        <f>C32*'E Balans VL '!I20/100/3.6*1000000</f>
        <v>283.90648824466433</v>
      </c>
      <c r="F10" s="33">
        <f>C32*'E Balans VL '!L20/100/3.6*1000000+C32*'E Balans VL '!N20/100/3.6*1000000</f>
        <v>5190.2698368283063</v>
      </c>
      <c r="G10" s="34"/>
      <c r="H10" s="33"/>
      <c r="I10" s="33"/>
      <c r="J10" s="40">
        <f>C32*'E Balans VL '!D20/100/3.6*1000000+C32*'E Balans VL '!E20/100/3.6*1000000</f>
        <v>4.6047479547562935E-2</v>
      </c>
      <c r="K10" s="33"/>
      <c r="L10" s="33"/>
      <c r="M10" s="33"/>
      <c r="N10" s="33">
        <f>C32*'E Balans VL '!Y20/100/3.6*1000000</f>
        <v>1022.552219395981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4454.3698471467806</v>
      </c>
      <c r="C15" s="33"/>
      <c r="D15" s="37">
        <f>IF( ISERROR(IND_rest_gas_kWh/1000),0,IND_rest_gas_kWh/1000)*0.902</f>
        <v>7087.753556927405</v>
      </c>
      <c r="E15" s="33">
        <f>C37*'E Balans VL '!I15/100/3.6*1000000</f>
        <v>248.50112042361712</v>
      </c>
      <c r="F15" s="33">
        <f>C37*'E Balans VL '!L15/100/3.6*1000000+C37*'E Balans VL '!N15/100/3.6*1000000</f>
        <v>1047.1315843757725</v>
      </c>
      <c r="G15" s="34"/>
      <c r="H15" s="33"/>
      <c r="I15" s="33"/>
      <c r="J15" s="40">
        <f>C37*'E Balans VL '!D15/100/3.6*1000000+C37*'E Balans VL '!E15/100/3.6*1000000</f>
        <v>11.41683003675695</v>
      </c>
      <c r="K15" s="33"/>
      <c r="L15" s="33"/>
      <c r="M15" s="33"/>
      <c r="N15" s="33">
        <f>C37*'E Balans VL '!Y15/100/3.6*1000000</f>
        <v>874.18401202336304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10898.64976607158</v>
      </c>
      <c r="C18" s="21">
        <f>C5+C16</f>
        <v>0</v>
      </c>
      <c r="D18" s="21">
        <f>MAX((D5+D16),0)</f>
        <v>11697.644535584774</v>
      </c>
      <c r="E18" s="21">
        <f>MAX((E5+E16),0)</f>
        <v>1233.5922197664322</v>
      </c>
      <c r="F18" s="21">
        <f>MAX((F5+F16),0)</f>
        <v>8040.4615302107923</v>
      </c>
      <c r="G18" s="21"/>
      <c r="H18" s="21"/>
      <c r="I18" s="21"/>
      <c r="J18" s="21">
        <f>MAX((J5+J16),0)</f>
        <v>11.462877516304513</v>
      </c>
      <c r="K18" s="21"/>
      <c r="L18" s="21">
        <f>MAX((L5+L16),0)</f>
        <v>0</v>
      </c>
      <c r="M18" s="21"/>
      <c r="N18" s="21">
        <f>MAX((N5+N16),0)</f>
        <v>2739.3649154595614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0.19827761560098647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2160.9582888869218</v>
      </c>
      <c r="C22" s="23">
        <f ca="1">C18*C20</f>
        <v>0</v>
      </c>
      <c r="D22" s="23">
        <f>D18*D20</f>
        <v>2362.9241961881244</v>
      </c>
      <c r="E22" s="23">
        <f>E18*E20</f>
        <v>280.02543388698012</v>
      </c>
      <c r="F22" s="23">
        <f>F18*F20</f>
        <v>2146.8032285662816</v>
      </c>
      <c r="G22" s="23"/>
      <c r="H22" s="23"/>
      <c r="I22" s="23"/>
      <c r="J22" s="23">
        <f>J18*J20</f>
        <v>4.0578586407717969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417.198188517208</v>
      </c>
      <c r="C30" s="39">
        <f>IF(ISERROR(B30*3.6/1000000/'E Balans VL '!Z18*100),0,B30*3.6/1000000/'E Balans VL '!Z18*100)</f>
        <v>4.1051236756566481E-2</v>
      </c>
      <c r="D30" s="239" t="s">
        <v>692</v>
      </c>
    </row>
    <row r="31" spans="1:18">
      <c r="A31" s="6" t="s">
        <v>33</v>
      </c>
      <c r="B31" s="37">
        <f>IF( ISERROR(IND_ander_ele_kWh/1000),0,IND_ander_ele_kWh/1000)</f>
        <v>2546.2272528500102</v>
      </c>
      <c r="C31" s="39">
        <f>IF(ISERROR(B31*3.6/1000000/'E Balans VL '!Z19*100),0,B31*3.6/1000000/'E Balans VL '!Z19*100)</f>
        <v>0.11088616575614606</v>
      </c>
      <c r="D31" s="239" t="s">
        <v>692</v>
      </c>
    </row>
    <row r="32" spans="1:18">
      <c r="A32" s="173" t="s">
        <v>41</v>
      </c>
      <c r="B32" s="37">
        <f>IF( ISERROR(IND_voed_ele_kWh/1000),0,IND_voed_ele_kWh/1000)</f>
        <v>3480.8544775575801</v>
      </c>
      <c r="C32" s="39">
        <f>IF(ISERROR(B32*3.6/1000000/'E Balans VL '!Z20*100),0,B32*3.6/1000000/'E Balans VL '!Z20*100)</f>
        <v>0.66044193773394433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4454.3698471467806</v>
      </c>
      <c r="C37" s="39">
        <f>IF(ISERROR(B37*3.6/1000000/'E Balans VL '!Z15*100),0,B37*3.6/1000000/'E Balans VL '!Z15*100)</f>
        <v>3.4326390766186876E-2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3028.3044635346237</v>
      </c>
      <c r="C5" s="17">
        <f>'Eigen informatie GS &amp; warmtenet'!B60</f>
        <v>0</v>
      </c>
      <c r="D5" s="30">
        <f>IF(ISERROR(SUM(LB_lb_gas_kWh,LB_rest_gas_kWh,onbekend_gas_kWh)/1000),0,SUM(LB_lb_gas_kWh,LB_rest_gas_kWh,onbekend_gas_kWh)/1000)*0.902</f>
        <v>7617.3918014202354</v>
      </c>
      <c r="E5" s="17">
        <f>B17*'E Balans VL '!I25/3.6*1000000/100</f>
        <v>38.160537489889549</v>
      </c>
      <c r="F5" s="17">
        <f>B17*('E Balans VL '!L25/3.6*1000000+'E Balans VL '!N25/3.6*1000000)/100</f>
        <v>10448.409034792903</v>
      </c>
      <c r="G5" s="18"/>
      <c r="H5" s="17"/>
      <c r="I5" s="17"/>
      <c r="J5" s="17">
        <f>('E Balans VL '!D25+'E Balans VL '!E25)/3.6*1000000*landbouw!B17/100</f>
        <v>455.42256676542138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3028.3044635346237</v>
      </c>
      <c r="C8" s="21">
        <f>C5+C6</f>
        <v>0</v>
      </c>
      <c r="D8" s="21">
        <f>MAX((D5+D6),0)</f>
        <v>7617.3918014202354</v>
      </c>
      <c r="E8" s="21">
        <f>MAX((E5+E6),0)</f>
        <v>38.160537489889549</v>
      </c>
      <c r="F8" s="21">
        <f>MAX((F5+F6),0)</f>
        <v>10448.409034792903</v>
      </c>
      <c r="G8" s="21"/>
      <c r="H8" s="21"/>
      <c r="I8" s="21"/>
      <c r="J8" s="21">
        <f>MAX((J5+J6),0)</f>
        <v>455.42256676542138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0.19827761560098647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600.44498834346962</v>
      </c>
      <c r="C12" s="23">
        <f ca="1">C8*C10</f>
        <v>0</v>
      </c>
      <c r="D12" s="23">
        <f>D8*D10</f>
        <v>1538.7131438868876</v>
      </c>
      <c r="E12" s="23">
        <f>E8*E10</f>
        <v>8.6624420102049271</v>
      </c>
      <c r="F12" s="23">
        <f>F8*F10</f>
        <v>2789.7252122897053</v>
      </c>
      <c r="G12" s="23"/>
      <c r="H12" s="23"/>
      <c r="I12" s="23"/>
      <c r="J12" s="23">
        <f>J8*J10</f>
        <v>161.21958863495917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0.42235302604671232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491.80138775308251</v>
      </c>
      <c r="C26" s="249">
        <f>B26*'GWP N2O_CH4'!B5</f>
        <v>10327.829142814733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243.20198891277866</v>
      </c>
      <c r="C27" s="249">
        <f>B27*'GWP N2O_CH4'!B5</f>
        <v>5107.2417671683515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8.0347078472057643</v>
      </c>
      <c r="C28" s="249">
        <f>B28*'GWP N2O_CH4'!B4</f>
        <v>2490.7594326337871</v>
      </c>
      <c r="D28" s="50"/>
    </row>
    <row r="29" spans="1:4">
      <c r="A29" s="41" t="s">
        <v>277</v>
      </c>
      <c r="B29" s="249">
        <f>B34*'ha_N2O bodem landbouw'!B4</f>
        <v>18.102180809106926</v>
      </c>
      <c r="C29" s="249">
        <f>B29*'GWP N2O_CH4'!B4</f>
        <v>5611.6760508231473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4.5199336659948984E-3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2.2959317786471551E-5</v>
      </c>
      <c r="C5" s="448" t="s">
        <v>211</v>
      </c>
      <c r="D5" s="433">
        <f>SUM(D6:D11)</f>
        <v>3.4564438203647281E-5</v>
      </c>
      <c r="E5" s="433">
        <f>SUM(E6:E11)</f>
        <v>1.2126920104581355E-3</v>
      </c>
      <c r="F5" s="446" t="s">
        <v>211</v>
      </c>
      <c r="G5" s="433">
        <f>SUM(G6:G11)</f>
        <v>0.34326383622928935</v>
      </c>
      <c r="H5" s="433">
        <f>SUM(H6:H11)</f>
        <v>5.3422449464910836E-2</v>
      </c>
      <c r="I5" s="448" t="s">
        <v>211</v>
      </c>
      <c r="J5" s="448" t="s">
        <v>211</v>
      </c>
      <c r="K5" s="448" t="s">
        <v>211</v>
      </c>
      <c r="L5" s="448" t="s">
        <v>211</v>
      </c>
      <c r="M5" s="433">
        <f>SUM(M6:M11)</f>
        <v>1.7772126083895227E-2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1.0122916798529023E-5</v>
      </c>
      <c r="C6" s="949"/>
      <c r="D6" s="949">
        <f>vkm_2011_GW_PW*SUMIFS(TableVerdeelsleutelVkm[CNG],TableVerdeelsleutelVkm[Voertuigtype],"Lichte voertuigen")*SUMIFS(TableECFTransport[EnergieConsumptieFactor (PJ per km)],TableECFTransport[Index],CONCATENATE($A6,"_CNG_CNG"))</f>
        <v>1.4336030033004541E-5</v>
      </c>
      <c r="E6" s="949">
        <f>vkm_2011_GW_PW*SUMIFS(TableVerdeelsleutelVkm[LPG],TableVerdeelsleutelVkm[Voertuigtype],"Lichte voertuigen")*SUMIFS(TableECFTransport[EnergieConsumptieFactor (PJ per km)],TableECFTransport[Index],CONCATENATE($A6,"_LPG_LPG"))</f>
        <v>4.5024750787983414E-4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8.0921805860932991E-2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2.1744425419019546E-2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4.5814222387194721E-3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5.9119856848461924E-2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2.1063545567867516E-5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2.6678331648182048E-3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1.1942653559679528E-6</v>
      </c>
      <c r="C8" s="949"/>
      <c r="D8" s="436">
        <f>vkm_2011_NGW_PW*SUMIFS(TableVerdeelsleutelVkm[CNG],TableVerdeelsleutelVkm[Voertuigtype],"Lichte voertuigen")*SUMIFS(TableECFTransport[EnergieConsumptieFactor (PJ per km)],TableECFTransport[Index],CONCATENATE($A8,"_CNG_CNG"))</f>
        <v>3.0131035169440843E-6</v>
      </c>
      <c r="E8" s="436">
        <f>vkm_2011_NGW_PW*SUMIFS(TableVerdeelsleutelVkm[LPG],TableVerdeelsleutelVkm[Voertuigtype],"Lichte voertuigen")*SUMIFS(TableECFTransport[EnergieConsumptieFactor (PJ per km)],TableECFTransport[Index],CONCATENATE($A8,"_LPG_LPG"))</f>
        <v>8.7162309813645418E-5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1.4774856726034536E-2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4.4097719264029576E-3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8.5530776092182287E-4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1.7596931908830909E-3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5.9328006818386556E-7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7.9406190586707662E-5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1.1642135631974572E-5</v>
      </c>
      <c r="C10" s="949"/>
      <c r="D10" s="436">
        <f>vkm_2011_SW_PW*SUMIFS(TableVerdeelsleutelVkm[CNG],TableVerdeelsleutelVkm[Voertuigtype],"Lichte voertuigen")*SUMIFS(TableECFTransport[EnergieConsumptieFactor (PJ per km)],TableECFTransport[Index],CONCATENATE($A10,"_CNG_CNG"))</f>
        <v>1.7215304653698658E-5</v>
      </c>
      <c r="E10" s="436">
        <f>vkm_2011_SW_PW*SUMIFS(TableVerdeelsleutelVkm[LPG],TableVerdeelsleutelVkm[Voertuigtype],"Lichte voertuigen")*SUMIFS(TableECFTransport[EnergieConsumptieFactor (PJ per km)],TableECFTransport[Index],CONCATENATE($A10,"_LPG_LPG"))</f>
        <v>6.7528219276465594E-4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0.10991608890228179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2.7217098300415785E-2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6.1236849708872325E-3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7.6771534700695004E-2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2.9496993436494478E-5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3.4644717579617864E-3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6.3775882740198755</v>
      </c>
      <c r="C14" s="21"/>
      <c r="D14" s="21">
        <f t="shared" ref="D14:M14" si="0">((D5)*10^9/3600)+D12</f>
        <v>9.601232834346467</v>
      </c>
      <c r="E14" s="21">
        <f t="shared" si="0"/>
        <v>336.85889179392655</v>
      </c>
      <c r="F14" s="21"/>
      <c r="G14" s="21">
        <f t="shared" si="0"/>
        <v>95351.065619247049</v>
      </c>
      <c r="H14" s="21">
        <f t="shared" si="0"/>
        <v>14839.569295808566</v>
      </c>
      <c r="I14" s="21"/>
      <c r="J14" s="21"/>
      <c r="K14" s="21"/>
      <c r="L14" s="21"/>
      <c r="M14" s="21">
        <f t="shared" si="0"/>
        <v>4936.701689970896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0.19827761560098647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1.2645329962574716</v>
      </c>
      <c r="C18" s="23"/>
      <c r="D18" s="23">
        <f t="shared" ref="D18:M18" si="1">D14*D16</f>
        <v>1.9394490325379865</v>
      </c>
      <c r="E18" s="23">
        <f t="shared" si="1"/>
        <v>76.466968437221325</v>
      </c>
      <c r="F18" s="23"/>
      <c r="G18" s="23">
        <f t="shared" si="1"/>
        <v>25458.734520338963</v>
      </c>
      <c r="H18" s="23">
        <f t="shared" si="1"/>
        <v>3695.052754656333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1.0294784581233571E-3</v>
      </c>
      <c r="H50" s="323">
        <f t="shared" si="2"/>
        <v>0</v>
      </c>
      <c r="I50" s="323">
        <f t="shared" si="2"/>
        <v>0</v>
      </c>
      <c r="J50" s="323">
        <f t="shared" si="2"/>
        <v>0</v>
      </c>
      <c r="K50" s="323">
        <f t="shared" si="2"/>
        <v>0</v>
      </c>
      <c r="L50" s="323">
        <f t="shared" si="2"/>
        <v>0</v>
      </c>
      <c r="M50" s="323">
        <f t="shared" si="2"/>
        <v>4.5783425050967607E-5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1.0294784581233571E-3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4.5783425050967607E-5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285.9662383675992</v>
      </c>
      <c r="H54" s="21">
        <f t="shared" si="3"/>
        <v>0</v>
      </c>
      <c r="I54" s="21">
        <f t="shared" si="3"/>
        <v>0</v>
      </c>
      <c r="J54" s="21">
        <f t="shared" si="3"/>
        <v>0</v>
      </c>
      <c r="K54" s="21">
        <f t="shared" si="3"/>
        <v>0</v>
      </c>
      <c r="L54" s="21">
        <f t="shared" si="3"/>
        <v>0</v>
      </c>
      <c r="M54" s="21">
        <f t="shared" si="3"/>
        <v>12.717618069713224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0.19827761560098647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76.352985644148987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6182.8395906784608</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6182.8395906784608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2018-06-27T09:30:52Z</dcterms:modified>
</cp:coreProperties>
</file>