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K41" i="14"/>
  <c r="K53" s="1"/>
  <c r="K55"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<sst xmlns="http://schemas.openxmlformats.org/spreadsheetml/2006/main" count="1961" uniqueCount="840">
  <si>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</si>
  <si>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</si>
  <si>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</si>
  <si>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</si>
  <si>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</si>
  <si>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</si>
  <si>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</si>
  <si>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</si>
  <si>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</si>
  <si>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</si>
  <si>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</si>
  <si>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</si>
  <si>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</si>
  <si>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</si>
  <si>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</si>
  <si>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</si>
  <si>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</si>
  <si>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</si>
  <si>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</si>
  <si>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</si>
  <si>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</si>
  <si>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</si>
  <si>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</si>
  <si>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</si>
  <si>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</si>
  <si>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</si>
  <si>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</si>
  <si>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</si>
  <si>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</si>
  <si>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</si>
  <si>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</si>
  <si>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</si>
  <si>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</si>
  <si>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</si>
  <si>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</si>
  <si>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</si>
  <si>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</si>
  <si>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</si>
  <si>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</si>
  <si>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</si>
  <si>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</si>
  <si>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</si>
  <si>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</si>
  <si>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</si>
  <si>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</si>
  <si>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</si>
  <si>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</si>
  <si>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</si>
  <si>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</si>
  <si>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</si>
  <si>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</si>
  <si>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</si>
  <si>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</si>
  <si>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</si>
  <si>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</si>
  <si>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</si>
  <si>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</si>
  <si>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</si>
  <si>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</si>
  <si>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</si>
  <si>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</si>
  <si>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</si>
  <si>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</si>
  <si>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</si>
  <si>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</si>
  <si>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</si>
  <si>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</si>
  <si>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</si>
  <si>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</si>
  <si>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</si>
  <si>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</si>
  <si>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</si>
  <si>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</si>
  <si>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</si>
  <si>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</si>
  <si>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</si>
  <si>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</si>
  <si>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</si>
  <si>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</si>
  <si>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</si>
  <si>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</si>
  <si>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</si>
  <si>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</si>
  <si>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</si>
  <si>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</si>
  <si>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</si>
  <si>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</si>
  <si>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</si>
  <si>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</si>
  <si>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</si>
  <si>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</si>
  <si>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</si>
  <si>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</si>
  <si>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</si>
  <si>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</si>
  <si>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</si>
  <si>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</si>
  <si>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</si>
  <si>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</si>
  <si>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</si>
  <si>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</si>
  <si>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</si>
  <si>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</si>
  <si>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</si>
  <si>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</si>
  <si>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</si>
  <si>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</si>
  <si>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</si>
  <si>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</si>
  <si>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</si>
  <si>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</si>
  <si>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</si>
  <si>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</si>
  <si>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</si>
  <si>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</si>
  <si>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</si>
  <si>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</si>
  <si>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</si>
  <si>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</si>
  <si>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</si>
  <si>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</si>
  <si>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</si>
  <si>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</si>
  <si>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</si>
  <si>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</si>
  <si>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</si>
  <si>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</si>
  <si>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</si>
  <si>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</si>
  <si>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</si>
  <si>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</si>
  <si>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</si>
  <si>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</si>
  <si>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</si>
  <si>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</si>
  <si>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</si>
  <si>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</si>
  <si>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</si>
  <si>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</si>
  <si>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</si>
  <si>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</si>
  <si>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</si>
  <si>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</si>
  <si>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</si>
  <si>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</si>
  <si>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</si>
  <si>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</si>
  <si>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</si>
  <si>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</si>
  <si>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</si>
  <si>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</si>
  <si>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</si>
  <si>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</si>
  <si>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</si>
  <si>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</si>
  <si>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</si>
  <si>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</si>
  <si>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</si>
  <si>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</si>
  <si>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</si>
  <si>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</si>
  <si>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</si>
  <si>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</si>
  <si>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</si>
  <si>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</si>
  <si>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</si>
  <si>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</si>
  <si>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</si>
  <si>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</si>
  <si>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</si>
  <si>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</si>
  <si>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</si>
  <si>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</si>
  <si>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</si>
  <si>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</si>
  <si>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</si>
  <si>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</si>
  <si>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</si>
  <si>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</si>
  <si>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</si>
  <si>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</si>
  <si>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</si>
  <si>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</si>
  <si>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</si>
  <si>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</si>
  <si>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</si>
  <si>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</si>
  <si>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</si>
  <si>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</si>
  <si>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</si>
  <si>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</si>
  <si>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</si>
  <si>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</si>
  <si>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</si>
  <si>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</si>
  <si>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</si>
  <si>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</si>
  <si>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</si>
  <si>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</si>
  <si>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</si>
  <si>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</si>
  <si>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</si>
  <si>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</si>
  <si>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</si>
  <si>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</si>
  <si>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</si>
  <si>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</si>
  <si>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</si>
  <si>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</si>
  <si>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</si>
  <si>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</si>
  <si>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</si>
  <si>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</si>
  <si>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</si>
  <si>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</si>
  <si>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</si>
  <si>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</si>
  <si>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</si>
  <si>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</si>
  <si>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</si>
  <si>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</si>
  <si>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</si>
  <si>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</si>
  <si>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</si>
  <si>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</si>
  <si>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</si>
  <si>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</si>
  <si>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</si>
  <si>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</si>
  <si>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</si>
  <si>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</si>
  <si>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</si>
  <si>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</si>
  <si>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</si>
  <si>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</si>
  <si>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</si>
  <si>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</si>
  <si>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</si>
  <si>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</si>
  <si>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</si>
  <si>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</si>
  <si>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</si>
  <si>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</si>
  <si>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</si>
  <si>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</si>
  <si>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</si>
  <si>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</si>
  <si>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</si>
  <si>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</si>
  <si>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</si>
  <si>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</si>
  <si>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</si>
  <si>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</si>
  <si>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</si>
  <si>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</si>
  <si>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</si>
  <si>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</si>
  <si>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</si>
  <si>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</si>
  <si>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</si>
  <si>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</si>
  <si>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</si>
  <si>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</si>
  <si>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</si>
  <si>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</si>
  <si>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</si>
  <si>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</si>
  <si>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</si>
  <si>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</si>
  <si>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</si>
  <si>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</si>
  <si>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</si>
  <si>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</si>
  <si>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</si>
  <si>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</si>
  <si>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</si>
  <si>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</si>
  <si>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</si>
  <si>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</si>
  <si>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</si>
  <si>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</si>
  <si>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</si>
  <si>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</si>
  <si>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</si>
  <si>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</si>
  <si>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</si>
  <si>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</si>
  <si>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</si>
  <si>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</si>
  <si>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</si>
  <si>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</si>
  <si>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</si>
  <si>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</si>
  <si>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</si>
  <si>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</si>
  <si>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</si>
  <si>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</si>
  <si>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</si>
  <si>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</si>
  <si>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</si>
  <si>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</si>
  <si>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</si>
  <si>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</si>
  <si>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</si>
  <si>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</si>
  <si>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</si>
  <si>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</si>
  <si>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</si>
  <si>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</si>
  <si>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</si>
  <si>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</si>
  <si>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</si>
  <si>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</si>
  <si>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</si>
  <si>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</si>
  <si>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</si>
  <si>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</si>
  <si>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</si>
  <si>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</si>
  <si>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</si>
  <si>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</si>
  <si>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</si>
  <si>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</si>
  <si>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</si>
  <si>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</si>
  <si>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</si>
  <si>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</si>
  <si>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</si>
  <si>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</si>
  <si>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</si>
  <si>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</si>
  <si>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</si>
  <si>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</si>
  <si>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</si>
  <si>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</si>
  <si>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</si>
  <si>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</si>
  <si>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</si>
  <si>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</si>
  <si>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</si>
  <si>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</si>
  <si>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</si>
  <si>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</si>
  <si>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</si>
  <si>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</si>
  <si>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</si>
  <si>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</si>
  <si>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</si>
  <si>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</si>
  <si>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</si>
  <si>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</si>
  <si>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</si>
  <si>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</si>
  <si>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</si>
  <si>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</si>
  <si>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</si>
  <si>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</si>
  <si>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</si>
  <si>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</si>
  <si>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</si>
  <si>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</si>
  <si>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</si>
  <si>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</si>
  <si>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</si>
  <si>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</si>
  <si>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</si>
  <si>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</si>
  <si>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</si>
  <si>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</si>
  <si>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</si>
  <si>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</si>
  <si>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</si>
  <si>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</si>
  <si>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</si>
  <si>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</si>
  <si>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</si>
  <si>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</si>
  <si>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</si>
  <si>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</si>
  <si>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</si>
  <si>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</si>
  <si>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</si>
  <si>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</si>
  <si>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</si>
  <si>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</si>
  <si>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</si>
  <si>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</si>
  <si>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</si>
  <si>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</si>
  <si>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</si>
  <si>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</si>
  <si>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</si>
  <si>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</si>
  <si>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</si>
  <si>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</si>
  <si>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</si>
  <si>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</si>
  <si>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</si>
  <si>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</si>
  <si>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</si>
  <si>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</si>
  <si>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</si>
  <si>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</si>
  <si>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</si>
  <si>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</si>
  <si>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</si>
  <si>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</si>
  <si>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</si>
  <si>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</si>
  <si>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</si>
  <si>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</si>
  <si>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</si>
  <si>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</si>
  <si>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</si>
  <si>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</si>
  <si>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</si>
  <si>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</si>
  <si>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</si>
  <si>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</si>
  <si>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</si>
  <si>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</si>
  <si>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</si>
  <si>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</si>
  <si>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</si>
  <si>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</si>
  <si>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</si>
  <si>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</si>
  <si>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</si>
  <si>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</si>
  <si>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</si>
  <si>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</si>
  <si>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</si>
  <si>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</si>
  <si>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</si>
  <si>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</si>
  <si>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</si>
  <si>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</si>
  <si>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</si>
  <si>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</si>
  <si>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</si>
  <si>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</si>
  <si>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</si>
  <si>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</si>
  <si>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</si>
  <si>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</si>
  <si>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</si>
  <si>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</si>
  <si>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</si>
  <si>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</si>
  <si>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</si>
  <si>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</si>
  <si>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</si>
  <si>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</si>
  <si>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</si>
  <si>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</si>
  <si>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</si>
  <si>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</si>
  <si>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</si>
  <si>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</si>
  <si>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</si>
  <si>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</si>
  <si>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</si>
  <si>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</si>
  <si>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</si>
  <si>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</si>
  <si>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</si>
  <si>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</si>
  <si>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</si>
  <si>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</si>
  <si>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</si>
  <si>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</si>
  <si>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</si>
  <si>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</si>
  <si>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</si>
  <si>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</si>
  <si>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</si>
  <si>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</si>
  <si>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</si>
  <si>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</si>
  <si>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</si>
  <si>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</si>
  <si>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</si>
  <si>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</si>
  <si>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</si>
  <si>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</si>
  <si>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</si>
  <si>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</si>
  <si>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</si>
  <si>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</si>
  <si>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</si>
  <si>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</si>
  <si>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</si>
  <si>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</si>
  <si>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</si>
  <si>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</si>
  <si>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</si>
  <si>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</si>
  <si>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</si>
  <si>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</si>
  <si>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</si>
  <si>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</si>
  <si>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</si>
  <si>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</si>
  <si>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</si>
  <si>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</si>
  <si>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</si>
  <si>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</si>
  <si>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</si>
  <si>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</si>
  <si>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</si>
  <si>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</si>
  <si>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</si>
  <si>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</si>
  <si>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</si>
  <si>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</si>
  <si>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</si>
  <si>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</si>
  <si>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</si>
  <si>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</si>
  <si>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</si>
  <si>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</si>
  <si>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</si>
  <si>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</si>
  <si>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</si>
  <si>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</si>
  <si>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</si>
  <si>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</si>
  <si>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</si>
  <si>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</si>
  <si>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</si>
  <si>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</si>
  <si>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</si>
  <si>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</si>
  <si>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</si>
  <si>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</si>
  <si>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</si>
  <si>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</si>
  <si>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</si>
  <si>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</si>
  <si>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</si>
  <si>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</si>
  <si>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</si>
  <si>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</si>
  <si>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</si>
  <si>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</si>
  <si>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</si>
  <si>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</si>
  <si>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</si>
  <si>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</si>
  <si>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</si>
  <si>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</si>
  <si>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</si>
  <si>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</si>
  <si>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</si>
  <si>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</si>
  <si>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</si>
  <si>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</si>
  <si>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</si>
  <si>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</si>
  <si>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</si>
  <si>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</si>
  <si>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</si>
  <si>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</si>
  <si>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</si>
  <si>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</si>
  <si>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</si>
  <si>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</si>
  <si>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</si>
  <si>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</si>
  <si>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</si>
  <si>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</si>
  <si>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</si>
  <si>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</si>
  <si>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</si>
  <si>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</si>
  <si>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</si>
  <si>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</si>
  <si>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</si>
  <si>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</si>
  <si>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</si>
  <si>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</si>
  <si>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</si>
  <si>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</si>
  <si>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</si>
  <si>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</si>
  <si>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</si>
  <si>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</si>
  <si>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</si>
  <si>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</si>
  <si>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</si>
  <si>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</si>
  <si>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</si>
  <si>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</si>
  <si>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</si>
  <si>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</si>
  <si>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</si>
  <si>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</si>
  <si>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</si>
  <si>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</si>
  <si>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</si>
  <si>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</si>
  <si>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</si>
  <si>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</si>
  <si>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</si>
  <si>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</si>
  <si>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</si>
  <si>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</si>
  <si>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</si>
  <si>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</si>
  <si>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</si>
  <si>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</si>
  <si>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</si>
  <si>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</si>
  <si>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</si>
  <si>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</si>
  <si>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</si>
  <si>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</si>
  <si>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</si>
  <si>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</si>
  <si>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</si>
  <si>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</si>
  <si>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</si>
  <si>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</si>
  <si>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</si>
  <si>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</si>
  <si>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</si>
  <si>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</si>
  <si>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</si>
  <si>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</si>
  <si>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</si>
  <si>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</si>
  <si>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</si>
  <si>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</si>
  <si>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</si>
  <si>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</si>
  <si>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</si>
  <si>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</si>
  <si>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</si>
  <si>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</si>
  <si>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</si>
  <si>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</si>
  <si>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</si>
  <si>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</si>
  <si>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</si>
  <si>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</si>
  <si>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</si>
  <si>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</si>
  <si>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</si>
  <si>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</si>
  <si>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</si>
  <si>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</si>
  <si>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</si>
  <si>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</si>
  <si>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</si>
  <si>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</si>
  <si>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</si>
  <si>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</si>
  <si>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</si>
  <si>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</si>
  <si>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</si>
  <si>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</si>
  <si>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</si>
  <si>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</si>
  <si>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</si>
  <si>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</si>
  <si>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</si>
  <si>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</si>
  <si>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</si>
  <si>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</si>
  <si>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</si>
  <si>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</si>
  <si>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</si>
  <si>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</si>
  <si>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</si>
  <si>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</si>
  <si>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</si>
  <si>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</si>
  <si>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</si>
  <si>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</si>
  <si>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</si>
  <si>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</si>
  <si>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</si>
  <si>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</si>
  <si>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</si>
  <si>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</si>
  <si>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</si>
  <si>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</si>
  <si>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</si>
  <si>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</si>
  <si>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</si>
  <si>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</si>
  <si>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</si>
  <si>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</si>
  <si>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</si>
  <si>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</si>
  <si>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</si>
  <si>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</si>
  <si>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</si>
  <si>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</si>
  <si>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</si>
  <si>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</si>
  <si>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</si>
  <si>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</si>
  <si>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</si>
  <si>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</si>
  <si>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</si>
  <si>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</si>
  <si>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</si>
  <si>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</si>
  <si>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</si>
  <si>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</si>
  <si>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</si>
  <si>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</si>
  <si>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</si>
  <si>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</si>
  <si>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</si>
  <si>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</si>
  <si>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</si>
  <si>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</si>
  <si>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</si>
  <si>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</si>
  <si>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</si>
  <si>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</si>
  <si>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</si>
  <si>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</si>
  <si>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</si>
  <si>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</si>
  <si>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</si>
  <si>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</si>
  <si>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</si>
  <si>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</si>
  <si>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</si>
  <si>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</si>
  <si>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</si>
  <si>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</si>
  <si>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</si>
  <si>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</si>
  <si>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</si>
  <si>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</si>
  <si>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</si>
  <si>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</si>
  <si>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</si>
  <si>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</si>
  <si>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</si>
  <si>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</si>
  <si>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</si>
  <si>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</si>
  <si>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</si>
  <si>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</si>
  <si>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</si>
  <si>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</si>
  <si>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</si>
  <si>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</si>
  <si>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</si>
  <si>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</si>
  <si>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</si>
  <si>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</si>
  <si>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</si>
  <si>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</si>
  <si>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</si>
  <si>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</si>
  <si>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</si>
  <si>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</si>
  <si>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</si>
  <si>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</si>
  <si>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</si>
  <si>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</si>
  <si>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</si>
  <si>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</si>
  <si>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</si>
  <si>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</si>
  <si>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</si>
  <si>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</si>
  <si>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</si>
  <si>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</si>
  <si>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</si>
  <si>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</si>
  <si>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</si>
  <si>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</si>
  <si>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</si>
  <si>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</si>
  <si>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</si>
  <si>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</si>
  <si>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</si>
  <si>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</si>
  <si>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</si>
  <si>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</si>
  <si>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</si>
  <si>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</si>
  <si>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</si>
  <si>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</si>
  <si>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</si>
  <si>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</si>
  <si>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</si>
  <si>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</si>
  <si>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</si>
  <si>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</si>
  <si>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</si>
  <si>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</si>
  <si>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</si>
  <si>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</si>
  <si>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</si>
  <si>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</si>
  <si>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</si>
  <si>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</si>
  <si>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</si>
  <si>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</si>
  <si>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</si>
  <si>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</si>
  <si>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</si>
  <si>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</si>
  <si>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</si>
  <si>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</si>
  <si>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</si>
  <si>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</si>
  <si>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</si>
  <si>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</si>
  <si>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</si>
  <si>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</si>
  <si>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</si>
  <si>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</si>
  <si>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</si>
  <si>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</si>
  <si>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</si>
  <si>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</si>
  <si>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</si>
  <si>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</si>
  <si>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</si>
  <si>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</si>
  <si>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</si>
  <si>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</si>
  <si>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</si>
  <si>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</si>
  <si>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32011</t>
  </si>
  <si>
    <t>KORTEMARK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</si>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</sst>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122237.82771077259</c:v>
                </c:pt>
                <c:pt idx="1">
                  <c:v>38808.736893659057</c:v>
                </c:pt>
                <c:pt idx="2">
                  <c:v>837.92100000000005</c:v>
                </c:pt>
                <c:pt idx="3">
                  <c:v>22631.544289776175</c:v>
                </c:pt>
                <c:pt idx="4">
                  <c:v>197003.91906920887</c:v>
                </c:pt>
                <c:pt idx="5">
                  <c:v>71478.654888417601</c:v>
                </c:pt>
                <c:pt idx="6">
                  <c:v>569.59352896398832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122237.82771077259</c:v>
                </c:pt>
                <c:pt idx="1">
                  <c:v>38808.736893659057</c:v>
                </c:pt>
                <c:pt idx="2">
                  <c:v>837.92100000000005</c:v>
                </c:pt>
                <c:pt idx="3">
                  <c:v>22631.544289776175</c:v>
                </c:pt>
                <c:pt idx="4">
                  <c:v>197003.91906920887</c:v>
                </c:pt>
                <c:pt idx="5">
                  <c:v>71478.654888417601</c:v>
                </c:pt>
                <c:pt idx="6">
                  <c:v>569.59352896398832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22998.624792424289</c:v>
                </c:pt>
                <c:pt idx="1">
                  <c:v>7763.8210101141449</c:v>
                </c:pt>
                <c:pt idx="2">
                  <c:v>172.5657996155918</c:v>
                </c:pt>
                <c:pt idx="3">
                  <c:v>5719.1266583682291</c:v>
                </c:pt>
                <c:pt idx="4">
                  <c:v>40112.414033910114</c:v>
                </c:pt>
                <c:pt idx="5">
                  <c:v>18059.854276401937</c:v>
                </c:pt>
                <c:pt idx="6">
                  <c:v>145.6060165378079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4064"/>
        <c:axId val="182514048"/>
      </c:barChart>
      <c:catAx>
        <c:axId val="182504064"/>
        <c:scaling>
          <c:orientation val="minMax"/>
        </c:scaling>
        <c:axPos val="b"/>
        <c:numFmt formatCode="General" sourceLinked="0"/>
        <c:tickLblPos val="nextTo"/>
        <c:crossAx val="182514048"/>
        <c:crosses val="autoZero"/>
        <c:auto val="1"/>
        <c:lblAlgn val="ctr"/>
        <c:lblOffset val="100"/>
      </c:catAx>
      <c:valAx>
        <c:axId val="182514048"/>
        <c:scaling>
          <c:orientation val="minMax"/>
        </c:scaling>
        <c:axPos val="l"/>
        <c:majorGridlines/>
        <c:numFmt formatCode="#,##0" sourceLinked="1"/>
        <c:tickLblPos val="nextTo"/>
        <c:crossAx val="182504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22998.624792424289</c:v>
                </c:pt>
                <c:pt idx="1">
                  <c:v>7763.8210101141449</c:v>
                </c:pt>
                <c:pt idx="2">
                  <c:v>172.5657996155918</c:v>
                </c:pt>
                <c:pt idx="3">
                  <c:v>5719.1266583682291</c:v>
                </c:pt>
                <c:pt idx="4">
                  <c:v>40112.414033910114</c:v>
                </c:pt>
                <c:pt idx="5">
                  <c:v>18059.854276401937</c:v>
                </c:pt>
                <c:pt idx="6">
                  <c:v>145.6060165378079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32011</v>
      </c>
      <c r="B6" s="398"/>
      <c r="C6" s="399"/>
    </row>
    <row r="7" spans="1:7" s="396" customFormat="1" ht="15.75" customHeight="1">
      <c r="A7" s="400" t="str">
        <f>txtMunicipality</f>
        <v>KORTEMARK</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18016.307764193611</v>
      </c>
      <c r="D10" s="704">
        <f ca="1">tertiair!C16</f>
        <v>0</v>
      </c>
      <c r="E10" s="704">
        <f ca="1">tertiair!D16</f>
        <v>16110.046635078121</v>
      </c>
      <c r="F10" s="704">
        <f>tertiair!E16</f>
        <v>230.87525616760058</v>
      </c>
      <c r="G10" s="704">
        <f ca="1">tertiair!F16</f>
        <v>3443.3587239253338</v>
      </c>
      <c r="H10" s="704">
        <f>tertiair!G16</f>
        <v>0</v>
      </c>
      <c r="I10" s="704">
        <f>tertiair!H16</f>
        <v>0</v>
      </c>
      <c r="J10" s="704">
        <f>tertiair!I16</f>
        <v>0</v>
      </c>
      <c r="K10" s="704">
        <f>tertiair!J16</f>
        <v>0</v>
      </c>
      <c r="L10" s="704">
        <f>tertiair!K16</f>
        <v>0</v>
      </c>
      <c r="M10" s="704">
        <f ca="1">tertiair!L16</f>
        <v>0</v>
      </c>
      <c r="N10" s="704">
        <f>tertiair!M16</f>
        <v>0</v>
      </c>
      <c r="O10" s="704">
        <f ca="1">tertiair!N16</f>
        <v>1819.1861809610664</v>
      </c>
      <c r="P10" s="704">
        <f>tertiair!O16</f>
        <v>7.8166666666666664</v>
      </c>
      <c r="Q10" s="705">
        <f>tertiair!P16</f>
        <v>19.066666666666666</v>
      </c>
      <c r="R10" s="707">
        <f ca="1">SUM(C10:Q10)</f>
        <v>39646.657893659059</v>
      </c>
      <c r="S10" s="67"/>
    </row>
    <row r="11" spans="1:19" s="459" customFormat="1">
      <c r="A11" s="858" t="s">
        <v>225</v>
      </c>
      <c r="B11" s="863"/>
      <c r="C11" s="704">
        <f>huishoudens!B8</f>
        <v>23106.976383151163</v>
      </c>
      <c r="D11" s="704">
        <f>huishoudens!C8</f>
        <v>0</v>
      </c>
      <c r="E11" s="704">
        <f>huishoudens!D8</f>
        <v>46254.249483434287</v>
      </c>
      <c r="F11" s="704">
        <f>huishoudens!E8</f>
        <v>6412.455861358676</v>
      </c>
      <c r="G11" s="704">
        <f>huishoudens!F8</f>
        <v>24103.453360425665</v>
      </c>
      <c r="H11" s="704">
        <f>huishoudens!G8</f>
        <v>0</v>
      </c>
      <c r="I11" s="704">
        <f>huishoudens!H8</f>
        <v>0</v>
      </c>
      <c r="J11" s="704">
        <f>huishoudens!I8</f>
        <v>0</v>
      </c>
      <c r="K11" s="704">
        <f>huishoudens!J8</f>
        <v>2839.6786035193163</v>
      </c>
      <c r="L11" s="704">
        <f>huishoudens!K8</f>
        <v>0</v>
      </c>
      <c r="M11" s="704">
        <f>huishoudens!L8</f>
        <v>0</v>
      </c>
      <c r="N11" s="704">
        <f>huishoudens!M8</f>
        <v>0</v>
      </c>
      <c r="O11" s="704">
        <f>huishoudens!N8</f>
        <v>19174.627352216819</v>
      </c>
      <c r="P11" s="704">
        <f>huishoudens!O8</f>
        <v>193.85333333333335</v>
      </c>
      <c r="Q11" s="705">
        <f>huishoudens!P8</f>
        <v>152.53333333333333</v>
      </c>
      <c r="R11" s="707">
        <f>SUM(C11:Q11)</f>
        <v>122237.82771077259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27694.859000000004</v>
      </c>
      <c r="D13" s="704">
        <f>industrie!C18</f>
        <v>0</v>
      </c>
      <c r="E13" s="704">
        <f>industrie!D18</f>
        <v>135720.99585701554</v>
      </c>
      <c r="F13" s="704">
        <f>industrie!E18</f>
        <v>1963.6650450556458</v>
      </c>
      <c r="G13" s="704">
        <f>industrie!F18</f>
        <v>24458.222340472439</v>
      </c>
      <c r="H13" s="704">
        <f>industrie!G18</f>
        <v>0</v>
      </c>
      <c r="I13" s="704">
        <f>industrie!H18</f>
        <v>0</v>
      </c>
      <c r="J13" s="704">
        <f>industrie!I18</f>
        <v>0</v>
      </c>
      <c r="K13" s="704">
        <f>industrie!J18</f>
        <v>48.171016137641743</v>
      </c>
      <c r="L13" s="704">
        <f>industrie!K18</f>
        <v>0</v>
      </c>
      <c r="M13" s="704">
        <f>industrie!L18</f>
        <v>0</v>
      </c>
      <c r="N13" s="704">
        <f>industrie!M18</f>
        <v>0</v>
      </c>
      <c r="O13" s="704">
        <f>industrie!N18</f>
        <v>7118.0058105275875</v>
      </c>
      <c r="P13" s="704">
        <f>industrie!O18</f>
        <v>0</v>
      </c>
      <c r="Q13" s="705">
        <f>industrie!P18</f>
        <v>0</v>
      </c>
      <c r="R13" s="707">
        <f>SUM(C13:Q13)</f>
        <v>197003.91906920887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68818.143147344788</v>
      </c>
      <c r="D15" s="709">
        <f t="shared" ref="D15:Q15" ca="1" si="0">SUM(D9:D14)</f>
        <v>0</v>
      </c>
      <c r="E15" s="709">
        <f t="shared" ca="1" si="0"/>
        <v>198085.29197552794</v>
      </c>
      <c r="F15" s="709">
        <f t="shared" si="0"/>
        <v>8606.9961625819233</v>
      </c>
      <c r="G15" s="709">
        <f t="shared" ca="1" si="0"/>
        <v>52005.034424823432</v>
      </c>
      <c r="H15" s="709">
        <f t="shared" si="0"/>
        <v>0</v>
      </c>
      <c r="I15" s="709">
        <f t="shared" si="0"/>
        <v>0</v>
      </c>
      <c r="J15" s="709">
        <f t="shared" si="0"/>
        <v>0</v>
      </c>
      <c r="K15" s="709">
        <f t="shared" si="0"/>
        <v>2887.8496196569581</v>
      </c>
      <c r="L15" s="709">
        <f t="shared" si="0"/>
        <v>0</v>
      </c>
      <c r="M15" s="709">
        <f t="shared" ca="1" si="0"/>
        <v>0</v>
      </c>
      <c r="N15" s="709">
        <f t="shared" si="0"/>
        <v>0</v>
      </c>
      <c r="O15" s="709">
        <f t="shared" ca="1" si="0"/>
        <v>28111.819343705472</v>
      </c>
      <c r="P15" s="709">
        <f t="shared" si="0"/>
        <v>201.67000000000002</v>
      </c>
      <c r="Q15" s="710">
        <f t="shared" si="0"/>
        <v>171.6</v>
      </c>
      <c r="R15" s="711">
        <f ca="1">SUM(R9:R14)</f>
        <v>358888.4046736405</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545.34088590939291</v>
      </c>
      <c r="I18" s="704">
        <f>transport!H54</f>
        <v>0</v>
      </c>
      <c r="J18" s="704">
        <f>transport!I54</f>
        <v>0</v>
      </c>
      <c r="K18" s="704">
        <f>transport!J54</f>
        <v>0</v>
      </c>
      <c r="L18" s="704">
        <f>transport!K54</f>
        <v>0</v>
      </c>
      <c r="M18" s="704">
        <f>transport!L54</f>
        <v>0</v>
      </c>
      <c r="N18" s="704">
        <f>transport!M54</f>
        <v>24.252643054595357</v>
      </c>
      <c r="O18" s="704">
        <f>transport!N54</f>
        <v>0</v>
      </c>
      <c r="P18" s="704">
        <f>transport!O54</f>
        <v>0</v>
      </c>
      <c r="Q18" s="705">
        <f>transport!P54</f>
        <v>0</v>
      </c>
      <c r="R18" s="707">
        <f>SUM(C18:Q18)</f>
        <v>569.59352896398832</v>
      </c>
      <c r="S18" s="67"/>
    </row>
    <row r="19" spans="1:19" s="459" customFormat="1" ht="15" thickBot="1">
      <c r="A19" s="858" t="s">
        <v>307</v>
      </c>
      <c r="B19" s="863"/>
      <c r="C19" s="713">
        <f>transport!B14</f>
        <v>3.7292958012528299</v>
      </c>
      <c r="D19" s="713">
        <f>transport!C14</f>
        <v>0</v>
      </c>
      <c r="E19" s="713">
        <f>transport!D14</f>
        <v>7.529076954937274</v>
      </c>
      <c r="F19" s="713">
        <f>transport!E14</f>
        <v>223.76211053144672</v>
      </c>
      <c r="G19" s="713">
        <f>transport!F14</f>
        <v>0</v>
      </c>
      <c r="H19" s="713">
        <f>transport!G14</f>
        <v>57039.560591251924</v>
      </c>
      <c r="I19" s="713">
        <f>transport!H14</f>
        <v>11153.448575781078</v>
      </c>
      <c r="J19" s="713">
        <f>transport!I14</f>
        <v>0</v>
      </c>
      <c r="K19" s="713">
        <f>transport!J14</f>
        <v>0</v>
      </c>
      <c r="L19" s="713">
        <f>transport!K14</f>
        <v>0</v>
      </c>
      <c r="M19" s="713">
        <f>transport!L14</f>
        <v>0</v>
      </c>
      <c r="N19" s="713">
        <f>transport!M14</f>
        <v>3050.6252380969636</v>
      </c>
      <c r="O19" s="713">
        <f>transport!N14</f>
        <v>0</v>
      </c>
      <c r="P19" s="713">
        <f>transport!O14</f>
        <v>0</v>
      </c>
      <c r="Q19" s="714">
        <f>transport!P14</f>
        <v>0</v>
      </c>
      <c r="R19" s="715">
        <f>SUM(C19:Q19)</f>
        <v>71478.654888417601</v>
      </c>
      <c r="S19" s="67"/>
    </row>
    <row r="20" spans="1:19" s="459" customFormat="1" ht="15.75" thickBot="1">
      <c r="A20" s="716" t="s">
        <v>230</v>
      </c>
      <c r="B20" s="866"/>
      <c r="C20" s="861">
        <f>SUM(C17:C19)</f>
        <v>3.7292958012528299</v>
      </c>
      <c r="D20" s="717">
        <f t="shared" ref="D20:R20" si="1">SUM(D17:D19)</f>
        <v>0</v>
      </c>
      <c r="E20" s="717">
        <f t="shared" si="1"/>
        <v>7.529076954937274</v>
      </c>
      <c r="F20" s="717">
        <f t="shared" si="1"/>
        <v>223.76211053144672</v>
      </c>
      <c r="G20" s="717">
        <f t="shared" si="1"/>
        <v>0</v>
      </c>
      <c r="H20" s="717">
        <f t="shared" si="1"/>
        <v>57584.901477161315</v>
      </c>
      <c r="I20" s="717">
        <f t="shared" si="1"/>
        <v>11153.448575781078</v>
      </c>
      <c r="J20" s="717">
        <f t="shared" si="1"/>
        <v>0</v>
      </c>
      <c r="K20" s="717">
        <f t="shared" si="1"/>
        <v>0</v>
      </c>
      <c r="L20" s="717">
        <f t="shared" si="1"/>
        <v>0</v>
      </c>
      <c r="M20" s="717">
        <f t="shared" si="1"/>
        <v>0</v>
      </c>
      <c r="N20" s="717">
        <f t="shared" si="1"/>
        <v>3074.877881151559</v>
      </c>
      <c r="O20" s="717">
        <f t="shared" si="1"/>
        <v>0</v>
      </c>
      <c r="P20" s="717">
        <f t="shared" si="1"/>
        <v>0</v>
      </c>
      <c r="Q20" s="718">
        <f t="shared" si="1"/>
        <v>0</v>
      </c>
      <c r="R20" s="719">
        <f t="shared" si="1"/>
        <v>72048.24841738159</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4564.9186460826068</v>
      </c>
      <c r="D22" s="713">
        <f>+landbouw!C8</f>
        <v>0</v>
      </c>
      <c r="E22" s="713">
        <f>+landbouw!D8</f>
        <v>1572.4770062973489</v>
      </c>
      <c r="F22" s="713">
        <f>+landbouw!E8</f>
        <v>57.523855751546854</v>
      </c>
      <c r="G22" s="713">
        <f>+landbouw!F8</f>
        <v>15750.112909437572</v>
      </c>
      <c r="H22" s="713">
        <f>+landbouw!G8</f>
        <v>0</v>
      </c>
      <c r="I22" s="713">
        <f>+landbouw!H8</f>
        <v>0</v>
      </c>
      <c r="J22" s="713">
        <f>+landbouw!I8</f>
        <v>0</v>
      </c>
      <c r="K22" s="713">
        <f>+landbouw!J8</f>
        <v>686.51187220710028</v>
      </c>
      <c r="L22" s="713">
        <f>+landbouw!K8</f>
        <v>0</v>
      </c>
      <c r="M22" s="713">
        <f>+landbouw!L8</f>
        <v>0</v>
      </c>
      <c r="N22" s="713">
        <f>+landbouw!M8</f>
        <v>0</v>
      </c>
      <c r="O22" s="713">
        <f>+landbouw!N8</f>
        <v>0</v>
      </c>
      <c r="P22" s="713">
        <f>+landbouw!O8</f>
        <v>0</v>
      </c>
      <c r="Q22" s="714">
        <f>+landbouw!P8</f>
        <v>0</v>
      </c>
      <c r="R22" s="715">
        <f>SUM(C22:Q22)</f>
        <v>22631.544289776175</v>
      </c>
      <c r="S22" s="67"/>
    </row>
    <row r="23" spans="1:19" s="459" customFormat="1" ht="17.25" thickTop="1" thickBot="1">
      <c r="A23" s="720" t="s">
        <v>116</v>
      </c>
      <c r="B23" s="852"/>
      <c r="C23" s="721">
        <f ca="1">C20+C15+C22</f>
        <v>73386.791089228645</v>
      </c>
      <c r="D23" s="721">
        <f t="shared" ref="D23:Q23" ca="1" si="2">D20+D15+D22</f>
        <v>0</v>
      </c>
      <c r="E23" s="721">
        <f t="shared" ca="1" si="2"/>
        <v>199665.29805878023</v>
      </c>
      <c r="F23" s="721">
        <f t="shared" si="2"/>
        <v>8888.2821288649175</v>
      </c>
      <c r="G23" s="721">
        <f t="shared" ca="1" si="2"/>
        <v>67755.147334261012</v>
      </c>
      <c r="H23" s="721">
        <f t="shared" si="2"/>
        <v>57584.901477161315</v>
      </c>
      <c r="I23" s="721">
        <f t="shared" si="2"/>
        <v>11153.448575781078</v>
      </c>
      <c r="J23" s="721">
        <f t="shared" si="2"/>
        <v>0</v>
      </c>
      <c r="K23" s="721">
        <f t="shared" si="2"/>
        <v>3574.3614918640583</v>
      </c>
      <c r="L23" s="721">
        <f t="shared" si="2"/>
        <v>0</v>
      </c>
      <c r="M23" s="721">
        <f t="shared" ca="1" si="2"/>
        <v>0</v>
      </c>
      <c r="N23" s="721">
        <f t="shared" si="2"/>
        <v>3074.877881151559</v>
      </c>
      <c r="O23" s="721">
        <f t="shared" ca="1" si="2"/>
        <v>28111.819343705472</v>
      </c>
      <c r="P23" s="721">
        <f t="shared" si="2"/>
        <v>201.67000000000002</v>
      </c>
      <c r="Q23" s="722">
        <f t="shared" si="2"/>
        <v>171.6</v>
      </c>
      <c r="R23" s="723">
        <f ca="1">R20+R15+R22</f>
        <v>453568.19738079829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3710.3719270058464</v>
      </c>
      <c r="D36" s="704">
        <f ca="1">tertiair!C20</f>
        <v>0</v>
      </c>
      <c r="E36" s="704">
        <f ca="1">tertiair!D20</f>
        <v>3254.2294202857806</v>
      </c>
      <c r="F36" s="704">
        <f>tertiair!E20</f>
        <v>52.408683150045334</v>
      </c>
      <c r="G36" s="704">
        <f ca="1">tertiair!F20</f>
        <v>919.3767792880642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7936.3868097297373</v>
      </c>
    </row>
    <row r="37" spans="1:18">
      <c r="A37" s="873" t="s">
        <v>225</v>
      </c>
      <c r="B37" s="880"/>
      <c r="C37" s="704">
        <f ca="1">huishoudens!B12</f>
        <v>4758.7706433626508</v>
      </c>
      <c r="D37" s="704">
        <f ca="1">huishoudens!C12</f>
        <v>0</v>
      </c>
      <c r="E37" s="704">
        <f>huishoudens!D12</f>
        <v>9343.3583956537259</v>
      </c>
      <c r="F37" s="704">
        <f>huishoudens!E12</f>
        <v>1455.6274805284195</v>
      </c>
      <c r="G37" s="704">
        <f>huishoudens!F12</f>
        <v>6435.6220472336527</v>
      </c>
      <c r="H37" s="704">
        <f>huishoudens!G12</f>
        <v>0</v>
      </c>
      <c r="I37" s="704">
        <f>huishoudens!H12</f>
        <v>0</v>
      </c>
      <c r="J37" s="704">
        <f>huishoudens!I12</f>
        <v>0</v>
      </c>
      <c r="K37" s="704">
        <f>huishoudens!J12</f>
        <v>1005.246225645838</v>
      </c>
      <c r="L37" s="704">
        <f>huishoudens!K12</f>
        <v>0</v>
      </c>
      <c r="M37" s="704">
        <f>huishoudens!L12</f>
        <v>0</v>
      </c>
      <c r="N37" s="704">
        <f>huishoudens!M12</f>
        <v>0</v>
      </c>
      <c r="O37" s="704">
        <f>huishoudens!N12</f>
        <v>0</v>
      </c>
      <c r="P37" s="704">
        <f>huishoudens!O12</f>
        <v>0</v>
      </c>
      <c r="Q37" s="814">
        <f>huishoudens!P12</f>
        <v>0</v>
      </c>
      <c r="R37" s="905">
        <f ca="1">SUM(C37:Q37)</f>
        <v>22998.624792424289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5703.6230009464734</v>
      </c>
      <c r="D39" s="704">
        <f ca="1">industrie!C22</f>
        <v>0</v>
      </c>
      <c r="E39" s="704">
        <f>industrie!D22</f>
        <v>27415.641163117143</v>
      </c>
      <c r="F39" s="704">
        <f>industrie!E22</f>
        <v>445.75196522763162</v>
      </c>
      <c r="G39" s="704">
        <f>industrie!F22</f>
        <v>6530.3453649061412</v>
      </c>
      <c r="H39" s="704">
        <f>industrie!G22</f>
        <v>0</v>
      </c>
      <c r="I39" s="704">
        <f>industrie!H22</f>
        <v>0</v>
      </c>
      <c r="J39" s="704">
        <f>industrie!I22</f>
        <v>0</v>
      </c>
      <c r="K39" s="704">
        <f>industrie!J22</f>
        <v>17.052539712725178</v>
      </c>
      <c r="L39" s="704">
        <f>industrie!K22</f>
        <v>0</v>
      </c>
      <c r="M39" s="704">
        <f>industrie!L22</f>
        <v>0</v>
      </c>
      <c r="N39" s="704">
        <f>industrie!M22</f>
        <v>0</v>
      </c>
      <c r="O39" s="704">
        <f>industrie!N22</f>
        <v>0</v>
      </c>
      <c r="P39" s="704">
        <f>industrie!O22</f>
        <v>0</v>
      </c>
      <c r="Q39" s="814">
        <f>industrie!P22</f>
        <v>0</v>
      </c>
      <c r="R39" s="906">
        <f ca="1">SUM(C39:Q39)</f>
        <v>40112.414033910114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14172.765571314972</v>
      </c>
      <c r="D41" s="749">
        <f t="shared" ref="D41:R41" ca="1" si="4">SUM(D35:D40)</f>
        <v>0</v>
      </c>
      <c r="E41" s="749">
        <f t="shared" ca="1" si="4"/>
        <v>40013.22897905665</v>
      </c>
      <c r="F41" s="749">
        <f t="shared" si="4"/>
        <v>1953.7881289060965</v>
      </c>
      <c r="G41" s="749">
        <f t="shared" ca="1" si="4"/>
        <v>13885.344191427859</v>
      </c>
      <c r="H41" s="749">
        <f t="shared" si="4"/>
        <v>0</v>
      </c>
      <c r="I41" s="749">
        <f t="shared" si="4"/>
        <v>0</v>
      </c>
      <c r="J41" s="749">
        <f t="shared" si="4"/>
        <v>0</v>
      </c>
      <c r="K41" s="749">
        <f t="shared" si="4"/>
        <v>1022.2987653585632</v>
      </c>
      <c r="L41" s="749">
        <f t="shared" si="4"/>
        <v>0</v>
      </c>
      <c r="M41" s="749">
        <f t="shared" ca="1" si="4"/>
        <v>0</v>
      </c>
      <c r="N41" s="749">
        <f t="shared" si="4"/>
        <v>0</v>
      </c>
      <c r="O41" s="749">
        <f t="shared" ca="1" si="4"/>
        <v>0</v>
      </c>
      <c r="P41" s="749">
        <f t="shared" si="4"/>
        <v>0</v>
      </c>
      <c r="Q41" s="750">
        <f t="shared" si="4"/>
        <v>0</v>
      </c>
      <c r="R41" s="751">
        <f t="shared" ca="1" si="4"/>
        <v>71047.425636064145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145.6060165378079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145.6060165378079</v>
      </c>
    </row>
    <row r="45" spans="1:18" ht="15" thickBot="1">
      <c r="A45" s="876" t="s">
        <v>307</v>
      </c>
      <c r="B45" s="886"/>
      <c r="C45" s="713">
        <f ca="1">transport!B18</f>
        <v>0.76803053264718713</v>
      </c>
      <c r="D45" s="713">
        <f>transport!C18</f>
        <v>0</v>
      </c>
      <c r="E45" s="713">
        <f>transport!D18</f>
        <v>1.5208735448973294</v>
      </c>
      <c r="F45" s="713">
        <f>transport!E18</f>
        <v>50.793999090638408</v>
      </c>
      <c r="G45" s="713">
        <f>transport!F18</f>
        <v>0</v>
      </c>
      <c r="H45" s="713">
        <f>transport!G18</f>
        <v>15229.562677864265</v>
      </c>
      <c r="I45" s="713">
        <f>transport!H18</f>
        <v>2777.2086953694884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18059.854276401937</v>
      </c>
    </row>
    <row r="46" spans="1:18" ht="15.75" thickBot="1">
      <c r="A46" s="874" t="s">
        <v>230</v>
      </c>
      <c r="B46" s="887"/>
      <c r="C46" s="749">
        <f t="shared" ref="C46:R46" ca="1" si="5">SUM(C43:C45)</f>
        <v>0.76803053264718713</v>
      </c>
      <c r="D46" s="749">
        <f t="shared" ca="1" si="5"/>
        <v>0</v>
      </c>
      <c r="E46" s="749">
        <f t="shared" si="5"/>
        <v>1.5208735448973294</v>
      </c>
      <c r="F46" s="749">
        <f t="shared" si="5"/>
        <v>50.793999090638408</v>
      </c>
      <c r="G46" s="749">
        <f t="shared" si="5"/>
        <v>0</v>
      </c>
      <c r="H46" s="749">
        <f t="shared" si="5"/>
        <v>15375.168694402073</v>
      </c>
      <c r="I46" s="749">
        <f t="shared" si="5"/>
        <v>2777.2086953694884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18205.460292939744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940.12303825941797</v>
      </c>
      <c r="D48" s="704">
        <f ca="1">+landbouw!C12</f>
        <v>0</v>
      </c>
      <c r="E48" s="704">
        <f>+landbouw!D12</f>
        <v>317.64035527206448</v>
      </c>
      <c r="F48" s="704">
        <f>+landbouw!E12</f>
        <v>13.057915255601136</v>
      </c>
      <c r="G48" s="704">
        <f>+landbouw!F12</f>
        <v>4205.2801468198322</v>
      </c>
      <c r="H48" s="704">
        <f>+landbouw!G12</f>
        <v>0</v>
      </c>
      <c r="I48" s="704">
        <f>+landbouw!H12</f>
        <v>0</v>
      </c>
      <c r="J48" s="704">
        <f>+landbouw!I12</f>
        <v>0</v>
      </c>
      <c r="K48" s="704">
        <f>+landbouw!J12</f>
        <v>243.02520276131349</v>
      </c>
      <c r="L48" s="704">
        <f>+landbouw!K12</f>
        <v>0</v>
      </c>
      <c r="M48" s="704">
        <f>+landbouw!L12</f>
        <v>0</v>
      </c>
      <c r="N48" s="704">
        <f>+landbouw!M12</f>
        <v>0</v>
      </c>
      <c r="O48" s="704">
        <f>+landbouw!N12</f>
        <v>0</v>
      </c>
      <c r="P48" s="704">
        <f>+landbouw!O12</f>
        <v>0</v>
      </c>
      <c r="Q48" s="705">
        <f>+landbouw!P12</f>
        <v>0</v>
      </c>
      <c r="R48" s="747">
        <f ca="1">SUM(C48:Q48)</f>
        <v>5719.1266583682291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15113.656640107038</v>
      </c>
      <c r="D53" s="759">
        <f t="shared" ref="D53:Q53" ca="1" si="6">D41+D46+D48</f>
        <v>0</v>
      </c>
      <c r="E53" s="759">
        <f t="shared" ca="1" si="6"/>
        <v>40332.390207873614</v>
      </c>
      <c r="F53" s="759">
        <f t="shared" si="6"/>
        <v>2017.640043252336</v>
      </c>
      <c r="G53" s="759">
        <f t="shared" ca="1" si="6"/>
        <v>18090.62433824769</v>
      </c>
      <c r="H53" s="759">
        <f t="shared" si="6"/>
        <v>15375.168694402073</v>
      </c>
      <c r="I53" s="759">
        <f t="shared" si="6"/>
        <v>2777.2086953694884</v>
      </c>
      <c r="J53" s="759">
        <f t="shared" si="6"/>
        <v>0</v>
      </c>
      <c r="K53" s="759">
        <f t="shared" si="6"/>
        <v>1265.3239681198766</v>
      </c>
      <c r="L53" s="759">
        <f t="shared" si="6"/>
        <v>0</v>
      </c>
      <c r="M53" s="759">
        <f t="shared" ca="1" si="6"/>
        <v>0</v>
      </c>
      <c r="N53" s="759">
        <f t="shared" si="6"/>
        <v>0</v>
      </c>
      <c r="O53" s="759">
        <f t="shared" ca="1" si="6"/>
        <v>0</v>
      </c>
      <c r="P53" s="759">
        <f>P41+P46+P48</f>
        <v>0</v>
      </c>
      <c r="Q53" s="760">
        <f t="shared" si="6"/>
        <v>0</v>
      </c>
      <c r="R53" s="761">
        <f ca="1">R41+R46+R48</f>
        <v>94972.012587372112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0.20594519007829115</v>
      </c>
      <c r="D55" s="824">
        <f t="shared" ca="1" si="7"/>
        <v>0</v>
      </c>
      <c r="E55" s="824">
        <f t="shared" ca="1" si="7"/>
        <v>0.20200000000000004</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4999.2044824094819</v>
      </c>
      <c r="C66" s="781">
        <f>'lokale energieproductie'!B6</f>
        <v>4999.2044824094819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4999.2044824094819</v>
      </c>
      <c r="C69" s="789">
        <f>SUM(C64:C68)</f>
        <v>4999.2044824094819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23106.976383151163</v>
      </c>
      <c r="C4" s="463">
        <f>huishoudens!C8</f>
        <v>0</v>
      </c>
      <c r="D4" s="463">
        <f>huishoudens!D8</f>
        <v>46254.249483434287</v>
      </c>
      <c r="E4" s="463">
        <f>huishoudens!E8</f>
        <v>6412.455861358676</v>
      </c>
      <c r="F4" s="463">
        <f>huishoudens!F8</f>
        <v>24103.453360425665</v>
      </c>
      <c r="G4" s="463">
        <f>huishoudens!G8</f>
        <v>0</v>
      </c>
      <c r="H4" s="463">
        <f>huishoudens!H8</f>
        <v>0</v>
      </c>
      <c r="I4" s="463">
        <f>huishoudens!I8</f>
        <v>0</v>
      </c>
      <c r="J4" s="463">
        <f>huishoudens!J8</f>
        <v>2839.6786035193163</v>
      </c>
      <c r="K4" s="463">
        <f>huishoudens!K8</f>
        <v>0</v>
      </c>
      <c r="L4" s="463">
        <f>huishoudens!L8</f>
        <v>0</v>
      </c>
      <c r="M4" s="463">
        <f>huishoudens!M8</f>
        <v>0</v>
      </c>
      <c r="N4" s="463">
        <f>huishoudens!N8</f>
        <v>19174.627352216819</v>
      </c>
      <c r="O4" s="463">
        <f>huishoudens!O8</f>
        <v>193.85333333333335</v>
      </c>
      <c r="P4" s="464">
        <f>huishoudens!P8</f>
        <v>152.53333333333333</v>
      </c>
      <c r="Q4" s="465">
        <f>SUM(B4:P4)</f>
        <v>122237.82771077259</v>
      </c>
    </row>
    <row r="5" spans="1:17">
      <c r="A5" s="462" t="s">
        <v>156</v>
      </c>
      <c r="B5" s="463">
        <f ca="1">tertiair!B16</f>
        <v>17178.386764193612</v>
      </c>
      <c r="C5" s="463">
        <f ca="1">tertiair!C16</f>
        <v>0</v>
      </c>
      <c r="D5" s="463">
        <f ca="1">tertiair!D16</f>
        <v>16110.046635078121</v>
      </c>
      <c r="E5" s="463">
        <f>tertiair!E16</f>
        <v>230.87525616760058</v>
      </c>
      <c r="F5" s="463">
        <f ca="1">tertiair!F16</f>
        <v>3443.3587239253338</v>
      </c>
      <c r="G5" s="463">
        <f>tertiair!G16</f>
        <v>0</v>
      </c>
      <c r="H5" s="463">
        <f>tertiair!H16</f>
        <v>0</v>
      </c>
      <c r="I5" s="463">
        <f>tertiair!I16</f>
        <v>0</v>
      </c>
      <c r="J5" s="463">
        <f>tertiair!J16</f>
        <v>0</v>
      </c>
      <c r="K5" s="463">
        <f>tertiair!K16</f>
        <v>0</v>
      </c>
      <c r="L5" s="463">
        <f ca="1">tertiair!L16</f>
        <v>0</v>
      </c>
      <c r="M5" s="463">
        <f>tertiair!M16</f>
        <v>0</v>
      </c>
      <c r="N5" s="463">
        <f ca="1">tertiair!N16</f>
        <v>1819.1861809610664</v>
      </c>
      <c r="O5" s="463">
        <f>tertiair!O16</f>
        <v>7.8166666666666664</v>
      </c>
      <c r="P5" s="464">
        <f>tertiair!P16</f>
        <v>19.066666666666666</v>
      </c>
      <c r="Q5" s="462">
        <f t="shared" ref="Q5:Q13" ca="1" si="0">SUM(B5:P5)</f>
        <v>38808.736893659057</v>
      </c>
    </row>
    <row r="6" spans="1:17">
      <c r="A6" s="462" t="s">
        <v>194</v>
      </c>
      <c r="B6" s="463">
        <f>'openbare verlichting'!B8</f>
        <v>837.92100000000005</v>
      </c>
      <c r="C6" s="463"/>
      <c r="D6" s="463"/>
      <c r="E6" s="463"/>
      <c r="F6" s="463"/>
      <c r="G6" s="463"/>
      <c r="H6" s="463"/>
      <c r="I6" s="463"/>
      <c r="J6" s="463"/>
      <c r="K6" s="463"/>
      <c r="L6" s="463"/>
      <c r="M6" s="463"/>
      <c r="N6" s="463"/>
      <c r="O6" s="463"/>
      <c r="P6" s="464"/>
      <c r="Q6" s="462">
        <f t="shared" si="0"/>
        <v>837.92100000000005</v>
      </c>
    </row>
    <row r="7" spans="1:17">
      <c r="A7" s="462" t="s">
        <v>112</v>
      </c>
      <c r="B7" s="463">
        <f>landbouw!B8</f>
        <v>4564.9186460826068</v>
      </c>
      <c r="C7" s="463">
        <f>landbouw!C8</f>
        <v>0</v>
      </c>
      <c r="D7" s="463">
        <f>landbouw!D8</f>
        <v>1572.4770062973489</v>
      </c>
      <c r="E7" s="463">
        <f>landbouw!E8</f>
        <v>57.523855751546854</v>
      </c>
      <c r="F7" s="463">
        <f>landbouw!F8</f>
        <v>15750.112909437572</v>
      </c>
      <c r="G7" s="463">
        <f>landbouw!G8</f>
        <v>0</v>
      </c>
      <c r="H7" s="463">
        <f>landbouw!H8</f>
        <v>0</v>
      </c>
      <c r="I7" s="463">
        <f>landbouw!I8</f>
        <v>0</v>
      </c>
      <c r="J7" s="463">
        <f>landbouw!J8</f>
        <v>686.51187220710028</v>
      </c>
      <c r="K7" s="463">
        <f>landbouw!K8</f>
        <v>0</v>
      </c>
      <c r="L7" s="463">
        <f>landbouw!L8</f>
        <v>0</v>
      </c>
      <c r="M7" s="463">
        <f>landbouw!M8</f>
        <v>0</v>
      </c>
      <c r="N7" s="463">
        <f>landbouw!N8</f>
        <v>0</v>
      </c>
      <c r="O7" s="463">
        <f>landbouw!O8</f>
        <v>0</v>
      </c>
      <c r="P7" s="464">
        <f>landbouw!P8</f>
        <v>0</v>
      </c>
      <c r="Q7" s="462">
        <f t="shared" si="0"/>
        <v>22631.544289776175</v>
      </c>
    </row>
    <row r="8" spans="1:17">
      <c r="A8" s="462" t="s">
        <v>657</v>
      </c>
      <c r="B8" s="463">
        <f>industrie!B18</f>
        <v>27694.859000000004</v>
      </c>
      <c r="C8" s="463">
        <f>industrie!C18</f>
        <v>0</v>
      </c>
      <c r="D8" s="463">
        <f>industrie!D18</f>
        <v>135720.99585701554</v>
      </c>
      <c r="E8" s="463">
        <f>industrie!E18</f>
        <v>1963.6650450556458</v>
      </c>
      <c r="F8" s="463">
        <f>industrie!F18</f>
        <v>24458.222340472439</v>
      </c>
      <c r="G8" s="463">
        <f>industrie!G18</f>
        <v>0</v>
      </c>
      <c r="H8" s="463">
        <f>industrie!H18</f>
        <v>0</v>
      </c>
      <c r="I8" s="463">
        <f>industrie!I18</f>
        <v>0</v>
      </c>
      <c r="J8" s="463">
        <f>industrie!J18</f>
        <v>48.171016137641743</v>
      </c>
      <c r="K8" s="463">
        <f>industrie!K18</f>
        <v>0</v>
      </c>
      <c r="L8" s="463">
        <f>industrie!L18</f>
        <v>0</v>
      </c>
      <c r="M8" s="463">
        <f>industrie!M18</f>
        <v>0</v>
      </c>
      <c r="N8" s="463">
        <f>industrie!N18</f>
        <v>7118.0058105275875</v>
      </c>
      <c r="O8" s="463">
        <f>industrie!O18</f>
        <v>0</v>
      </c>
      <c r="P8" s="464">
        <f>industrie!P18</f>
        <v>0</v>
      </c>
      <c r="Q8" s="462">
        <f t="shared" si="0"/>
        <v>197003.91906920887</v>
      </c>
    </row>
    <row r="9" spans="1:17" s="468" customFormat="1">
      <c r="A9" s="466" t="s">
        <v>574</v>
      </c>
      <c r="B9" s="467">
        <f>transport!B14</f>
        <v>3.7292958012528299</v>
      </c>
      <c r="C9" s="467">
        <f>transport!C14</f>
        <v>0</v>
      </c>
      <c r="D9" s="467">
        <f>transport!D14</f>
        <v>7.529076954937274</v>
      </c>
      <c r="E9" s="467">
        <f>transport!E14</f>
        <v>223.76211053144672</v>
      </c>
      <c r="F9" s="467">
        <f>transport!F14</f>
        <v>0</v>
      </c>
      <c r="G9" s="467">
        <f>transport!G14</f>
        <v>57039.560591251924</v>
      </c>
      <c r="H9" s="467">
        <f>transport!H14</f>
        <v>11153.448575781078</v>
      </c>
      <c r="I9" s="467">
        <f>transport!I14</f>
        <v>0</v>
      </c>
      <c r="J9" s="467">
        <f>transport!J14</f>
        <v>0</v>
      </c>
      <c r="K9" s="467">
        <f>transport!K14</f>
        <v>0</v>
      </c>
      <c r="L9" s="467">
        <f>transport!L14</f>
        <v>0</v>
      </c>
      <c r="M9" s="467">
        <f>transport!M14</f>
        <v>3050.6252380969636</v>
      </c>
      <c r="N9" s="467">
        <f>transport!N14</f>
        <v>0</v>
      </c>
      <c r="O9" s="467">
        <f>transport!O14</f>
        <v>0</v>
      </c>
      <c r="P9" s="467">
        <f>transport!P14</f>
        <v>0</v>
      </c>
      <c r="Q9" s="466">
        <f>SUM(B9:P9)</f>
        <v>71478.654888417601</v>
      </c>
    </row>
    <row r="10" spans="1:17">
      <c r="A10" s="462" t="s">
        <v>564</v>
      </c>
      <c r="B10" s="463">
        <f>transport!B54</f>
        <v>0</v>
      </c>
      <c r="C10" s="463">
        <f>transport!C54</f>
        <v>0</v>
      </c>
      <c r="D10" s="463">
        <f>transport!D54</f>
        <v>0</v>
      </c>
      <c r="E10" s="463">
        <f>transport!E54</f>
        <v>0</v>
      </c>
      <c r="F10" s="463">
        <f>transport!F54</f>
        <v>0</v>
      </c>
      <c r="G10" s="463">
        <f>transport!G54</f>
        <v>545.34088590939291</v>
      </c>
      <c r="H10" s="463">
        <f>transport!H54</f>
        <v>0</v>
      </c>
      <c r="I10" s="463">
        <f>transport!I54</f>
        <v>0</v>
      </c>
      <c r="J10" s="463">
        <f>transport!J54</f>
        <v>0</v>
      </c>
      <c r="K10" s="463">
        <f>transport!K54</f>
        <v>0</v>
      </c>
      <c r="L10" s="463">
        <f>transport!L54</f>
        <v>0</v>
      </c>
      <c r="M10" s="463">
        <f>transport!M54</f>
        <v>24.252643054595357</v>
      </c>
      <c r="N10" s="463">
        <f>transport!N54</f>
        <v>0</v>
      </c>
      <c r="O10" s="463">
        <f>transport!O54</f>
        <v>0</v>
      </c>
      <c r="P10" s="464">
        <f>transport!P54</f>
        <v>0</v>
      </c>
      <c r="Q10" s="462">
        <f t="shared" si="0"/>
        <v>569.59352896398832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73386.791089228645</v>
      </c>
      <c r="C14" s="473">
        <f t="shared" ref="C14:Q14" ca="1" si="1">SUM(C4:C13)</f>
        <v>0</v>
      </c>
      <c r="D14" s="473">
        <f t="shared" ca="1" si="1"/>
        <v>199665.29805878023</v>
      </c>
      <c r="E14" s="473">
        <f t="shared" si="1"/>
        <v>8888.2821288649156</v>
      </c>
      <c r="F14" s="473">
        <f t="shared" ca="1" si="1"/>
        <v>67755.147334261012</v>
      </c>
      <c r="G14" s="473">
        <f t="shared" si="1"/>
        <v>57584.901477161315</v>
      </c>
      <c r="H14" s="473">
        <f t="shared" si="1"/>
        <v>11153.448575781078</v>
      </c>
      <c r="I14" s="473">
        <f t="shared" si="1"/>
        <v>0</v>
      </c>
      <c r="J14" s="473">
        <f t="shared" si="1"/>
        <v>3574.3614918640583</v>
      </c>
      <c r="K14" s="473">
        <f t="shared" si="1"/>
        <v>0</v>
      </c>
      <c r="L14" s="473">
        <f t="shared" ca="1" si="1"/>
        <v>0</v>
      </c>
      <c r="M14" s="473">
        <f t="shared" si="1"/>
        <v>3074.877881151559</v>
      </c>
      <c r="N14" s="473">
        <f t="shared" ca="1" si="1"/>
        <v>28111.819343705472</v>
      </c>
      <c r="O14" s="473">
        <f t="shared" si="1"/>
        <v>201.67000000000002</v>
      </c>
      <c r="P14" s="474">
        <f t="shared" si="1"/>
        <v>171.6</v>
      </c>
      <c r="Q14" s="474">
        <f t="shared" ca="1" si="1"/>
        <v>453568.19738079829</v>
      </c>
    </row>
    <row r="16" spans="1:17">
      <c r="A16" s="476" t="s">
        <v>569</v>
      </c>
      <c r="B16" s="829">
        <f ca="1">huishoudens!B10</f>
        <v>0.20594519007829115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4758.7706433626508</v>
      </c>
      <c r="C21" s="463">
        <f t="shared" ref="C21:C30" ca="1" si="3">C4*$C$16</f>
        <v>0</v>
      </c>
      <c r="D21" s="463">
        <f t="shared" ref="D21:D30" si="4">D4*$D$16</f>
        <v>9343.3583956537259</v>
      </c>
      <c r="E21" s="463">
        <f t="shared" ref="E21:E30" si="5">E4*$E$16</f>
        <v>1455.6274805284195</v>
      </c>
      <c r="F21" s="463">
        <f t="shared" ref="F21:F30" si="6">F4*$F$16</f>
        <v>6435.6220472336527</v>
      </c>
      <c r="G21" s="463">
        <f t="shared" ref="G21:G30" si="7">G4*$G$16</f>
        <v>0</v>
      </c>
      <c r="H21" s="463">
        <f t="shared" ref="H21:H30" si="8">H4*$H$16</f>
        <v>0</v>
      </c>
      <c r="I21" s="463">
        <f t="shared" ref="I21:I30" si="9">I4*$I$16</f>
        <v>0</v>
      </c>
      <c r="J21" s="463">
        <f t="shared" ref="J21:J30" si="10">J4*$J$16</f>
        <v>1005.246225645838</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22998.624792424289</v>
      </c>
    </row>
    <row r="22" spans="1:17">
      <c r="A22" s="462" t="s">
        <v>156</v>
      </c>
      <c r="B22" s="463">
        <f t="shared" ca="1" si="2"/>
        <v>3537.8061273902545</v>
      </c>
      <c r="C22" s="463">
        <f t="shared" ca="1" si="3"/>
        <v>0</v>
      </c>
      <c r="D22" s="463">
        <f t="shared" ca="1" si="4"/>
        <v>3254.2294202857806</v>
      </c>
      <c r="E22" s="463">
        <f t="shared" si="5"/>
        <v>52.408683150045334</v>
      </c>
      <c r="F22" s="463">
        <f t="shared" ca="1" si="6"/>
        <v>919.3767792880642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7763.8210101141449</v>
      </c>
    </row>
    <row r="23" spans="1:17">
      <c r="A23" s="462" t="s">
        <v>194</v>
      </c>
      <c r="B23" s="463">
        <f t="shared" ca="1" si="2"/>
        <v>172.5657996155918</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172.5657996155918</v>
      </c>
    </row>
    <row r="24" spans="1:17">
      <c r="A24" s="462" t="s">
        <v>112</v>
      </c>
      <c r="B24" s="463">
        <f t="shared" ca="1" si="2"/>
        <v>940.12303825941797</v>
      </c>
      <c r="C24" s="463">
        <f t="shared" ca="1" si="3"/>
        <v>0</v>
      </c>
      <c r="D24" s="463">
        <f t="shared" si="4"/>
        <v>317.64035527206448</v>
      </c>
      <c r="E24" s="463">
        <f t="shared" si="5"/>
        <v>13.057915255601136</v>
      </c>
      <c r="F24" s="463">
        <f t="shared" si="6"/>
        <v>4205.2801468198322</v>
      </c>
      <c r="G24" s="463">
        <f t="shared" si="7"/>
        <v>0</v>
      </c>
      <c r="H24" s="463">
        <f t="shared" si="8"/>
        <v>0</v>
      </c>
      <c r="I24" s="463">
        <f t="shared" si="9"/>
        <v>0</v>
      </c>
      <c r="J24" s="463">
        <f t="shared" si="10"/>
        <v>243.02520276131349</v>
      </c>
      <c r="K24" s="463">
        <f t="shared" si="11"/>
        <v>0</v>
      </c>
      <c r="L24" s="463">
        <f t="shared" si="12"/>
        <v>0</v>
      </c>
      <c r="M24" s="463">
        <f t="shared" si="13"/>
        <v>0</v>
      </c>
      <c r="N24" s="463">
        <f t="shared" si="14"/>
        <v>0</v>
      </c>
      <c r="O24" s="463">
        <f t="shared" si="15"/>
        <v>0</v>
      </c>
      <c r="P24" s="464">
        <f t="shared" si="16"/>
        <v>0</v>
      </c>
      <c r="Q24" s="462">
        <f t="shared" ca="1" si="17"/>
        <v>5719.1266583682291</v>
      </c>
    </row>
    <row r="25" spans="1:17">
      <c r="A25" s="462" t="s">
        <v>657</v>
      </c>
      <c r="B25" s="463">
        <f t="shared" ca="1" si="2"/>
        <v>5703.6230009464734</v>
      </c>
      <c r="C25" s="463">
        <f t="shared" ca="1" si="3"/>
        <v>0</v>
      </c>
      <c r="D25" s="463">
        <f t="shared" si="4"/>
        <v>27415.641163117143</v>
      </c>
      <c r="E25" s="463">
        <f t="shared" si="5"/>
        <v>445.75196522763162</v>
      </c>
      <c r="F25" s="463">
        <f t="shared" si="6"/>
        <v>6530.3453649061412</v>
      </c>
      <c r="G25" s="463">
        <f t="shared" si="7"/>
        <v>0</v>
      </c>
      <c r="H25" s="463">
        <f t="shared" si="8"/>
        <v>0</v>
      </c>
      <c r="I25" s="463">
        <f t="shared" si="9"/>
        <v>0</v>
      </c>
      <c r="J25" s="463">
        <f t="shared" si="10"/>
        <v>17.052539712725178</v>
      </c>
      <c r="K25" s="463">
        <f t="shared" si="11"/>
        <v>0</v>
      </c>
      <c r="L25" s="463">
        <f t="shared" si="12"/>
        <v>0</v>
      </c>
      <c r="M25" s="463">
        <f t="shared" si="13"/>
        <v>0</v>
      </c>
      <c r="N25" s="463">
        <f t="shared" si="14"/>
        <v>0</v>
      </c>
      <c r="O25" s="463">
        <f t="shared" si="15"/>
        <v>0</v>
      </c>
      <c r="P25" s="464">
        <f t="shared" si="16"/>
        <v>0</v>
      </c>
      <c r="Q25" s="462">
        <f t="shared" ca="1" si="17"/>
        <v>40112.414033910114</v>
      </c>
    </row>
    <row r="26" spans="1:17" s="468" customFormat="1">
      <c r="A26" s="466" t="s">
        <v>574</v>
      </c>
      <c r="B26" s="823">
        <f t="shared" ca="1" si="2"/>
        <v>0.76803053264718713</v>
      </c>
      <c r="C26" s="467">
        <f t="shared" ca="1" si="3"/>
        <v>0</v>
      </c>
      <c r="D26" s="467">
        <f t="shared" si="4"/>
        <v>1.5208735448973294</v>
      </c>
      <c r="E26" s="467">
        <f t="shared" si="5"/>
        <v>50.793999090638408</v>
      </c>
      <c r="F26" s="467">
        <f t="shared" si="6"/>
        <v>0</v>
      </c>
      <c r="G26" s="467">
        <f t="shared" si="7"/>
        <v>15229.562677864265</v>
      </c>
      <c r="H26" s="467">
        <f t="shared" si="8"/>
        <v>2777.2086953694884</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18059.854276401937</v>
      </c>
    </row>
    <row r="27" spans="1:17">
      <c r="A27" s="462" t="s">
        <v>564</v>
      </c>
      <c r="B27" s="463">
        <f t="shared" ca="1" si="2"/>
        <v>0</v>
      </c>
      <c r="C27" s="463">
        <f t="shared" ca="1" si="3"/>
        <v>0</v>
      </c>
      <c r="D27" s="463">
        <f t="shared" si="4"/>
        <v>0</v>
      </c>
      <c r="E27" s="463">
        <f t="shared" si="5"/>
        <v>0</v>
      </c>
      <c r="F27" s="463">
        <f t="shared" si="6"/>
        <v>0</v>
      </c>
      <c r="G27" s="463">
        <f t="shared" si="7"/>
        <v>145.6060165378079</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145.6060165378079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15113.656640107034</v>
      </c>
      <c r="C31" s="473">
        <f t="shared" ca="1" si="18"/>
        <v>0</v>
      </c>
      <c r="D31" s="473">
        <f t="shared" ca="1" si="18"/>
        <v>40332.390207873614</v>
      </c>
      <c r="E31" s="473">
        <f t="shared" si="18"/>
        <v>2017.640043252336</v>
      </c>
      <c r="F31" s="473">
        <f t="shared" ca="1" si="18"/>
        <v>18090.62433824769</v>
      </c>
      <c r="G31" s="473">
        <f t="shared" si="18"/>
        <v>15375.168694402073</v>
      </c>
      <c r="H31" s="473">
        <f t="shared" si="18"/>
        <v>2777.2086953694884</v>
      </c>
      <c r="I31" s="473">
        <f t="shared" si="18"/>
        <v>0</v>
      </c>
      <c r="J31" s="473">
        <f t="shared" si="18"/>
        <v>1265.3239681198766</v>
      </c>
      <c r="K31" s="473">
        <f t="shared" si="18"/>
        <v>0</v>
      </c>
      <c r="L31" s="473">
        <f t="shared" ca="1" si="18"/>
        <v>0</v>
      </c>
      <c r="M31" s="473">
        <f t="shared" si="18"/>
        <v>0</v>
      </c>
      <c r="N31" s="473">
        <f t="shared" ca="1" si="18"/>
        <v>0</v>
      </c>
      <c r="O31" s="473">
        <f t="shared" si="18"/>
        <v>0</v>
      </c>
      <c r="P31" s="474">
        <f t="shared" si="18"/>
        <v>0</v>
      </c>
      <c r="Q31" s="474">
        <f t="shared" ca="1" si="18"/>
        <v>94972.012587372112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0.20594519007829115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0.20594519007829115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0.20594519007829115</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32011</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4995</v>
      </c>
      <c r="C9" s="338">
        <v>4916</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4036</v>
      </c>
    </row>
    <row r="15" spans="1:6">
      <c r="A15" s="1212" t="s">
        <v>184</v>
      </c>
      <c r="B15" s="335">
        <v>647</v>
      </c>
    </row>
    <row r="16" spans="1:6">
      <c r="A16" s="1212" t="s">
        <v>6</v>
      </c>
      <c r="B16" s="335">
        <v>1077</v>
      </c>
    </row>
    <row r="17" spans="1:6">
      <c r="A17" s="1212" t="s">
        <v>7</v>
      </c>
      <c r="B17" s="335">
        <v>1166</v>
      </c>
    </row>
    <row r="18" spans="1:6">
      <c r="A18" s="1212" t="s">
        <v>8</v>
      </c>
      <c r="B18" s="335">
        <v>1880</v>
      </c>
    </row>
    <row r="19" spans="1:6">
      <c r="A19" s="1212" t="s">
        <v>9</v>
      </c>
      <c r="B19" s="335">
        <v>1794</v>
      </c>
    </row>
    <row r="20" spans="1:6">
      <c r="A20" s="1212" t="s">
        <v>10</v>
      </c>
      <c r="B20" s="335">
        <v>899</v>
      </c>
    </row>
    <row r="21" spans="1:6">
      <c r="A21" s="1212" t="s">
        <v>11</v>
      </c>
      <c r="B21" s="335">
        <v>28178</v>
      </c>
    </row>
    <row r="22" spans="1:6">
      <c r="A22" s="1212" t="s">
        <v>12</v>
      </c>
      <c r="B22" s="335">
        <v>72934</v>
      </c>
    </row>
    <row r="23" spans="1:6">
      <c r="A23" s="1212" t="s">
        <v>13</v>
      </c>
      <c r="B23" s="335">
        <v>1447</v>
      </c>
    </row>
    <row r="24" spans="1:6">
      <c r="A24" s="1212" t="s">
        <v>14</v>
      </c>
      <c r="B24" s="335">
        <v>65</v>
      </c>
    </row>
    <row r="25" spans="1:6">
      <c r="A25" s="1212" t="s">
        <v>15</v>
      </c>
      <c r="B25" s="335">
        <v>6683</v>
      </c>
    </row>
    <row r="26" spans="1:6">
      <c r="A26" s="1212" t="s">
        <v>16</v>
      </c>
      <c r="B26" s="335">
        <v>454</v>
      </c>
    </row>
    <row r="27" spans="1:6">
      <c r="A27" s="1212" t="s">
        <v>17</v>
      </c>
      <c r="B27" s="335">
        <v>7</v>
      </c>
    </row>
    <row r="28" spans="1:6" s="341" customFormat="1">
      <c r="A28" s="1213" t="s">
        <v>18</v>
      </c>
      <c r="B28" s="1213">
        <v>108139</v>
      </c>
    </row>
    <row r="29" spans="1:6">
      <c r="A29" s="1213" t="s">
        <v>836</v>
      </c>
      <c r="B29" s="1213">
        <v>197</v>
      </c>
      <c r="C29" s="341"/>
      <c r="D29" s="341"/>
      <c r="E29" s="341"/>
      <c r="F29" s="341"/>
    </row>
    <row r="30" spans="1:6">
      <c r="A30" s="1208" t="s">
        <v>837</v>
      </c>
      <c r="B30" s="1208">
        <v>12</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3</v>
      </c>
      <c r="D36" s="335">
        <v>123122.253259337</v>
      </c>
      <c r="E36" s="335">
        <v>9</v>
      </c>
      <c r="F36" s="335">
        <v>41672</v>
      </c>
    </row>
    <row r="37" spans="1:6">
      <c r="A37" s="1212" t="s">
        <v>25</v>
      </c>
      <c r="B37" s="1212" t="s">
        <v>28</v>
      </c>
      <c r="C37" s="335">
        <v>0</v>
      </c>
      <c r="D37" s="335">
        <v>0</v>
      </c>
      <c r="E37" s="335">
        <v>0</v>
      </c>
      <c r="F37" s="335">
        <v>0</v>
      </c>
    </row>
    <row r="38" spans="1:6">
      <c r="A38" s="1212" t="s">
        <v>25</v>
      </c>
      <c r="B38" s="1212" t="s">
        <v>29</v>
      </c>
      <c r="C38" s="335">
        <v>2</v>
      </c>
      <c r="D38" s="335">
        <v>210350.84780709201</v>
      </c>
      <c r="E38" s="335">
        <v>1</v>
      </c>
      <c r="F38" s="335">
        <v>1814</v>
      </c>
    </row>
    <row r="39" spans="1:6">
      <c r="A39" s="1212" t="s">
        <v>30</v>
      </c>
      <c r="B39" s="1212" t="s">
        <v>31</v>
      </c>
      <c r="C39" s="335">
        <v>2810</v>
      </c>
      <c r="D39" s="335">
        <v>51279655.746601202</v>
      </c>
      <c r="E39" s="335">
        <v>4743</v>
      </c>
      <c r="F39" s="335">
        <v>20280160.02813898</v>
      </c>
    </row>
    <row r="40" spans="1:6">
      <c r="A40" s="1212" t="s">
        <v>30</v>
      </c>
      <c r="B40" s="1212" t="s">
        <v>29</v>
      </c>
      <c r="C40" s="335">
        <v>0</v>
      </c>
      <c r="D40" s="335">
        <v>0</v>
      </c>
      <c r="E40" s="335">
        <v>0</v>
      </c>
      <c r="F40" s="335">
        <v>0</v>
      </c>
    </row>
    <row r="41" spans="1:6">
      <c r="A41" s="1212" t="s">
        <v>32</v>
      </c>
      <c r="B41" s="1212" t="s">
        <v>33</v>
      </c>
      <c r="C41" s="335">
        <v>44</v>
      </c>
      <c r="D41" s="335">
        <v>890537.02332222601</v>
      </c>
      <c r="E41" s="335">
        <v>147</v>
      </c>
      <c r="F41" s="335">
        <v>2924234</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15</v>
      </c>
      <c r="D44" s="335">
        <v>1395354.4100962901</v>
      </c>
      <c r="E44" s="335">
        <v>39</v>
      </c>
      <c r="F44" s="335">
        <v>2384992</v>
      </c>
    </row>
    <row r="45" spans="1:6">
      <c r="A45" s="1212" t="s">
        <v>32</v>
      </c>
      <c r="B45" s="1212" t="s">
        <v>37</v>
      </c>
      <c r="C45" s="335">
        <v>0</v>
      </c>
      <c r="D45" s="335">
        <v>0</v>
      </c>
      <c r="E45" s="335">
        <v>4</v>
      </c>
      <c r="F45" s="335">
        <v>8627148</v>
      </c>
    </row>
    <row r="46" spans="1:6">
      <c r="A46" s="1212" t="s">
        <v>32</v>
      </c>
      <c r="B46" s="1212" t="s">
        <v>38</v>
      </c>
      <c r="C46" s="335">
        <v>0</v>
      </c>
      <c r="D46" s="335">
        <v>0</v>
      </c>
      <c r="E46" s="335">
        <v>0</v>
      </c>
      <c r="F46" s="335">
        <v>0</v>
      </c>
    </row>
    <row r="47" spans="1:6">
      <c r="A47" s="1212" t="s">
        <v>32</v>
      </c>
      <c r="B47" s="1212" t="s">
        <v>39</v>
      </c>
      <c r="C47" s="335">
        <v>0</v>
      </c>
      <c r="D47" s="335">
        <v>0</v>
      </c>
      <c r="E47" s="335">
        <v>3</v>
      </c>
      <c r="F47" s="335">
        <v>1127132</v>
      </c>
    </row>
    <row r="48" spans="1:6">
      <c r="A48" s="1212" t="s">
        <v>32</v>
      </c>
      <c r="B48" s="1212" t="s">
        <v>29</v>
      </c>
      <c r="C48" s="335">
        <v>20</v>
      </c>
      <c r="D48" s="335">
        <v>99649796.108073995</v>
      </c>
      <c r="E48" s="335">
        <v>3</v>
      </c>
      <c r="F48" s="335">
        <v>217802</v>
      </c>
    </row>
    <row r="49" spans="1:6">
      <c r="A49" s="1212" t="s">
        <v>32</v>
      </c>
      <c r="B49" s="1212" t="s">
        <v>40</v>
      </c>
      <c r="C49" s="335">
        <v>0</v>
      </c>
      <c r="D49" s="335">
        <v>0</v>
      </c>
      <c r="E49" s="335">
        <v>0</v>
      </c>
      <c r="F49" s="335">
        <v>0</v>
      </c>
    </row>
    <row r="50" spans="1:6">
      <c r="A50" s="1212" t="s">
        <v>32</v>
      </c>
      <c r="B50" s="1212" t="s">
        <v>41</v>
      </c>
      <c r="C50" s="335">
        <v>13</v>
      </c>
      <c r="D50" s="335">
        <v>48531048.441895001</v>
      </c>
      <c r="E50" s="335">
        <v>22</v>
      </c>
      <c r="F50" s="335">
        <v>12413551</v>
      </c>
    </row>
    <row r="51" spans="1:6">
      <c r="A51" s="1212" t="s">
        <v>42</v>
      </c>
      <c r="B51" s="1212" t="s">
        <v>43</v>
      </c>
      <c r="C51" s="335">
        <v>16</v>
      </c>
      <c r="D51" s="335">
        <v>475547.79582129902</v>
      </c>
      <c r="E51" s="335">
        <v>229</v>
      </c>
      <c r="F51" s="335">
        <v>4560732</v>
      </c>
    </row>
    <row r="52" spans="1:6">
      <c r="A52" s="1212" t="s">
        <v>42</v>
      </c>
      <c r="B52" s="1212" t="s">
        <v>29</v>
      </c>
      <c r="C52" s="335">
        <v>5</v>
      </c>
      <c r="D52" s="335">
        <v>97334.373866603099</v>
      </c>
      <c r="E52" s="335">
        <v>1</v>
      </c>
      <c r="F52" s="335">
        <v>4186.6460826067996</v>
      </c>
    </row>
    <row r="53" spans="1:6">
      <c r="A53" s="1212" t="s">
        <v>44</v>
      </c>
      <c r="B53" s="1212" t="s">
        <v>45</v>
      </c>
      <c r="C53" s="335">
        <v>59</v>
      </c>
      <c r="D53" s="335">
        <v>1170440.45370162</v>
      </c>
      <c r="E53" s="335">
        <v>0</v>
      </c>
      <c r="F53" s="335">
        <v>0</v>
      </c>
    </row>
    <row r="54" spans="1:6">
      <c r="A54" s="1212" t="s">
        <v>46</v>
      </c>
      <c r="B54" s="1212" t="s">
        <v>47</v>
      </c>
      <c r="C54" s="335">
        <v>0</v>
      </c>
      <c r="D54" s="335">
        <v>0</v>
      </c>
      <c r="E54" s="335">
        <v>31</v>
      </c>
      <c r="F54" s="335">
        <v>837921</v>
      </c>
    </row>
    <row r="55" spans="1:6">
      <c r="A55" s="1212" t="s">
        <v>46</v>
      </c>
      <c r="B55" s="1212" t="s">
        <v>29</v>
      </c>
      <c r="C55" s="335">
        <v>0</v>
      </c>
      <c r="D55" s="335">
        <v>0</v>
      </c>
      <c r="E55" s="335">
        <v>0</v>
      </c>
      <c r="F55" s="335">
        <v>0</v>
      </c>
    </row>
    <row r="56" spans="1:6">
      <c r="A56" s="1212" t="s">
        <v>48</v>
      </c>
      <c r="B56" s="1212" t="s">
        <v>29</v>
      </c>
      <c r="C56" s="335">
        <v>0</v>
      </c>
      <c r="D56" s="335">
        <v>0</v>
      </c>
      <c r="E56" s="335">
        <v>71</v>
      </c>
      <c r="F56" s="335">
        <v>307642</v>
      </c>
    </row>
    <row r="57" spans="1:6">
      <c r="A57" s="1212" t="s">
        <v>49</v>
      </c>
      <c r="B57" s="1212" t="s">
        <v>50</v>
      </c>
      <c r="C57" s="335">
        <v>17</v>
      </c>
      <c r="D57" s="335">
        <v>468965.06450268498</v>
      </c>
      <c r="E57" s="335">
        <v>106</v>
      </c>
      <c r="F57" s="335">
        <v>2554203</v>
      </c>
    </row>
    <row r="58" spans="1:6">
      <c r="A58" s="1212" t="s">
        <v>49</v>
      </c>
      <c r="B58" s="1212" t="s">
        <v>51</v>
      </c>
      <c r="C58" s="335">
        <v>10</v>
      </c>
      <c r="D58" s="335">
        <v>175451.77232672001</v>
      </c>
      <c r="E58" s="335">
        <v>13</v>
      </c>
      <c r="F58" s="335">
        <v>564872</v>
      </c>
    </row>
    <row r="59" spans="1:6">
      <c r="A59" s="1212" t="s">
        <v>49</v>
      </c>
      <c r="B59" s="1212" t="s">
        <v>52</v>
      </c>
      <c r="C59" s="335">
        <v>38</v>
      </c>
      <c r="D59" s="335">
        <v>1662901.46070503</v>
      </c>
      <c r="E59" s="335">
        <v>173</v>
      </c>
      <c r="F59" s="335">
        <v>11326239</v>
      </c>
    </row>
    <row r="60" spans="1:6">
      <c r="A60" s="1212" t="s">
        <v>49</v>
      </c>
      <c r="B60" s="1212" t="s">
        <v>53</v>
      </c>
      <c r="C60" s="335">
        <v>34</v>
      </c>
      <c r="D60" s="335">
        <v>6388965.7168712299</v>
      </c>
      <c r="E60" s="335">
        <v>45</v>
      </c>
      <c r="F60" s="335">
        <v>873984</v>
      </c>
    </row>
    <row r="61" spans="1:6">
      <c r="A61" s="1212" t="s">
        <v>49</v>
      </c>
      <c r="B61" s="1212" t="s">
        <v>54</v>
      </c>
      <c r="C61" s="335">
        <v>73</v>
      </c>
      <c r="D61" s="335">
        <v>5977638.2788364897</v>
      </c>
      <c r="E61" s="335">
        <v>173</v>
      </c>
      <c r="F61" s="335">
        <v>1436197</v>
      </c>
    </row>
    <row r="62" spans="1:6">
      <c r="A62" s="1212" t="s">
        <v>49</v>
      </c>
      <c r="B62" s="1212" t="s">
        <v>55</v>
      </c>
      <c r="C62" s="335">
        <v>0</v>
      </c>
      <c r="D62" s="335">
        <v>0</v>
      </c>
      <c r="E62" s="335">
        <v>9</v>
      </c>
      <c r="F62" s="335">
        <v>416470</v>
      </c>
    </row>
    <row r="63" spans="1:6">
      <c r="A63" s="1212" t="s">
        <v>49</v>
      </c>
      <c r="B63" s="1212" t="s">
        <v>29</v>
      </c>
      <c r="C63" s="335">
        <v>81</v>
      </c>
      <c r="D63" s="335">
        <v>3186439.8299043202</v>
      </c>
      <c r="E63" s="335">
        <v>1</v>
      </c>
      <c r="F63" s="335">
        <v>6421.7641936137998</v>
      </c>
    </row>
    <row r="64" spans="1:6">
      <c r="A64" s="1212" t="s">
        <v>56</v>
      </c>
      <c r="B64" s="1212" t="s">
        <v>57</v>
      </c>
      <c r="C64" s="335">
        <v>0</v>
      </c>
      <c r="D64" s="335">
        <v>0</v>
      </c>
      <c r="E64" s="335">
        <v>0</v>
      </c>
      <c r="F64" s="335">
        <v>0</v>
      </c>
    </row>
    <row r="65" spans="1:6">
      <c r="A65" s="1212" t="s">
        <v>56</v>
      </c>
      <c r="B65" s="1212" t="s">
        <v>29</v>
      </c>
      <c r="C65" s="335">
        <v>1</v>
      </c>
      <c r="D65" s="335">
        <v>7561.3487629507999</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3</v>
      </c>
      <c r="D68" s="335">
        <v>66590.781663063201</v>
      </c>
      <c r="E68" s="335">
        <v>25</v>
      </c>
      <c r="F68" s="335">
        <v>334411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31105504</v>
      </c>
      <c r="E73" s="335">
        <v>34285029.638217665</v>
      </c>
    </row>
    <row r="74" spans="1:6">
      <c r="A74" s="1212" t="s">
        <v>64</v>
      </c>
      <c r="B74" s="1212" t="s">
        <v>727</v>
      </c>
      <c r="C74" s="1212" t="s">
        <v>728</v>
      </c>
      <c r="D74" s="335">
        <v>3417007.0909913243</v>
      </c>
      <c r="E74" s="335">
        <v>3681867.8422957384</v>
      </c>
    </row>
    <row r="75" spans="1:6">
      <c r="A75" s="1212" t="s">
        <v>65</v>
      </c>
      <c r="B75" s="1212" t="s">
        <v>725</v>
      </c>
      <c r="C75" s="1212" t="s">
        <v>729</v>
      </c>
      <c r="D75" s="335">
        <v>37191681</v>
      </c>
      <c r="E75" s="335">
        <v>37280350.526985146</v>
      </c>
    </row>
    <row r="76" spans="1:6">
      <c r="A76" s="1212" t="s">
        <v>65</v>
      </c>
      <c r="B76" s="1212" t="s">
        <v>727</v>
      </c>
      <c r="C76" s="1212" t="s">
        <v>730</v>
      </c>
      <c r="D76" s="335">
        <v>2803635.0909913243</v>
      </c>
      <c r="E76" s="335">
        <v>2752007.4920520177</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150479.81801735121</v>
      </c>
      <c r="C83" s="335">
        <v>151377.58266388567</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2826.8163550121817</v>
      </c>
    </row>
    <row r="92" spans="1:6">
      <c r="A92" s="1208" t="s">
        <v>69</v>
      </c>
      <c r="B92" s="338">
        <v>2172.3881273973002</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1808</v>
      </c>
    </row>
    <row r="98" spans="1:6">
      <c r="A98" s="1212" t="s">
        <v>72</v>
      </c>
      <c r="B98" s="335">
        <v>0</v>
      </c>
    </row>
    <row r="99" spans="1:6">
      <c r="A99" s="1212" t="s">
        <v>73</v>
      </c>
      <c r="B99" s="335">
        <v>168</v>
      </c>
    </row>
    <row r="100" spans="1:6">
      <c r="A100" s="1212" t="s">
        <v>74</v>
      </c>
      <c r="B100" s="335">
        <v>328</v>
      </c>
    </row>
    <row r="101" spans="1:6">
      <c r="A101" s="1212" t="s">
        <v>75</v>
      </c>
      <c r="B101" s="335">
        <v>134</v>
      </c>
    </row>
    <row r="102" spans="1:6">
      <c r="A102" s="1212" t="s">
        <v>76</v>
      </c>
      <c r="B102" s="335">
        <v>74</v>
      </c>
    </row>
    <row r="103" spans="1:6">
      <c r="A103" s="1212" t="s">
        <v>77</v>
      </c>
      <c r="B103" s="335">
        <v>170</v>
      </c>
    </row>
    <row r="104" spans="1:6">
      <c r="A104" s="1212" t="s">
        <v>78</v>
      </c>
      <c r="B104" s="335">
        <v>1855</v>
      </c>
    </row>
    <row r="105" spans="1:6">
      <c r="A105" s="1208" t="s">
        <v>79</v>
      </c>
      <c r="B105" s="1208">
        <v>5</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4</v>
      </c>
      <c r="C123" s="335">
        <v>4</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120</v>
      </c>
    </row>
    <row r="130" spans="1:6">
      <c r="A130" s="1212" t="s">
        <v>295</v>
      </c>
      <c r="B130" s="335">
        <v>5</v>
      </c>
    </row>
    <row r="131" spans="1:6">
      <c r="A131" s="1212" t="s">
        <v>296</v>
      </c>
      <c r="B131" s="335">
        <v>1</v>
      </c>
    </row>
    <row r="132" spans="1:6">
      <c r="A132" s="1208" t="s">
        <v>297</v>
      </c>
      <c r="B132" s="338">
        <v>4</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73386.791089228645</v>
      </c>
      <c r="C3" s="43" t="s">
        <v>170</v>
      </c>
      <c r="D3" s="43"/>
      <c r="E3" s="156"/>
      <c r="F3" s="43"/>
      <c r="G3" s="43"/>
      <c r="H3" s="43"/>
      <c r="I3" s="43"/>
      <c r="J3" s="43"/>
      <c r="K3" s="96"/>
    </row>
    <row r="4" spans="1:11">
      <c r="A4" s="366" t="s">
        <v>171</v>
      </c>
      <c r="B4" s="49">
        <f>IF(ISERROR('SEAP template'!B69),0,'SEAP template'!B69)</f>
        <v>4999.2044824094819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0.20594519007829115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837.92100000000005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837.92100000000005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0.20594519007829115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172.5657996155918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20280.16002813898</v>
      </c>
      <c r="C5" s="17">
        <f>IF(ISERROR('Eigen informatie GS &amp; warmtenet'!B57),0,'Eigen informatie GS &amp; warmtenet'!B57)</f>
        <v>0</v>
      </c>
      <c r="D5" s="30">
        <f>(SUM(HH_hh_gas_kWh,HH_rest_gas_kWh)/1000)*0.902</f>
        <v>46254.249483434287</v>
      </c>
      <c r="E5" s="17">
        <f>B46*B57</f>
        <v>6412.455861358676</v>
      </c>
      <c r="F5" s="17">
        <f>B51*B62</f>
        <v>24103.453360425665</v>
      </c>
      <c r="G5" s="18"/>
      <c r="H5" s="17"/>
      <c r="I5" s="17"/>
      <c r="J5" s="17">
        <f>B50*B61+C50*C61</f>
        <v>2839.6786035193163</v>
      </c>
      <c r="K5" s="17"/>
      <c r="L5" s="17"/>
      <c r="M5" s="17"/>
      <c r="N5" s="17">
        <f>B48*B59+C48*C59</f>
        <v>19174.627352216819</v>
      </c>
      <c r="O5" s="17">
        <f>B69*B70*B71</f>
        <v>193.85333333333335</v>
      </c>
      <c r="P5" s="17">
        <f>B77*B78*B79/1000-B77*B78*B79/1000/B80</f>
        <v>152.53333333333333</v>
      </c>
    </row>
    <row r="6" spans="1:16">
      <c r="A6" s="16" t="s">
        <v>634</v>
      </c>
      <c r="B6" s="831">
        <f>kWh_PV_kleiner_dan_10kW</f>
        <v>2826.8163550121817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23106.976383151163</v>
      </c>
      <c r="C8" s="21">
        <f>C5</f>
        <v>0</v>
      </c>
      <c r="D8" s="21">
        <f>D5</f>
        <v>46254.249483434287</v>
      </c>
      <c r="E8" s="21">
        <f>E5</f>
        <v>6412.455861358676</v>
      </c>
      <c r="F8" s="21">
        <f>F5</f>
        <v>24103.453360425665</v>
      </c>
      <c r="G8" s="21"/>
      <c r="H8" s="21"/>
      <c r="I8" s="21"/>
      <c r="J8" s="21">
        <f>J5</f>
        <v>2839.6786035193163</v>
      </c>
      <c r="K8" s="21"/>
      <c r="L8" s="21">
        <f>L5</f>
        <v>0</v>
      </c>
      <c r="M8" s="21">
        <f>M5</f>
        <v>0</v>
      </c>
      <c r="N8" s="21">
        <f>N5</f>
        <v>19174.627352216819</v>
      </c>
      <c r="O8" s="21">
        <f>O5</f>
        <v>193.85333333333335</v>
      </c>
      <c r="P8" s="21">
        <f>P5</f>
        <v>152.53333333333333</v>
      </c>
    </row>
    <row r="9" spans="1:16">
      <c r="B9" s="19"/>
      <c r="C9" s="19"/>
      <c r="D9" s="261"/>
      <c r="E9" s="19"/>
      <c r="F9" s="19"/>
      <c r="G9" s="19"/>
      <c r="H9" s="19"/>
      <c r="I9" s="19"/>
      <c r="J9" s="19"/>
      <c r="K9" s="19"/>
      <c r="L9" s="19"/>
      <c r="M9" s="19"/>
      <c r="N9" s="19"/>
      <c r="O9" s="19"/>
      <c r="P9" s="19"/>
    </row>
    <row r="10" spans="1:16">
      <c r="A10" s="24" t="s">
        <v>214</v>
      </c>
      <c r="B10" s="25">
        <f ca="1">'EF ele_warmte'!B12</f>
        <v>0.20594519007829115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4758.7706433626508</v>
      </c>
      <c r="C12" s="23">
        <f ca="1">C10*C8</f>
        <v>0</v>
      </c>
      <c r="D12" s="23">
        <f>D8*D10</f>
        <v>9343.3583956537259</v>
      </c>
      <c r="E12" s="23">
        <f>E10*E8</f>
        <v>1455.6274805284195</v>
      </c>
      <c r="F12" s="23">
        <f>F10*F8</f>
        <v>6435.6220472336527</v>
      </c>
      <c r="G12" s="23"/>
      <c r="H12" s="23"/>
      <c r="I12" s="23"/>
      <c r="J12" s="23">
        <f>J10*J8</f>
        <v>1005.246225645838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1808</v>
      </c>
      <c r="C18" s="168" t="s">
        <v>111</v>
      </c>
      <c r="D18" s="230"/>
      <c r="E18" s="15"/>
    </row>
    <row r="19" spans="1:7">
      <c r="A19" s="173" t="s">
        <v>72</v>
      </c>
      <c r="B19" s="37">
        <f>aantalw2001_ander</f>
        <v>0</v>
      </c>
      <c r="C19" s="168" t="s">
        <v>111</v>
      </c>
      <c r="D19" s="231"/>
      <c r="E19" s="15"/>
    </row>
    <row r="20" spans="1:7">
      <c r="A20" s="173" t="s">
        <v>73</v>
      </c>
      <c r="B20" s="37">
        <f>aantalw2001_propaan</f>
        <v>168</v>
      </c>
      <c r="C20" s="169">
        <f>IF(ISERROR(B20/SUM($B$20,$B$21,$B$22)*100),0,B20/SUM($B$20,$B$21,$B$22)*100)</f>
        <v>26.666666666666668</v>
      </c>
      <c r="D20" s="231"/>
      <c r="E20" s="15"/>
    </row>
    <row r="21" spans="1:7">
      <c r="A21" s="173" t="s">
        <v>74</v>
      </c>
      <c r="B21" s="37">
        <f>aantalw2001_elektriciteit</f>
        <v>328</v>
      </c>
      <c r="C21" s="169">
        <f>IF(ISERROR(B21/SUM($B$20,$B$21,$B$22)*100),0,B21/SUM($B$20,$B$21,$B$22)*100)</f>
        <v>52.06349206349207</v>
      </c>
      <c r="D21" s="231"/>
      <c r="E21" s="15"/>
    </row>
    <row r="22" spans="1:7">
      <c r="A22" s="173" t="s">
        <v>75</v>
      </c>
      <c r="B22" s="37">
        <f>aantalw2001_hout</f>
        <v>134</v>
      </c>
      <c r="C22" s="169">
        <f>IF(ISERROR(B22/SUM($B$20,$B$21,$B$22)*100),0,B22/SUM($B$20,$B$21,$B$22)*100)</f>
        <v>21.269841269841269</v>
      </c>
      <c r="D22" s="231"/>
      <c r="E22" s="15"/>
    </row>
    <row r="23" spans="1:7">
      <c r="A23" s="173" t="s">
        <v>76</v>
      </c>
      <c r="B23" s="37">
        <f>aantalw2001_niet_gespec</f>
        <v>74</v>
      </c>
      <c r="C23" s="168" t="s">
        <v>111</v>
      </c>
      <c r="D23" s="230"/>
      <c r="E23" s="15"/>
    </row>
    <row r="24" spans="1:7">
      <c r="A24" s="173" t="s">
        <v>77</v>
      </c>
      <c r="B24" s="37">
        <f>aantalw2001_steenkool</f>
        <v>170</v>
      </c>
      <c r="C24" s="168" t="s">
        <v>111</v>
      </c>
      <c r="D24" s="231"/>
      <c r="E24" s="15"/>
    </row>
    <row r="25" spans="1:7">
      <c r="A25" s="173" t="s">
        <v>78</v>
      </c>
      <c r="B25" s="37">
        <f>aantalw2001_stookolie</f>
        <v>1855</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4995</v>
      </c>
      <c r="C28" s="36"/>
      <c r="D28" s="230"/>
    </row>
    <row r="29" spans="1:7" s="15" customFormat="1">
      <c r="A29" s="232" t="s">
        <v>746</v>
      </c>
      <c r="B29" s="37">
        <f>SUM(HH_hh_gas_aantal,HH_rest_gas_aantal)</f>
        <v>2810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2810</v>
      </c>
      <c r="C32" s="169">
        <f>IF(ISERROR(B32/SUM($B$32,$B$34,$B$35,$B$36,$B$38,$B$39)*100),0,B32/SUM($B$32,$B$34,$B$35,$B$36,$B$38,$B$39)*100)</f>
        <v>56.346500902346087</v>
      </c>
      <c r="D32" s="235"/>
      <c r="G32" s="15"/>
    </row>
    <row r="33" spans="1:7">
      <c r="A33" s="173" t="s">
        <v>72</v>
      </c>
      <c r="B33" s="34" t="s">
        <v>111</v>
      </c>
      <c r="C33" s="169"/>
      <c r="D33" s="235"/>
      <c r="G33" s="15"/>
    </row>
    <row r="34" spans="1:7">
      <c r="A34" s="173" t="s">
        <v>73</v>
      </c>
      <c r="B34" s="33">
        <f>IF((($B$28-$B$32-$B$39-$B$77-$B$38)*C20/100)&lt;0,0,($B$28-$B$32-$B$39-$B$77-$B$38)*C20/100)</f>
        <v>307.73333333333341</v>
      </c>
      <c r="C34" s="169">
        <f>IF(ISERROR(B34/SUM($B$32,$B$34,$B$35,$B$36,$B$38,$B$39)*100),0,B34/SUM($B$32,$B$34,$B$35,$B$36,$B$38,$B$39)*100)</f>
        <v>6.1707105140030745</v>
      </c>
      <c r="D34" s="235"/>
      <c r="G34" s="15"/>
    </row>
    <row r="35" spans="1:7">
      <c r="A35" s="173" t="s">
        <v>74</v>
      </c>
      <c r="B35" s="33">
        <f>IF((($B$28-$B$32-$B$39-$B$77-$B$38)*C21/100)&lt;0,0,($B$28-$B$32-$B$39-$B$77-$B$38)*C21/100)</f>
        <v>600.81269841269864</v>
      </c>
      <c r="C35" s="169">
        <f>IF(ISERROR(B35/SUM($B$32,$B$34,$B$35,$B$36,$B$38,$B$39)*100),0,B35/SUM($B$32,$B$34,$B$35,$B$36,$B$38,$B$39)*100)</f>
        <v>12.047577670196482</v>
      </c>
      <c r="D35" s="235"/>
      <c r="G35" s="15"/>
    </row>
    <row r="36" spans="1:7">
      <c r="A36" s="173" t="s">
        <v>75</v>
      </c>
      <c r="B36" s="33">
        <f>IF((($B$28-$B$32-$B$39-$B$77-$B$38)*C22/100)&lt;0,0,($B$28-$B$32-$B$39-$B$77-$B$38)*C22/100)</f>
        <v>245.4539682539683</v>
      </c>
      <c r="C36" s="169">
        <f>IF(ISERROR(B36/SUM($B$32,$B$34,$B$35,$B$36,$B$38,$B$39)*100),0,B36/SUM($B$32,$B$34,$B$35,$B$36,$B$38,$B$39)*100)</f>
        <v>4.921876243311976</v>
      </c>
      <c r="D36" s="235"/>
      <c r="G36" s="15"/>
    </row>
    <row r="37" spans="1:7">
      <c r="A37" s="173" t="s">
        <v>76</v>
      </c>
      <c r="B37" s="34" t="s">
        <v>111</v>
      </c>
      <c r="C37" s="169"/>
      <c r="D37" s="175"/>
      <c r="G37" s="15"/>
    </row>
    <row r="38" spans="1:7">
      <c r="A38" s="173" t="s">
        <v>77</v>
      </c>
      <c r="B38" s="33">
        <f>IF((B24-(B29-B18)*0.1)&lt;0,0,B24-(B29-B18)*0.1)</f>
        <v>69.8</v>
      </c>
      <c r="C38" s="169">
        <f>IF(ISERROR(B38/SUM($B$32,$B$34,$B$35,$B$36,$B$38,$B$39)*100),0,B38/SUM($B$32,$B$34,$B$35,$B$36,$B$38,$B$39)*100)</f>
        <v>1.3996390615600558</v>
      </c>
      <c r="D38" s="236"/>
      <c r="G38" s="15"/>
    </row>
    <row r="39" spans="1:7">
      <c r="A39" s="173" t="s">
        <v>78</v>
      </c>
      <c r="B39" s="33">
        <f>IF((B25-(B29-B18))&lt;0,0,B25-(B29-B18)*0.9)</f>
        <v>953.19999999999993</v>
      </c>
      <c r="C39" s="169">
        <f>IF(ISERROR(B39/SUM($B$32,$B$34,$B$35,$B$36,$B$38,$B$39)*100),0,B39/SUM($B$32,$B$34,$B$35,$B$36,$B$38,$B$39)*100)</f>
        <v>19.113695608582308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2810</v>
      </c>
      <c r="C44" s="34" t="s">
        <v>111</v>
      </c>
      <c r="D44" s="176"/>
    </row>
    <row r="45" spans="1:7">
      <c r="A45" s="173" t="s">
        <v>72</v>
      </c>
      <c r="B45" s="33" t="str">
        <f t="shared" si="0"/>
        <v>-</v>
      </c>
      <c r="C45" s="34" t="s">
        <v>111</v>
      </c>
      <c r="D45" s="176"/>
    </row>
    <row r="46" spans="1:7">
      <c r="A46" s="173" t="s">
        <v>73</v>
      </c>
      <c r="B46" s="33">
        <f t="shared" si="0"/>
        <v>307.73333333333341</v>
      </c>
      <c r="C46" s="34" t="s">
        <v>111</v>
      </c>
      <c r="D46" s="176"/>
    </row>
    <row r="47" spans="1:7">
      <c r="A47" s="173" t="s">
        <v>74</v>
      </c>
      <c r="B47" s="33">
        <f t="shared" si="0"/>
        <v>600.81269841269864</v>
      </c>
      <c r="C47" s="34" t="s">
        <v>111</v>
      </c>
      <c r="D47" s="176"/>
    </row>
    <row r="48" spans="1:7">
      <c r="A48" s="173" t="s">
        <v>75</v>
      </c>
      <c r="B48" s="33">
        <f t="shared" si="0"/>
        <v>245.4539682539683</v>
      </c>
      <c r="C48" s="33">
        <f>B48*10</f>
        <v>2454.5396825396829</v>
      </c>
      <c r="D48" s="236"/>
    </row>
    <row r="49" spans="1:6">
      <c r="A49" s="173" t="s">
        <v>76</v>
      </c>
      <c r="B49" s="33" t="str">
        <f t="shared" si="0"/>
        <v>-</v>
      </c>
      <c r="C49" s="34" t="s">
        <v>111</v>
      </c>
      <c r="D49" s="236"/>
    </row>
    <row r="50" spans="1:6">
      <c r="A50" s="173" t="s">
        <v>77</v>
      </c>
      <c r="B50" s="33">
        <f t="shared" si="0"/>
        <v>69.8</v>
      </c>
      <c r="C50" s="33">
        <f>B50*2</f>
        <v>139.6</v>
      </c>
      <c r="D50" s="236"/>
    </row>
    <row r="51" spans="1:6">
      <c r="A51" s="173" t="s">
        <v>78</v>
      </c>
      <c r="B51" s="33">
        <f t="shared" si="0"/>
        <v>953.19999999999993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17178.386764193612</v>
      </c>
      <c r="C5" s="17">
        <f>IF(ISERROR('Eigen informatie GS &amp; warmtenet'!B58),0,'Eigen informatie GS &amp; warmtenet'!B58)</f>
        <v>0</v>
      </c>
      <c r="D5" s="30">
        <f>SUM(D6:D12)</f>
        <v>16110.046635078121</v>
      </c>
      <c r="E5" s="17">
        <f>SUM(E6:E12)</f>
        <v>230.87525616760058</v>
      </c>
      <c r="F5" s="17">
        <f>SUM(F6:F12)</f>
        <v>3443.3587239253338</v>
      </c>
      <c r="G5" s="18"/>
      <c r="H5" s="17"/>
      <c r="I5" s="17"/>
      <c r="J5" s="17">
        <f>SUM(J6:J12)</f>
        <v>0</v>
      </c>
      <c r="K5" s="17"/>
      <c r="L5" s="17"/>
      <c r="M5" s="17"/>
      <c r="N5" s="17">
        <f>SUM(N6:N12)</f>
        <v>1819.1861809610664</v>
      </c>
      <c r="O5" s="17">
        <f>B38*B39*B40</f>
        <v>7.8166666666666664</v>
      </c>
      <c r="P5" s="17">
        <f>B46*B47*B48/1000-B46*B47*B48/1000/B49</f>
        <v>19.066666666666666</v>
      </c>
      <c r="R5" s="32"/>
    </row>
    <row r="6" spans="1:18">
      <c r="A6" s="32" t="s">
        <v>54</v>
      </c>
      <c r="B6" s="37">
        <f>B26</f>
        <v>1436.1969999999999</v>
      </c>
      <c r="C6" s="33"/>
      <c r="D6" s="37">
        <f>IF(ISERROR(TER_kantoor_gas_kWh/1000),0,TER_kantoor_gas_kWh/1000)*0.902</f>
        <v>5391.8297275105142</v>
      </c>
      <c r="E6" s="33">
        <f>$C$26*'E Balans VL '!I12/100/3.6*1000000</f>
        <v>5.579929405620943</v>
      </c>
      <c r="F6" s="33">
        <f>$C$26*('E Balans VL '!L12+'E Balans VL '!N12)/100/3.6*1000000</f>
        <v>218.43249534919931</v>
      </c>
      <c r="G6" s="34"/>
      <c r="H6" s="33"/>
      <c r="I6" s="33"/>
      <c r="J6" s="33">
        <f>$C$26*('E Balans VL '!D12+'E Balans VL '!E12)/100/3.6*1000000</f>
        <v>0</v>
      </c>
      <c r="K6" s="33"/>
      <c r="L6" s="33"/>
      <c r="M6" s="33"/>
      <c r="N6" s="33">
        <f>$C$26*'E Balans VL '!Y12/100/3.6*1000000</f>
        <v>0.79151659916348105</v>
      </c>
      <c r="O6" s="33"/>
      <c r="P6" s="33"/>
      <c r="R6" s="32"/>
    </row>
    <row r="7" spans="1:18">
      <c r="A7" s="32" t="s">
        <v>53</v>
      </c>
      <c r="B7" s="37">
        <f t="shared" ref="B7:B12" si="0">B27</f>
        <v>873.98400000000004</v>
      </c>
      <c r="C7" s="33"/>
      <c r="D7" s="37">
        <f>IF(ISERROR(TER_horeca_gas_kWh/1000),0,TER_horeca_gas_kWh/1000)*0.902</f>
        <v>5762.8470766178498</v>
      </c>
      <c r="E7" s="33">
        <f>$C$27*'E Balans VL '!I9/100/3.6*1000000</f>
        <v>49.231752384607468</v>
      </c>
      <c r="F7" s="33">
        <f>$C$27*('E Balans VL '!L9+'E Balans VL '!N9)/100/3.6*1000000</f>
        <v>252.00466124606919</v>
      </c>
      <c r="G7" s="34"/>
      <c r="H7" s="33"/>
      <c r="I7" s="33"/>
      <c r="J7" s="33">
        <f>$C$27*('E Balans VL '!D9+'E Balans VL '!E9)/100/3.6*1000000</f>
        <v>0</v>
      </c>
      <c r="K7" s="33"/>
      <c r="L7" s="33"/>
      <c r="M7" s="33"/>
      <c r="N7" s="33">
        <f>$C$27*'E Balans VL '!Y9/100/3.6*1000000</f>
        <v>0.24130244075182627</v>
      </c>
      <c r="O7" s="33"/>
      <c r="P7" s="33"/>
      <c r="R7" s="32"/>
    </row>
    <row r="8" spans="1:18">
      <c r="A8" s="6" t="s">
        <v>52</v>
      </c>
      <c r="B8" s="37">
        <f t="shared" si="0"/>
        <v>11326.239</v>
      </c>
      <c r="C8" s="33"/>
      <c r="D8" s="37">
        <f>IF(ISERROR(TER_handel_gas_kWh/1000),0,TER_handel_gas_kWh/1000)*0.902</f>
        <v>1499.9371175559372</v>
      </c>
      <c r="E8" s="33">
        <f>$C$28*'E Balans VL '!I13/100/3.6*1000000</f>
        <v>163.24953009646404</v>
      </c>
      <c r="F8" s="33">
        <f>$C$28*('E Balans VL '!L13+'E Balans VL '!N13)/100/3.6*1000000</f>
        <v>1967.6314846073919</v>
      </c>
      <c r="G8" s="34"/>
      <c r="H8" s="33"/>
      <c r="I8" s="33"/>
      <c r="J8" s="33">
        <f>$C$28*('E Balans VL '!D13+'E Balans VL '!E13)/100/3.6*1000000</f>
        <v>0</v>
      </c>
      <c r="K8" s="33"/>
      <c r="L8" s="33"/>
      <c r="M8" s="33"/>
      <c r="N8" s="33">
        <f>$C$28*'E Balans VL '!Y13/100/3.6*1000000</f>
        <v>33.934672906899443</v>
      </c>
      <c r="O8" s="33"/>
      <c r="P8" s="33"/>
      <c r="R8" s="32"/>
    </row>
    <row r="9" spans="1:18">
      <c r="A9" s="32" t="s">
        <v>51</v>
      </c>
      <c r="B9" s="37">
        <f t="shared" si="0"/>
        <v>564.87199999999996</v>
      </c>
      <c r="C9" s="33"/>
      <c r="D9" s="37">
        <f>IF(ISERROR(TER_gezond_gas_kWh/1000),0,TER_gezond_gas_kWh/1000)*0.902</f>
        <v>158.25749863870143</v>
      </c>
      <c r="E9" s="33">
        <f>$C$29*'E Balans VL '!I10/100/3.6*1000000</f>
        <v>0.60342970544568353</v>
      </c>
      <c r="F9" s="33">
        <f>$C$29*('E Balans VL '!L10+'E Balans VL '!N10)/100/3.6*1000000</f>
        <v>92.147790304279695</v>
      </c>
      <c r="G9" s="34"/>
      <c r="H9" s="33"/>
      <c r="I9" s="33"/>
      <c r="J9" s="33">
        <f>$C$29*('E Balans VL '!D10+'E Balans VL '!E10)/100/3.6*1000000</f>
        <v>0</v>
      </c>
      <c r="K9" s="33"/>
      <c r="L9" s="33"/>
      <c r="M9" s="33"/>
      <c r="N9" s="33">
        <f>$C$29*'E Balans VL '!Y10/100/3.6*1000000</f>
        <v>5.8150349304669744</v>
      </c>
      <c r="O9" s="33"/>
      <c r="P9" s="33"/>
      <c r="R9" s="32"/>
    </row>
    <row r="10" spans="1:18">
      <c r="A10" s="32" t="s">
        <v>50</v>
      </c>
      <c r="B10" s="37">
        <f t="shared" si="0"/>
        <v>2554.203</v>
      </c>
      <c r="C10" s="33"/>
      <c r="D10" s="37">
        <f>IF(ISERROR(TER_ander_gas_kWh/1000),0,TER_ander_gas_kWh/1000)*0.902</f>
        <v>423.00648818142184</v>
      </c>
      <c r="E10" s="33">
        <f>$C$30*'E Balans VL '!I14/100/3.6*1000000</f>
        <v>11.746391073882219</v>
      </c>
      <c r="F10" s="33">
        <f>$C$30*('E Balans VL '!L14+'E Balans VL '!N14)/100/3.6*1000000</f>
        <v>765.57520590382728</v>
      </c>
      <c r="G10" s="34"/>
      <c r="H10" s="33"/>
      <c r="I10" s="33"/>
      <c r="J10" s="33">
        <f>$C$30*('E Balans VL '!D14+'E Balans VL '!E14)/100/3.6*1000000</f>
        <v>0</v>
      </c>
      <c r="K10" s="33"/>
      <c r="L10" s="33"/>
      <c r="M10" s="33"/>
      <c r="N10" s="33">
        <f>$C$30*'E Balans VL '!Y14/100/3.6*1000000</f>
        <v>1777.8938929034091</v>
      </c>
      <c r="O10" s="33"/>
      <c r="P10" s="33"/>
      <c r="R10" s="32"/>
    </row>
    <row r="11" spans="1:18">
      <c r="A11" s="32" t="s">
        <v>55</v>
      </c>
      <c r="B11" s="37">
        <f t="shared" si="0"/>
        <v>416.47</v>
      </c>
      <c r="C11" s="33"/>
      <c r="D11" s="37">
        <f>IF(ISERROR(TER_onderwijs_gas_kWh/1000),0,TER_onderwijs_gas_kWh/1000)*0.902</f>
        <v>0</v>
      </c>
      <c r="E11" s="33">
        <f>$C$31*'E Balans VL '!I11/100/3.6*1000000</f>
        <v>0.38633069446086676</v>
      </c>
      <c r="F11" s="33">
        <f>$C$31*('E Balans VL '!L11+'E Balans VL '!N11)/100/3.6*1000000</f>
        <v>146.2963391252315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6.4217641936138001</v>
      </c>
      <c r="C12" s="33"/>
      <c r="D12" s="37">
        <f>IF(ISERROR(TER_rest_gas_kWh/1000),0,TER_rest_gas_kWh/1000)*0.902</f>
        <v>2874.1687265736969</v>
      </c>
      <c r="E12" s="33">
        <f>$C$32*'E Balans VL '!I8/100/3.6*1000000</f>
        <v>7.7892807119355853E-2</v>
      </c>
      <c r="F12" s="33">
        <f>$C$32*('E Balans VL '!L8+'E Balans VL '!N8)/100/3.6*1000000</f>
        <v>1.2707473893349561</v>
      </c>
      <c r="G12" s="34"/>
      <c r="H12" s="33"/>
      <c r="I12" s="33"/>
      <c r="J12" s="33">
        <f>$C$32*('E Balans VL '!D8+'E Balans VL '!E8)/100/3.6*1000000</f>
        <v>0</v>
      </c>
      <c r="K12" s="33"/>
      <c r="L12" s="33"/>
      <c r="M12" s="33"/>
      <c r="N12" s="33">
        <f>$C$32*'E Balans VL '!Y8/100/3.6*1000000</f>
        <v>0.50976118037563667</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17178.386764193612</v>
      </c>
      <c r="C16" s="21">
        <f t="shared" ca="1" si="1"/>
        <v>0</v>
      </c>
      <c r="D16" s="21">
        <f t="shared" ca="1" si="1"/>
        <v>16110.046635078121</v>
      </c>
      <c r="E16" s="21">
        <f t="shared" si="1"/>
        <v>230.87525616760058</v>
      </c>
      <c r="F16" s="21">
        <f t="shared" ca="1" si="1"/>
        <v>3443.3587239253338</v>
      </c>
      <c r="G16" s="21">
        <f t="shared" si="1"/>
        <v>0</v>
      </c>
      <c r="H16" s="21">
        <f t="shared" si="1"/>
        <v>0</v>
      </c>
      <c r="I16" s="21">
        <f t="shared" si="1"/>
        <v>0</v>
      </c>
      <c r="J16" s="21">
        <f t="shared" si="1"/>
        <v>0</v>
      </c>
      <c r="K16" s="21">
        <f t="shared" si="1"/>
        <v>0</v>
      </c>
      <c r="L16" s="21">
        <f t="shared" ca="1" si="1"/>
        <v>0</v>
      </c>
      <c r="M16" s="21">
        <f t="shared" si="1"/>
        <v>0</v>
      </c>
      <c r="N16" s="21">
        <f t="shared" ca="1" si="1"/>
        <v>1819.1861809610664</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0.20594519007829115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3537.8061273902545</v>
      </c>
      <c r="C20" s="23">
        <f t="shared" ref="C20:P20" ca="1" si="2">C16*C18</f>
        <v>0</v>
      </c>
      <c r="D20" s="23">
        <f t="shared" ca="1" si="2"/>
        <v>3254.2294202857806</v>
      </c>
      <c r="E20" s="23">
        <f t="shared" si="2"/>
        <v>52.408683150045334</v>
      </c>
      <c r="F20" s="23">
        <f t="shared" ca="1" si="2"/>
        <v>919.3767792880642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1436.1969999999999</v>
      </c>
      <c r="C26" s="39">
        <f>IF(ISERROR(B26*3.6/1000000/'E Balans VL '!Z12*100),0,B26*3.6/1000000/'E Balans VL '!Z12*100)</f>
        <v>3.0505535679513123E-2</v>
      </c>
      <c r="D26" s="239" t="s">
        <v>692</v>
      </c>
      <c r="F26" s="6"/>
    </row>
    <row r="27" spans="1:18">
      <c r="A27" s="233" t="s">
        <v>53</v>
      </c>
      <c r="B27" s="33">
        <f>IF(ISERROR(TER_horeca_ele_kWh/1000),0,TER_horeca_ele_kWh/1000)</f>
        <v>873.98400000000004</v>
      </c>
      <c r="C27" s="39">
        <f>IF(ISERROR(B27*3.6/1000000/'E Balans VL '!Z9*100),0,B27*3.6/1000000/'E Balans VL '!Z9*100)</f>
        <v>6.7957578630989265E-2</v>
      </c>
      <c r="D27" s="239" t="s">
        <v>692</v>
      </c>
      <c r="F27" s="6"/>
    </row>
    <row r="28" spans="1:18">
      <c r="A28" s="173" t="s">
        <v>52</v>
      </c>
      <c r="B28" s="33">
        <f>IF(ISERROR(TER_handel_ele_kWh/1000),0,TER_handel_ele_kWh/1000)</f>
        <v>11326.239</v>
      </c>
      <c r="C28" s="39">
        <f>IF(ISERROR(B28*3.6/1000000/'E Balans VL '!Z13*100),0,B28*3.6/1000000/'E Balans VL '!Z13*100)</f>
        <v>0.32405702743987036</v>
      </c>
      <c r="D28" s="239" t="s">
        <v>692</v>
      </c>
      <c r="F28" s="6"/>
    </row>
    <row r="29" spans="1:18">
      <c r="A29" s="233" t="s">
        <v>51</v>
      </c>
      <c r="B29" s="33">
        <f>IF(ISERROR(TER_gezond_ele_kWh/1000),0,TER_gezond_ele_kWh/1000)</f>
        <v>564.87199999999996</v>
      </c>
      <c r="C29" s="39">
        <f>IF(ISERROR(B29*3.6/1000000/'E Balans VL '!Z10*100),0,B29*3.6/1000000/'E Balans VL '!Z10*100)</f>
        <v>6.1584174051048733E-2</v>
      </c>
      <c r="D29" s="239" t="s">
        <v>692</v>
      </c>
      <c r="F29" s="6"/>
    </row>
    <row r="30" spans="1:18">
      <c r="A30" s="233" t="s">
        <v>50</v>
      </c>
      <c r="B30" s="33">
        <f>IF(ISERROR(TER_ander_ele_kWh/1000),0,TER_ander_ele_kWh/1000)</f>
        <v>2554.203</v>
      </c>
      <c r="C30" s="39">
        <f>IF(ISERROR(B30*3.6/1000000/'E Balans VL '!Z14*100),0,B30*3.6/1000000/'E Balans VL '!Z14*100)</f>
        <v>0.18691078146784559</v>
      </c>
      <c r="D30" s="239" t="s">
        <v>692</v>
      </c>
      <c r="F30" s="6"/>
    </row>
    <row r="31" spans="1:18">
      <c r="A31" s="233" t="s">
        <v>55</v>
      </c>
      <c r="B31" s="33">
        <f>IF(ISERROR(TER_onderwijs_ele_kWh/1000),0,TER_onderwijs_ele_kWh/1000)</f>
        <v>416.47</v>
      </c>
      <c r="C31" s="39">
        <f>IF(ISERROR(B31*3.6/1000000/'E Balans VL '!Z11*100),0,B31*3.6/1000000/'E Balans VL '!Z11*100)</f>
        <v>8.3648308762094128E-2</v>
      </c>
      <c r="D31" s="239" t="s">
        <v>692</v>
      </c>
    </row>
    <row r="32" spans="1:18">
      <c r="A32" s="233" t="s">
        <v>260</v>
      </c>
      <c r="B32" s="33">
        <f>IF(ISERROR(TER_rest_ele_kWh/1000),0,TER_rest_ele_kWh/1000)</f>
        <v>6.4217641936138001</v>
      </c>
      <c r="C32" s="39">
        <f>IF(ISERROR(B32*3.6/1000000/'E Balans VL '!Z8*100),0,B32*3.6/1000000/'E Balans VL '!Z8*100)</f>
        <v>5.2333481007275462E-5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5</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27694.859000000004</v>
      </c>
      <c r="C5" s="17">
        <f>IF(ISERROR('Eigen informatie GS &amp; warmtenet'!B59),0,'Eigen informatie GS &amp; warmtenet'!B59)</f>
        <v>0</v>
      </c>
      <c r="D5" s="30">
        <f>SUM(D6:D15)</f>
        <v>135720.99585701554</v>
      </c>
      <c r="E5" s="17">
        <f>SUM(E6:E15)</f>
        <v>1963.6650450556458</v>
      </c>
      <c r="F5" s="17">
        <f>SUM(F6:F15)</f>
        <v>24458.222340472439</v>
      </c>
      <c r="G5" s="18"/>
      <c r="H5" s="17"/>
      <c r="I5" s="17"/>
      <c r="J5" s="17">
        <f>SUM(J6:J15)</f>
        <v>48.171016137641743</v>
      </c>
      <c r="K5" s="17"/>
      <c r="L5" s="17"/>
      <c r="M5" s="17"/>
      <c r="N5" s="17">
        <f>SUM(N6:N15)</f>
        <v>7118.0058105275875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2384.9920000000002</v>
      </c>
      <c r="C8" s="33"/>
      <c r="D8" s="37">
        <f>IF( ISERROR(IND_metaal_Gas_kWH/1000),0,IND_metaal_Gas_kWH/1000)*0.902</f>
        <v>1258.6096779068537</v>
      </c>
      <c r="E8" s="33">
        <f>C30*'E Balans VL '!I18/100/3.6*1000000</f>
        <v>68.505922401729734</v>
      </c>
      <c r="F8" s="33">
        <f>C30*'E Balans VL '!L18/100/3.6*1000000+C30*'E Balans VL '!N18/100/3.6*1000000</f>
        <v>611.70457801180532</v>
      </c>
      <c r="G8" s="34"/>
      <c r="H8" s="33"/>
      <c r="I8" s="33"/>
      <c r="J8" s="40">
        <f>C30*'E Balans VL '!D18/100/3.6*1000000+C30*'E Balans VL '!E18/100/3.6*1000000</f>
        <v>0</v>
      </c>
      <c r="K8" s="33"/>
      <c r="L8" s="33"/>
      <c r="M8" s="33"/>
      <c r="N8" s="33">
        <f>C30*'E Balans VL '!Y18/100/3.6*1000000</f>
        <v>64.75740125842411</v>
      </c>
      <c r="O8" s="33"/>
      <c r="P8" s="33"/>
      <c r="R8" s="32"/>
    </row>
    <row r="9" spans="1:18">
      <c r="A9" s="6" t="s">
        <v>33</v>
      </c>
      <c r="B9" s="37">
        <f t="shared" si="0"/>
        <v>2924.2339999999999</v>
      </c>
      <c r="C9" s="33"/>
      <c r="D9" s="37">
        <f>IF( ISERROR(IND_andere_gas_kWh/1000),0,IND_andere_gas_kWh/1000)*0.902</f>
        <v>803.2643950366479</v>
      </c>
      <c r="E9" s="33">
        <f>C31*'E Balans VL '!I19/100/3.6*1000000</f>
        <v>791.51824554036898</v>
      </c>
      <c r="F9" s="33">
        <f>C31*'E Balans VL '!L19/100/3.6*1000000+C31*'E Balans VL '!N19/100/3.6*1000000</f>
        <v>1947.8492925979947</v>
      </c>
      <c r="G9" s="34"/>
      <c r="H9" s="33"/>
      <c r="I9" s="33"/>
      <c r="J9" s="40">
        <f>C31*'E Balans VL '!D19/100/3.6*1000000+C31*'E Balans VL '!E19/100/3.6*1000000</f>
        <v>0</v>
      </c>
      <c r="K9" s="33"/>
      <c r="L9" s="33"/>
      <c r="M9" s="33"/>
      <c r="N9" s="33">
        <f>C31*'E Balans VL '!Y19/100/3.6*1000000</f>
        <v>954.71382531464656</v>
      </c>
      <c r="O9" s="33"/>
      <c r="P9" s="33"/>
      <c r="R9" s="32"/>
    </row>
    <row r="10" spans="1:18">
      <c r="A10" s="6" t="s">
        <v>41</v>
      </c>
      <c r="B10" s="37">
        <f t="shared" si="0"/>
        <v>12413.550999999999</v>
      </c>
      <c r="C10" s="33"/>
      <c r="D10" s="37">
        <f>IF( ISERROR(IND_voed_gas_kWh/1000),0,IND_voed_gas_kWh/1000)*0.902</f>
        <v>43775.005694589294</v>
      </c>
      <c r="E10" s="33">
        <f>C32*'E Balans VL '!I20/100/3.6*1000000</f>
        <v>1012.4777389513093</v>
      </c>
      <c r="F10" s="33">
        <f>C32*'E Balans VL '!L20/100/3.6*1000000+C32*'E Balans VL '!N20/100/3.6*1000000</f>
        <v>18509.73079703073</v>
      </c>
      <c r="G10" s="34"/>
      <c r="H10" s="33"/>
      <c r="I10" s="33"/>
      <c r="J10" s="40">
        <f>C32*'E Balans VL '!D20/100/3.6*1000000+C32*'E Balans VL '!E20/100/3.6*1000000</f>
        <v>0.1642162117004714</v>
      </c>
      <c r="K10" s="33"/>
      <c r="L10" s="33"/>
      <c r="M10" s="33"/>
      <c r="N10" s="33">
        <f>C32*'E Balans VL '!Y20/100/3.6*1000000</f>
        <v>3646.663256816722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8627.1479999999992</v>
      </c>
      <c r="C12" s="33"/>
      <c r="D12" s="37">
        <f>IF( ISERROR(IND_min_gas_kWh/1000),0,IND_min_gas_kWh/1000)*0.902</f>
        <v>0</v>
      </c>
      <c r="E12" s="33">
        <f>C34*'E Balans VL '!I22/100/3.6*1000000</f>
        <v>67.203603144464466</v>
      </c>
      <c r="F12" s="33">
        <f>C34*'E Balans VL '!L22/100/3.6*1000000+C34*'E Balans VL '!N22/100/3.6*1000000</f>
        <v>3253.6300711632939</v>
      </c>
      <c r="G12" s="34"/>
      <c r="H12" s="33"/>
      <c r="I12" s="33"/>
      <c r="J12" s="40">
        <f>C34*'E Balans VL '!D22/100/3.6*1000000+C34*'E Balans VL '!E22/100/3.6*1000000</f>
        <v>47.448559703194945</v>
      </c>
      <c r="K12" s="33"/>
      <c r="L12" s="33"/>
      <c r="M12" s="33"/>
      <c r="N12" s="33">
        <f>C34*'E Balans VL '!Y22/100/3.6*1000000</f>
        <v>0</v>
      </c>
      <c r="O12" s="33"/>
      <c r="P12" s="33"/>
      <c r="R12" s="32"/>
    </row>
    <row r="13" spans="1:18">
      <c r="A13" s="6" t="s">
        <v>39</v>
      </c>
      <c r="B13" s="37">
        <f t="shared" si="0"/>
        <v>1127.1320000000001</v>
      </c>
      <c r="C13" s="33"/>
      <c r="D13" s="37">
        <f>IF( ISERROR(IND_papier_gas_kWh/1000),0,IND_papier_gas_kWh/1000)*0.902</f>
        <v>0</v>
      </c>
      <c r="E13" s="33">
        <f>C35*'E Balans VL '!I23/100/3.6*1000000</f>
        <v>11.808761083908507</v>
      </c>
      <c r="F13" s="33">
        <f>C35*'E Balans VL '!L23/100/3.6*1000000+C35*'E Balans VL '!N23/100/3.6*1000000</f>
        <v>84.106789619675666</v>
      </c>
      <c r="G13" s="34"/>
      <c r="H13" s="33"/>
      <c r="I13" s="33"/>
      <c r="J13" s="40">
        <f>C35*'E Balans VL '!D23/100/3.6*1000000+C35*'E Balans VL '!E23/100/3.6*1000000</f>
        <v>0</v>
      </c>
      <c r="K13" s="33"/>
      <c r="L13" s="33"/>
      <c r="M13" s="33"/>
      <c r="N13" s="33">
        <f>C35*'E Balans VL '!Y23/100/3.6*1000000</f>
        <v>2409.1270035364046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217.80199999999999</v>
      </c>
      <c r="C15" s="33"/>
      <c r="D15" s="37">
        <f>IF( ISERROR(IND_rest_gas_kWh/1000),0,IND_rest_gas_kWh/1000)*0.902</f>
        <v>89884.116089482748</v>
      </c>
      <c r="E15" s="33">
        <f>C37*'E Balans VL '!I15/100/3.6*1000000</f>
        <v>12.150773933864849</v>
      </c>
      <c r="F15" s="33">
        <f>C37*'E Balans VL '!L15/100/3.6*1000000+C37*'E Balans VL '!N15/100/3.6*1000000</f>
        <v>51.200812048936434</v>
      </c>
      <c r="G15" s="34"/>
      <c r="H15" s="33"/>
      <c r="I15" s="33"/>
      <c r="J15" s="40">
        <f>C37*'E Balans VL '!D15/100/3.6*1000000+C37*'E Balans VL '!E15/100/3.6*1000000</f>
        <v>0.55824022274632612</v>
      </c>
      <c r="K15" s="33"/>
      <c r="L15" s="33"/>
      <c r="M15" s="33"/>
      <c r="N15" s="33">
        <f>C37*'E Balans VL '!Y15/100/3.6*1000000</f>
        <v>42.744323601389191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27694.859000000004</v>
      </c>
      <c r="C18" s="21">
        <f>C5+C16</f>
        <v>0</v>
      </c>
      <c r="D18" s="21">
        <f>MAX((D5+D16),0)</f>
        <v>135720.99585701554</v>
      </c>
      <c r="E18" s="21">
        <f>MAX((E5+E16),0)</f>
        <v>1963.6650450556458</v>
      </c>
      <c r="F18" s="21">
        <f>MAX((F5+F16),0)</f>
        <v>24458.222340472439</v>
      </c>
      <c r="G18" s="21"/>
      <c r="H18" s="21"/>
      <c r="I18" s="21"/>
      <c r="J18" s="21">
        <f>MAX((J5+J16),0)</f>
        <v>48.171016137641743</v>
      </c>
      <c r="K18" s="21"/>
      <c r="L18" s="21">
        <f>MAX((L5+L16),0)</f>
        <v>0</v>
      </c>
      <c r="M18" s="21"/>
      <c r="N18" s="21">
        <f>MAX((N5+N16),0)</f>
        <v>7118.0058105275875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0.20594519007829115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5703.6230009464734</v>
      </c>
      <c r="C22" s="23">
        <f ca="1">C18*C20</f>
        <v>0</v>
      </c>
      <c r="D22" s="23">
        <f>D18*D20</f>
        <v>27415.641163117143</v>
      </c>
      <c r="E22" s="23">
        <f>E18*E20</f>
        <v>445.75196522763162</v>
      </c>
      <c r="F22" s="23">
        <f>F18*F20</f>
        <v>6530.3453649061412</v>
      </c>
      <c r="G22" s="23"/>
      <c r="H22" s="23"/>
      <c r="I22" s="23"/>
      <c r="J22" s="23">
        <f>J18*J20</f>
        <v>17.052539712725178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2384.9920000000002</v>
      </c>
      <c r="C30" s="39">
        <f>IF(ISERROR(B30*3.6/1000000/'E Balans VL '!Z18*100),0,B30*3.6/1000000/'E Balans VL '!Z18*100)</f>
        <v>0.23467712456397374</v>
      </c>
      <c r="D30" s="239" t="s">
        <v>692</v>
      </c>
    </row>
    <row r="31" spans="1:18">
      <c r="A31" s="6" t="s">
        <v>33</v>
      </c>
      <c r="B31" s="37">
        <f>IF( ISERROR(IND_ander_ele_kWh/1000),0,IND_ander_ele_kWh/1000)</f>
        <v>2924.2339999999999</v>
      </c>
      <c r="C31" s="39">
        <f>IF(ISERROR(B31*3.6/1000000/'E Balans VL '!Z19*100),0,B31*3.6/1000000/'E Balans VL '!Z19*100)</f>
        <v>0.1273480580615162</v>
      </c>
      <c r="D31" s="239" t="s">
        <v>692</v>
      </c>
    </row>
    <row r="32" spans="1:18">
      <c r="A32" s="173" t="s">
        <v>41</v>
      </c>
      <c r="B32" s="37">
        <f>IF( ISERROR(IND_voed_ele_kWh/1000),0,IND_voed_ele_kWh/1000)</f>
        <v>12413.550999999999</v>
      </c>
      <c r="C32" s="39">
        <f>IF(ISERROR(B32*3.6/1000000/'E Balans VL '!Z20*100),0,B32*3.6/1000000/'E Balans VL '!Z20*100)</f>
        <v>2.3552922793692179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8627.1479999999992</v>
      </c>
      <c r="C34" s="39">
        <f>IF(ISERROR(B34*3.6/1000000/'E Balans VL '!Z22*100),0,B34*3.6/1000000/'E Balans VL '!Z22*100)</f>
        <v>1.2130636399199559</v>
      </c>
      <c r="D34" s="239" t="s">
        <v>692</v>
      </c>
    </row>
    <row r="35" spans="1:5">
      <c r="A35" s="173" t="s">
        <v>39</v>
      </c>
      <c r="B35" s="37">
        <f>IF( ISERROR(IND_papier_ele_kWh/1000),0,IND_papier_ele_kWh/1000)</f>
        <v>1127.1320000000001</v>
      </c>
      <c r="C35" s="39">
        <f>IF(ISERROR(B35*3.6/1000000/'E Balans VL '!Z22*100),0,B35*3.6/1000000/'E Balans VL '!Z22*100)</f>
        <v>0.15848607750675656</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217.80199999999999</v>
      </c>
      <c r="C37" s="39">
        <f>IF(ISERROR(B37*3.6/1000000/'E Balans VL '!Z15*100),0,B37*3.6/1000000/'E Balans VL '!Z15*100)</f>
        <v>1.678431925998684E-3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4564.9186460826068</v>
      </c>
      <c r="C5" s="17">
        <f>'Eigen informatie GS &amp; warmtenet'!B60</f>
        <v>0</v>
      </c>
      <c r="D5" s="30">
        <f>IF(ISERROR(SUM(LB_lb_gas_kWh,LB_rest_gas_kWh,onbekend_gas_kWh)/1000),0,SUM(LB_lb_gas_kWh,LB_rest_gas_kWh,onbekend_gas_kWh)/1000)*0.902</f>
        <v>1572.4770062973489</v>
      </c>
      <c r="E5" s="17">
        <f>B17*'E Balans VL '!I25/3.6*1000000/100</f>
        <v>57.523855751546854</v>
      </c>
      <c r="F5" s="17">
        <f>B17*('E Balans VL '!L25/3.6*1000000+'E Balans VL '!N25/3.6*1000000)/100</f>
        <v>15750.112909437572</v>
      </c>
      <c r="G5" s="18"/>
      <c r="H5" s="17"/>
      <c r="I5" s="17"/>
      <c r="J5" s="17">
        <f>('E Balans VL '!D25+'E Balans VL '!E25)/3.6*1000000*landbouw!B17/100</f>
        <v>686.51187220710028</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4564.9186460826068</v>
      </c>
      <c r="C8" s="21">
        <f>C5+C6</f>
        <v>0</v>
      </c>
      <c r="D8" s="21">
        <f>MAX((D5+D6),0)</f>
        <v>1572.4770062973489</v>
      </c>
      <c r="E8" s="21">
        <f>MAX((E5+E6),0)</f>
        <v>57.523855751546854</v>
      </c>
      <c r="F8" s="21">
        <f>MAX((F5+F6),0)</f>
        <v>15750.112909437572</v>
      </c>
      <c r="G8" s="21"/>
      <c r="H8" s="21"/>
      <c r="I8" s="21"/>
      <c r="J8" s="21">
        <f>MAX((J5+J6),0)</f>
        <v>686.51187220710028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0.20594519007829115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940.12303825941797</v>
      </c>
      <c r="C12" s="23">
        <f ca="1">C8*C10</f>
        <v>0</v>
      </c>
      <c r="D12" s="23">
        <f>D8*D10</f>
        <v>317.64035527206448</v>
      </c>
      <c r="E12" s="23">
        <f>E8*E10</f>
        <v>13.057915255601136</v>
      </c>
      <c r="F12" s="23">
        <f>F8*F10</f>
        <v>4205.2801468198322</v>
      </c>
      <c r="G12" s="23"/>
      <c r="H12" s="23"/>
      <c r="I12" s="23"/>
      <c r="J12" s="23">
        <f>J8*J10</f>
        <v>243.02520276131349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0.63666227324437796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623.72259468760831</v>
      </c>
      <c r="C26" s="249">
        <f>B26*'GWP N2O_CH4'!B5</f>
        <v>13098.174488439774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560.03372568835357</v>
      </c>
      <c r="C27" s="249">
        <f>B27*'GWP N2O_CH4'!B5</f>
        <v>11760.708239455425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10.597106823085294</v>
      </c>
      <c r="C28" s="249">
        <f>B28*'GWP N2O_CH4'!B4</f>
        <v>3285.1031151564412</v>
      </c>
      <c r="D28" s="50"/>
    </row>
    <row r="29" spans="1:4">
      <c r="A29" s="41" t="s">
        <v>277</v>
      </c>
      <c r="B29" s="249">
        <f>B34*'ha_N2O bodem landbouw'!B4</f>
        <v>24.040935092318378</v>
      </c>
      <c r="C29" s="249">
        <f>B29*'GWP N2O_CH4'!B4</f>
        <v>7452.6898786186975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6.0027812688237614E-3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1.3425464884510188E-5</v>
      </c>
      <c r="C5" s="448" t="s">
        <v>211</v>
      </c>
      <c r="D5" s="433">
        <f>SUM(D6:D11)</f>
        <v>2.7104677037774185E-5</v>
      </c>
      <c r="E5" s="433">
        <f>SUM(E6:E11)</f>
        <v>8.0554359791320813E-4</v>
      </c>
      <c r="F5" s="446" t="s">
        <v>211</v>
      </c>
      <c r="G5" s="433">
        <f>SUM(G6:G11)</f>
        <v>0.20534241812850693</v>
      </c>
      <c r="H5" s="433">
        <f>SUM(H6:H11)</f>
        <v>4.0152414872811883E-2</v>
      </c>
      <c r="I5" s="448" t="s">
        <v>211</v>
      </c>
      <c r="J5" s="448" t="s">
        <v>211</v>
      </c>
      <c r="K5" s="448" t="s">
        <v>211</v>
      </c>
      <c r="L5" s="448" t="s">
        <v>211</v>
      </c>
      <c r="M5" s="433">
        <f>SUM(M6:M11)</f>
        <v>1.0982250857149068E-2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6.1145397378675448E-6</v>
      </c>
      <c r="C6" s="949"/>
      <c r="D6" s="949">
        <f>vkm_2011_GW_PW*SUMIFS(TableVerdeelsleutelVkm[CNG],TableVerdeelsleutelVkm[Voertuigtype],"Lichte voertuigen")*SUMIFS(TableECFTransport[EnergieConsumptieFactor (PJ per km)],TableECFTransport[Index],CONCATENATE($A6,"_CNG_CNG"))</f>
        <v>8.6593841542594313E-6</v>
      </c>
      <c r="E6" s="949">
        <f>vkm_2011_GW_PW*SUMIFS(TableVerdeelsleutelVkm[LPG],TableVerdeelsleutelVkm[Voertuigtype],"Lichte voertuigen")*SUMIFS(TableECFTransport[EnergieConsumptieFactor (PJ per km)],TableECFTransport[Index],CONCATENATE($A6,"_LPG_LPG"))</f>
        <v>2.7196274884005046E-4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4.8879152861216607E-2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1.3134273050729051E-2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2.7673138969857929E-3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3.225568710583105E-2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1.1492232413858169E-5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1.4555649557052978E-3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7.310925146642644E-6</v>
      </c>
      <c r="C8" s="949"/>
      <c r="D8" s="436">
        <f>vkm_2011_NGW_PW*SUMIFS(TableVerdeelsleutelVkm[CNG],TableVerdeelsleutelVkm[Voertuigtype],"Lichte voertuigen")*SUMIFS(TableECFTransport[EnergieConsumptieFactor (PJ per km)],TableECFTransport[Index],CONCATENATE($A8,"_CNG_CNG"))</f>
        <v>1.8445292883514754E-5</v>
      </c>
      <c r="E8" s="436">
        <f>vkm_2011_NGW_PW*SUMIFS(TableVerdeelsleutelVkm[LPG],TableVerdeelsleutelVkm[Voertuigtype],"Lichte voertuigen")*SUMIFS(TableECFTransport[EnergieConsumptieFactor (PJ per km)],TableECFTransport[Index],CONCATENATE($A8,"_LPG_LPG"))</f>
        <v>5.3358084907315767E-4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9.0447128049577857E-2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2.6995267263336137E-2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5.2359310149910823E-3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3.3760450111881425E-2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1.13823263328327E-5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1.5234409894668947E-3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3.7292958012528299</v>
      </c>
      <c r="C14" s="21"/>
      <c r="D14" s="21">
        <f t="shared" ref="D14:M14" si="0">((D5)*10^9/3600)+D12</f>
        <v>7.529076954937274</v>
      </c>
      <c r="E14" s="21">
        <f t="shared" si="0"/>
        <v>223.76211053144672</v>
      </c>
      <c r="F14" s="21"/>
      <c r="G14" s="21">
        <f t="shared" si="0"/>
        <v>57039.560591251924</v>
      </c>
      <c r="H14" s="21">
        <f t="shared" si="0"/>
        <v>11153.448575781078</v>
      </c>
      <c r="I14" s="21"/>
      <c r="J14" s="21"/>
      <c r="K14" s="21"/>
      <c r="L14" s="21"/>
      <c r="M14" s="21">
        <f t="shared" si="0"/>
        <v>3050.6252380969636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0.20594519007829115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0.76803053264718713</v>
      </c>
      <c r="C18" s="23"/>
      <c r="D18" s="23">
        <f t="shared" ref="D18:M18" si="1">D14*D16</f>
        <v>1.5208735448973294</v>
      </c>
      <c r="E18" s="23">
        <f t="shared" si="1"/>
        <v>50.793999090638408</v>
      </c>
      <c r="F18" s="23"/>
      <c r="G18" s="23">
        <f t="shared" si="1"/>
        <v>15229.562677864265</v>
      </c>
      <c r="H18" s="23">
        <f t="shared" si="1"/>
        <v>2777.2086953694884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1.9632271892738146E-3</v>
      </c>
      <c r="H50" s="323">
        <f t="shared" si="2"/>
        <v>0</v>
      </c>
      <c r="I50" s="323">
        <f t="shared" si="2"/>
        <v>0</v>
      </c>
      <c r="J50" s="323">
        <f t="shared" si="2"/>
        <v>0</v>
      </c>
      <c r="K50" s="323">
        <f t="shared" si="2"/>
        <v>0</v>
      </c>
      <c r="L50" s="323">
        <f t="shared" si="2"/>
        <v>0</v>
      </c>
      <c r="M50" s="323">
        <f t="shared" si="2"/>
        <v>8.7309514996543281E-5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1.9632271892738146E-3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8.7309514996543281E-5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545.34088590939291</v>
      </c>
      <c r="H54" s="21">
        <f t="shared" si="3"/>
        <v>0</v>
      </c>
      <c r="I54" s="21">
        <f t="shared" si="3"/>
        <v>0</v>
      </c>
      <c r="J54" s="21">
        <f t="shared" si="3"/>
        <v>0</v>
      </c>
      <c r="K54" s="21">
        <f t="shared" si="3"/>
        <v>0</v>
      </c>
      <c r="L54" s="21">
        <f t="shared" si="3"/>
        <v>0</v>
      </c>
      <c r="M54" s="21">
        <f t="shared" si="3"/>
        <v>24.252643054595357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0.20594519007829115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145.6060165378079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4999.2044824094819</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4999.2044824094819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2018-06-27T09:30:48Z</dcterms:modified>
</cp:coreProperties>
</file>