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I14" i="15"/>
  <c r="I16" s="1"/>
  <c r="J10" i="14" s="1"/>
  <c r="B13" i="16"/>
  <c r="C35"/>
  <c r="E9" i="14"/>
  <c r="D14" i="15"/>
  <c r="P22" i="16"/>
  <c r="Q39" i="14" s="1"/>
  <c r="P18" i="16"/>
  <c r="L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P15" i="14" l="1"/>
  <c r="P23" s="1"/>
  <c r="N7" i="48"/>
  <c r="N24" s="1"/>
  <c r="M22" i="14"/>
  <c r="E16" i="15"/>
  <c r="E20" s="1"/>
  <c r="F36" i="14" s="1"/>
  <c r="D8" i="48"/>
  <c r="D25" s="1"/>
  <c r="O22" i="14"/>
  <c r="O22" i="16"/>
  <c r="P39" i="14" s="1"/>
  <c r="J16" i="15"/>
  <c r="K10" i="14" s="1"/>
  <c r="P41"/>
  <c r="P53"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8" i="14"/>
  <c r="R17"/>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E5" i="48"/>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N22" i="16" l="1"/>
  <c r="O39" i="14" s="1"/>
  <c r="O41" s="1"/>
  <c r="O53" s="1"/>
  <c r="O13"/>
  <c r="O15" s="1"/>
  <c r="K13"/>
  <c r="K15" s="1"/>
  <c r="K23"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<sst xmlns="http://schemas.openxmlformats.org/spreadsheetml/2006/main" count="1961" uniqueCount="840">
  <si>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</si>
  <si>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</si>
  <si>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</si>
  <si>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</si>
  <si>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</si>
  <si>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</si>
  <si>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</si>
  <si>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</si>
  <si>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</si>
  <si>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</si>
  <si>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</si>
  <si>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</si>
  <si>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</si>
  <si>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</si>
  <si>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</si>
  <si>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</si>
  <si>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</si>
  <si>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</si>
  <si>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</si>
  <si>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</si>
  <si>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</si>
  <si>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</si>
  <si>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</si>
  <si>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</si>
  <si>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</si>
  <si>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</si>
  <si>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</si>
  <si>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</si>
  <si>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</si>
  <si>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</si>
  <si>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</si>
  <si>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</si>
  <si>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</si>
  <si>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</si>
  <si>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</si>
  <si>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</si>
  <si>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</si>
  <si>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</si>
  <si>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</si>
  <si>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</si>
  <si>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</si>
  <si>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</si>
  <si>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</si>
  <si>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</si>
  <si>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</si>
  <si>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</si>
  <si>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</si>
  <si>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</si>
  <si>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</si>
  <si>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</si>
  <si>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</si>
  <si>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</si>
  <si>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</si>
  <si>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</si>
  <si>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</si>
  <si>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</si>
  <si>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</si>
  <si>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</si>
  <si>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</si>
  <si>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</si>
  <si>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</si>
  <si>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</si>
  <si>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</si>
  <si>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</si>
  <si>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</si>
  <si>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</si>
  <si>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</si>
  <si>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</si>
  <si>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</si>
  <si>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</si>
  <si>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</si>
  <si>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</si>
  <si>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</si>
  <si>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</si>
  <si>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</si>
  <si>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</si>
  <si>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</si>
  <si>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</si>
  <si>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</si>
  <si>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</si>
  <si>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</si>
  <si>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</si>
  <si>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</si>
  <si>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</si>
  <si>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</si>
  <si>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</si>
  <si>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</si>
  <si>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</si>
  <si>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</si>
  <si>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</si>
  <si>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</si>
  <si>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</si>
  <si>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</si>
  <si>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</si>
  <si>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</si>
  <si>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</si>
  <si>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</si>
  <si>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</si>
  <si>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</si>
  <si>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</si>
  <si>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</si>
  <si>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</si>
  <si>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</si>
  <si>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</si>
  <si>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</si>
  <si>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</si>
  <si>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</si>
  <si>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</si>
  <si>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</si>
  <si>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</si>
  <si>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</si>
  <si>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</si>
  <si>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</si>
  <si>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</si>
  <si>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</si>
  <si>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</si>
  <si>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</si>
  <si>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</si>
  <si>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</si>
  <si>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</si>
  <si>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</si>
  <si>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</si>
  <si>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</si>
  <si>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</si>
  <si>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</si>
  <si>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</si>
  <si>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</si>
  <si>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</si>
  <si>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</si>
  <si>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</si>
  <si>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</si>
  <si>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</si>
  <si>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</si>
  <si>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</si>
  <si>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</si>
  <si>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</si>
  <si>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</si>
  <si>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</si>
  <si>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</si>
  <si>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</si>
  <si>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</si>
  <si>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</si>
  <si>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</si>
  <si>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</si>
  <si>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</si>
  <si>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</si>
  <si>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</si>
  <si>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</si>
  <si>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</si>
  <si>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</si>
  <si>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</si>
  <si>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</si>
  <si>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</si>
  <si>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</si>
  <si>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</si>
  <si>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</si>
  <si>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</si>
  <si>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</si>
  <si>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</si>
  <si>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</si>
  <si>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</si>
  <si>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</si>
  <si>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</si>
  <si>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</si>
  <si>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</si>
  <si>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</si>
  <si>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</si>
  <si>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</si>
  <si>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</si>
  <si>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</si>
  <si>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</si>
  <si>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</si>
  <si>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</si>
  <si>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</si>
  <si>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</si>
  <si>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</si>
  <si>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</si>
  <si>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</si>
  <si>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</si>
  <si>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</si>
  <si>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</si>
  <si>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</si>
  <si>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</si>
  <si>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</si>
  <si>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</si>
  <si>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</si>
  <si>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</si>
  <si>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</si>
  <si>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</si>
  <si>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</si>
  <si>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</si>
  <si>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</si>
  <si>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</si>
  <si>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</si>
  <si>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</si>
  <si>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</si>
  <si>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</si>
  <si>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</si>
  <si>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</si>
  <si>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</si>
  <si>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</si>
  <si>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</si>
  <si>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</si>
  <si>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</si>
  <si>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</si>
  <si>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</si>
  <si>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</si>
  <si>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</si>
  <si>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</si>
  <si>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</si>
  <si>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</si>
  <si>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</si>
  <si>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</si>
  <si>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</si>
  <si>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</si>
  <si>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</si>
  <si>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</si>
  <si>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</si>
  <si>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</si>
  <si>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</si>
  <si>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</si>
  <si>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</si>
  <si>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</si>
  <si>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</si>
  <si>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</si>
  <si>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</si>
  <si>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</si>
  <si>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</si>
  <si>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</si>
  <si>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</si>
  <si>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</si>
  <si>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</si>
  <si>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</si>
  <si>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</si>
  <si>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</si>
  <si>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</si>
  <si>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</si>
  <si>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</si>
  <si>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</si>
  <si>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</si>
  <si>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</si>
  <si>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</si>
  <si>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</si>
  <si>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</si>
  <si>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</si>
  <si>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</si>
  <si>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</si>
  <si>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</si>
  <si>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</si>
  <si>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</si>
  <si>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</si>
  <si>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</si>
  <si>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</si>
  <si>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</si>
  <si>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</si>
  <si>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</si>
  <si>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</si>
  <si>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</si>
  <si>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</si>
  <si>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</si>
  <si>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</si>
  <si>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</si>
  <si>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</si>
  <si>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</si>
  <si>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</si>
  <si>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</si>
  <si>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</si>
  <si>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</si>
  <si>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</si>
  <si>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</si>
  <si>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</si>
  <si>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</si>
  <si>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</si>
  <si>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</si>
  <si>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</si>
  <si>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</si>
  <si>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</si>
  <si>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</si>
  <si>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</si>
  <si>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</si>
  <si>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</si>
  <si>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</si>
  <si>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</si>
  <si>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</si>
  <si>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</si>
  <si>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</si>
  <si>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</si>
  <si>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</si>
  <si>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</si>
  <si>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</si>
  <si>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</si>
  <si>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</si>
  <si>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</si>
  <si>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</si>
  <si>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</si>
  <si>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</si>
  <si>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</si>
  <si>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</si>
  <si>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</si>
  <si>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</si>
  <si>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</si>
  <si>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</si>
  <si>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</si>
  <si>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</si>
  <si>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</si>
  <si>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</si>
  <si>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</si>
  <si>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</si>
  <si>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</si>
  <si>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</si>
  <si>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</si>
  <si>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</si>
  <si>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</si>
  <si>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</si>
  <si>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</si>
  <si>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</si>
  <si>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</si>
  <si>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</si>
  <si>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</si>
  <si>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</si>
  <si>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</si>
  <si>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</si>
  <si>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</si>
  <si>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</si>
  <si>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</si>
  <si>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</si>
  <si>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</si>
  <si>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</si>
  <si>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</si>
  <si>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</si>
  <si>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</si>
  <si>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</si>
  <si>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</si>
  <si>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</si>
  <si>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</si>
  <si>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</si>
  <si>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</si>
  <si>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</si>
  <si>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</si>
  <si>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</si>
  <si>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</si>
  <si>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</si>
  <si>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</si>
  <si>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</si>
  <si>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</si>
  <si>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</si>
  <si>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</si>
  <si>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</si>
  <si>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</si>
  <si>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</si>
  <si>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</si>
  <si>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</si>
  <si>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</si>
  <si>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</si>
  <si>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</si>
  <si>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</si>
  <si>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</si>
  <si>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</si>
  <si>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</si>
  <si>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</si>
  <si>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</si>
  <si>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</si>
  <si>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</si>
  <si>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</si>
  <si>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</si>
  <si>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</si>
  <si>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</si>
  <si>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</si>
  <si>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</si>
  <si>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</si>
  <si>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</si>
  <si>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</si>
  <si>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</si>
  <si>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</si>
  <si>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</si>
  <si>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</si>
  <si>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</si>
  <si>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</si>
  <si>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</si>
  <si>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</si>
  <si>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</si>
  <si>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</si>
  <si>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</si>
  <si>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</si>
  <si>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</si>
  <si>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</si>
  <si>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</si>
  <si>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</si>
  <si>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</si>
  <si>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</si>
  <si>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</si>
  <si>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</si>
  <si>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</si>
  <si>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</si>
  <si>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</si>
  <si>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</si>
  <si>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</si>
  <si>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</si>
  <si>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</si>
  <si>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</si>
  <si>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</si>
  <si>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</si>
  <si>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</si>
  <si>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</si>
  <si>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</si>
  <si>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</si>
  <si>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</si>
  <si>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</si>
  <si>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</si>
  <si>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</si>
  <si>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</si>
  <si>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</si>
  <si>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</si>
  <si>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</si>
  <si>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</si>
  <si>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</si>
  <si>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</si>
  <si>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</si>
  <si>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</si>
  <si>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</si>
  <si>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</si>
  <si>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</si>
  <si>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</si>
  <si>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</si>
  <si>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</si>
  <si>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</si>
  <si>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</si>
  <si>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</si>
  <si>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</si>
  <si>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</si>
  <si>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</si>
  <si>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</si>
  <si>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</si>
  <si>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</si>
  <si>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</si>
  <si>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</si>
  <si>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</si>
  <si>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</si>
  <si>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</si>
  <si>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</si>
  <si>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</si>
  <si>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</si>
  <si>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</si>
  <si>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</si>
  <si>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</si>
  <si>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</si>
  <si>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</si>
  <si>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</si>
  <si>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</si>
  <si>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</si>
  <si>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</si>
  <si>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</si>
  <si>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</si>
  <si>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</si>
  <si>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</si>
  <si>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</si>
  <si>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</si>
  <si>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</si>
  <si>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</si>
  <si>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</si>
  <si>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</si>
  <si>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</si>
  <si>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</si>
  <si>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</si>
  <si>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</si>
  <si>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</si>
  <si>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</si>
  <si>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</si>
  <si>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</si>
  <si>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</si>
  <si>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</si>
  <si>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</si>
  <si>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</si>
  <si>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</si>
  <si>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</si>
  <si>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</si>
  <si>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</si>
  <si>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</si>
  <si>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</si>
  <si>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</si>
  <si>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</si>
  <si>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</si>
  <si>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</si>
  <si>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</si>
  <si>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</si>
  <si>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</si>
  <si>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</si>
  <si>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</si>
  <si>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</si>
  <si>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</si>
  <si>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</si>
  <si>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</si>
  <si>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</si>
  <si>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</si>
  <si>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</si>
  <si>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</si>
  <si>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</si>
  <si>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</si>
  <si>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</si>
  <si>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</si>
  <si>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</si>
  <si>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</si>
  <si>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</si>
  <si>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</si>
  <si>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</si>
  <si>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</si>
  <si>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</si>
  <si>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</si>
  <si>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</si>
  <si>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</si>
  <si>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</si>
  <si>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</si>
  <si>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</si>
  <si>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</si>
  <si>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</si>
  <si>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</si>
  <si>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</si>
  <si>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</si>
  <si>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</si>
  <si>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</si>
  <si>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</si>
  <si>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</si>
  <si>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</si>
  <si>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</si>
  <si>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</si>
  <si>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</si>
  <si>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</si>
  <si>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</si>
  <si>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</si>
  <si>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</si>
  <si>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</si>
  <si>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</si>
  <si>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</si>
  <si>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</si>
  <si>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</si>
  <si>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</si>
  <si>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</si>
  <si>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</si>
  <si>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</si>
  <si>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</si>
  <si>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</si>
  <si>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</si>
  <si>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</si>
  <si>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</si>
  <si>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</si>
  <si>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</si>
  <si>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</si>
  <si>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</si>
  <si>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</si>
  <si>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</si>
  <si>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</si>
  <si>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</si>
  <si>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</si>
  <si>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</si>
  <si>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</si>
  <si>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</si>
  <si>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</si>
  <si>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</si>
  <si>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</si>
  <si>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</si>
  <si>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</si>
  <si>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</si>
  <si>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</si>
  <si>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</si>
  <si>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</si>
  <si>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</si>
  <si>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</si>
  <si>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</si>
  <si>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</si>
  <si>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</si>
  <si>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</si>
  <si>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</si>
  <si>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</si>
  <si>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</si>
  <si>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</si>
  <si>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</si>
  <si>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</si>
  <si>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</si>
  <si>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</si>
  <si>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</si>
  <si>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</si>
  <si>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</si>
  <si>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</si>
  <si>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</si>
  <si>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</si>
  <si>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</si>
  <si>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</si>
  <si>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</si>
  <si>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</si>
  <si>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</si>
  <si>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</si>
  <si>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</si>
  <si>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</si>
  <si>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</si>
  <si>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</si>
  <si>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</si>
  <si>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</si>
  <si>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</si>
  <si>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</si>
  <si>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</si>
  <si>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</si>
  <si>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</si>
  <si>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</si>
  <si>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</si>
  <si>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</si>
  <si>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</si>
  <si>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</si>
  <si>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</si>
  <si>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</si>
  <si>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</si>
  <si>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</si>
  <si>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</si>
  <si>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</si>
  <si>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</si>
  <si>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</si>
  <si>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</si>
  <si>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</si>
  <si>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</si>
  <si>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</si>
  <si>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</si>
  <si>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</si>
  <si>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</si>
  <si>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</si>
  <si>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</si>
  <si>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</si>
  <si>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</si>
  <si>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</si>
  <si>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</si>
  <si>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</si>
  <si>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</si>
  <si>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</si>
  <si>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</si>
  <si>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</si>
  <si>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</si>
  <si>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</si>
  <si>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</si>
  <si>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</si>
  <si>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</si>
  <si>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</si>
  <si>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</si>
  <si>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</si>
  <si>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</si>
  <si>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</si>
  <si>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</si>
  <si>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</si>
  <si>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</si>
  <si>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</si>
  <si>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</si>
  <si>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</si>
  <si>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</si>
  <si>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</si>
  <si>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</si>
  <si>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</si>
  <si>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</si>
  <si>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</si>
  <si>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</si>
  <si>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</si>
  <si>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</si>
  <si>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</si>
  <si>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</si>
  <si>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</si>
  <si>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</si>
  <si>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</si>
  <si>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</si>
  <si>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</si>
  <si>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</si>
  <si>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</si>
  <si>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</si>
  <si>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</si>
  <si>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</si>
  <si>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</si>
  <si>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</si>
  <si>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</si>
  <si>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</si>
  <si>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</si>
  <si>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</si>
  <si>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</si>
  <si>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</si>
  <si>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</si>
  <si>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</si>
  <si>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</si>
  <si>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</si>
  <si>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</si>
  <si>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</si>
  <si>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</si>
  <si>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</si>
  <si>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</si>
  <si>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</si>
  <si>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</si>
  <si>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</si>
  <si>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</si>
  <si>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</si>
  <si>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</si>
  <si>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</si>
  <si>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</si>
  <si>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</si>
  <si>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</si>
  <si>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</si>
  <si>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</si>
  <si>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</si>
  <si>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</si>
  <si>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</si>
  <si>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</si>
  <si>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</si>
  <si>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</si>
  <si>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</si>
  <si>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</si>
  <si>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</si>
  <si>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</si>
  <si>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</si>
  <si>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</si>
  <si>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</si>
  <si>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</si>
  <si>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</si>
  <si>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</si>
  <si>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</si>
  <si>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</si>
  <si>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</si>
  <si>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</si>
  <si>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</si>
  <si>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</si>
  <si>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</si>
  <si>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</si>
  <si>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</si>
  <si>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</si>
  <si>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</si>
  <si>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</si>
  <si>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</si>
  <si>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</si>
  <si>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</si>
  <si>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</si>
  <si>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</si>
  <si>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</si>
  <si>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</si>
  <si>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</si>
  <si>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</si>
  <si>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</si>
  <si>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</si>
  <si>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</si>
  <si>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</si>
  <si>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</si>
  <si>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</si>
  <si>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</si>
  <si>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</si>
  <si>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</si>
  <si>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</si>
  <si>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</si>
  <si>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</si>
  <si>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</si>
  <si>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</si>
  <si>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</si>
  <si>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</si>
  <si>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</si>
  <si>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</si>
  <si>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</si>
  <si>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</si>
  <si>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</si>
  <si>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</si>
  <si>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</si>
  <si>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</si>
  <si>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</si>
  <si>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</si>
  <si>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</si>
  <si>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</si>
  <si>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</si>
  <si>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</si>
  <si>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</si>
  <si>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</si>
  <si>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</si>
  <si>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</si>
  <si>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</si>
  <si>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</si>
  <si>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</si>
  <si>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</si>
  <si>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</si>
  <si>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</si>
  <si>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</si>
  <si>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</si>
  <si>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</si>
  <si>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</si>
  <si>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</si>
  <si>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</si>
  <si>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</si>
  <si>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</si>
  <si>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</si>
  <si>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</si>
  <si>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</si>
  <si>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</si>
  <si>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</si>
  <si>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</si>
  <si>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</si>
  <si>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</si>
  <si>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</si>
  <si>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</si>
  <si>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</si>
  <si>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</si>
  <si>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</si>
  <si>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</si>
  <si>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</si>
  <si>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</si>
  <si>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</si>
  <si>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</si>
  <si>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</si>
  <si>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</si>
  <si>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</si>
  <si>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</si>
  <si>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</si>
  <si>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</si>
  <si>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</si>
  <si>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</si>
  <si>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</si>
  <si>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</si>
  <si>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</si>
  <si>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</si>
  <si>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</si>
  <si>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</si>
  <si>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</si>
  <si>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</si>
  <si>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</si>
  <si>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</si>
  <si>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</si>
  <si>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</si>
  <si>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</si>
  <si>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</si>
  <si>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</si>
  <si>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</si>
  <si>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</si>
  <si>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</si>
  <si>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</si>
  <si>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</si>
  <si>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</si>
  <si>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</si>
  <si>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</si>
  <si>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31043</t>
  </si>
  <si>
    <t>KNOKKE-HEIST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</si>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</sst>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336235.0440030024</c:v>
                </c:pt>
                <c:pt idx="1">
                  <c:v>247159.65649330718</c:v>
                </c:pt>
                <c:pt idx="2">
                  <c:v>3335.1060000000002</c:v>
                </c:pt>
                <c:pt idx="3">
                  <c:v>38863.245344759467</c:v>
                </c:pt>
                <c:pt idx="4">
                  <c:v>37004.556377237095</c:v>
                </c:pt>
                <c:pt idx="5">
                  <c:v>137290.47441131232</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336235.0440030024</c:v>
                </c:pt>
                <c:pt idx="1">
                  <c:v>247159.65649330718</c:v>
                </c:pt>
                <c:pt idx="2">
                  <c:v>3335.1060000000002</c:v>
                </c:pt>
                <c:pt idx="3">
                  <c:v>38863.245344759467</c:v>
                </c:pt>
                <c:pt idx="4">
                  <c:v>37004.556377237095</c:v>
                </c:pt>
                <c:pt idx="5">
                  <c:v>137290.47441131232</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68994.289629022358</c:v>
                </c:pt>
                <c:pt idx="1">
                  <c:v>51306.481861726512</c:v>
                </c:pt>
                <c:pt idx="2">
                  <c:v>725.31555727604757</c:v>
                </c:pt>
                <c:pt idx="3">
                  <c:v>8289.9899895930848</c:v>
                </c:pt>
                <c:pt idx="4">
                  <c:v>7527.9525692421812</c:v>
                </c:pt>
                <c:pt idx="5">
                  <c:v>34701.382724763105</c:v>
                </c:pt>
                <c:pt idx="6">
                  <c:v>555.515120409573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68994.289629022358</c:v>
                </c:pt>
                <c:pt idx="1">
                  <c:v>51306.481861726512</c:v>
                </c:pt>
                <c:pt idx="2">
                  <c:v>725.31555727604757</c:v>
                </c:pt>
                <c:pt idx="3">
                  <c:v>8289.9899895930848</c:v>
                </c:pt>
                <c:pt idx="4">
                  <c:v>7527.9525692421812</c:v>
                </c:pt>
                <c:pt idx="5">
                  <c:v>34701.382724763105</c:v>
                </c:pt>
                <c:pt idx="6">
                  <c:v>555.515120409573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31043</v>
      </c>
      <c r="B6" s="398"/>
      <c r="C6" s="399"/>
    </row>
    <row r="7" spans="1:7" s="396" customFormat="1" ht="15.75" customHeight="1">
      <c r="A7" s="400" t="str">
        <f>txtMunicipality</f>
        <v>KNOKKE-HEIST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16757</v>
      </c>
      <c r="C9" s="338">
        <v>17564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3407</v>
      </c>
    </row>
    <row r="15" spans="1:6">
      <c r="A15" s="1212" t="s">
        <v>184</v>
      </c>
      <c r="B15" s="335">
        <v>15</v>
      </c>
    </row>
    <row r="16" spans="1:6">
      <c r="A16" s="1212" t="s">
        <v>6</v>
      </c>
      <c r="B16" s="335">
        <v>485</v>
      </c>
    </row>
    <row r="17" spans="1:6">
      <c r="A17" s="1212" t="s">
        <v>7</v>
      </c>
      <c r="B17" s="335">
        <v>1137</v>
      </c>
    </row>
    <row r="18" spans="1:6">
      <c r="A18" s="1212" t="s">
        <v>8</v>
      </c>
      <c r="B18" s="335">
        <v>1532</v>
      </c>
    </row>
    <row r="19" spans="1:6">
      <c r="A19" s="1212" t="s">
        <v>9</v>
      </c>
      <c r="B19" s="335">
        <v>1395</v>
      </c>
    </row>
    <row r="20" spans="1:6">
      <c r="A20" s="1212" t="s">
        <v>10</v>
      </c>
      <c r="B20" s="335">
        <v>891</v>
      </c>
    </row>
    <row r="21" spans="1:6">
      <c r="A21" s="1212" t="s">
        <v>11</v>
      </c>
      <c r="B21" s="335">
        <v>1731</v>
      </c>
    </row>
    <row r="22" spans="1:6">
      <c r="A22" s="1212" t="s">
        <v>12</v>
      </c>
      <c r="B22" s="335">
        <v>5519</v>
      </c>
    </row>
    <row r="23" spans="1:6">
      <c r="A23" s="1212" t="s">
        <v>13</v>
      </c>
      <c r="B23" s="335">
        <v>50</v>
      </c>
    </row>
    <row r="24" spans="1:6">
      <c r="A24" s="1212" t="s">
        <v>14</v>
      </c>
      <c r="B24" s="335">
        <v>6</v>
      </c>
    </row>
    <row r="25" spans="1:6">
      <c r="A25" s="1212" t="s">
        <v>15</v>
      </c>
      <c r="B25" s="335">
        <v>404</v>
      </c>
    </row>
    <row r="26" spans="1:6">
      <c r="A26" s="1212" t="s">
        <v>16</v>
      </c>
      <c r="B26" s="335">
        <v>336</v>
      </c>
    </row>
    <row r="27" spans="1:6">
      <c r="A27" s="1212" t="s">
        <v>17</v>
      </c>
      <c r="B27" s="335">
        <v>0</v>
      </c>
    </row>
    <row r="28" spans="1:6" s="341" customFormat="1">
      <c r="A28" s="1213" t="s">
        <v>18</v>
      </c>
      <c r="B28" s="1213">
        <v>39027</v>
      </c>
    </row>
    <row r="29" spans="1:6">
      <c r="A29" s="1213" t="s">
        <v>836</v>
      </c>
      <c r="B29" s="1213">
        <v>469</v>
      </c>
      <c r="C29" s="341"/>
      <c r="D29" s="341"/>
      <c r="E29" s="341"/>
      <c r="F29" s="341"/>
    </row>
    <row r="30" spans="1:6">
      <c r="A30" s="1208" t="s">
        <v>837</v>
      </c>
      <c r="B30" s="1208">
        <v>74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6</v>
      </c>
      <c r="D36" s="335">
        <v>1069134.07097236</v>
      </c>
      <c r="E36" s="335">
        <v>8</v>
      </c>
      <c r="F36" s="335">
        <v>22613.2220821585</v>
      </c>
    </row>
    <row r="37" spans="1:6">
      <c r="A37" s="1212" t="s">
        <v>25</v>
      </c>
      <c r="B37" s="1212" t="s">
        <v>28</v>
      </c>
      <c r="C37" s="335">
        <v>0</v>
      </c>
      <c r="D37" s="335">
        <v>0</v>
      </c>
      <c r="E37" s="335">
        <v>0</v>
      </c>
      <c r="F37" s="335">
        <v>0</v>
      </c>
    </row>
    <row r="38" spans="1:6">
      <c r="A38" s="1212" t="s">
        <v>25</v>
      </c>
      <c r="B38" s="1212" t="s">
        <v>29</v>
      </c>
      <c r="C38" s="335">
        <v>2</v>
      </c>
      <c r="D38" s="335">
        <v>13434.3768868802</v>
      </c>
      <c r="E38" s="335">
        <v>2</v>
      </c>
      <c r="F38" s="335">
        <v>1882.9535291699001</v>
      </c>
    </row>
    <row r="39" spans="1:6">
      <c r="A39" s="1212" t="s">
        <v>30</v>
      </c>
      <c r="B39" s="1212" t="s">
        <v>31</v>
      </c>
      <c r="C39" s="335">
        <v>21599</v>
      </c>
      <c r="D39" s="335">
        <v>284948130.405788</v>
      </c>
      <c r="E39" s="335">
        <v>30279</v>
      </c>
      <c r="F39" s="335">
        <v>76510884.233906999</v>
      </c>
    </row>
    <row r="40" spans="1:6">
      <c r="A40" s="1212" t="s">
        <v>30</v>
      </c>
      <c r="B40" s="1212" t="s">
        <v>29</v>
      </c>
      <c r="C40" s="335">
        <v>1</v>
      </c>
      <c r="D40" s="335">
        <v>8554.3265770439994</v>
      </c>
      <c r="E40" s="335">
        <v>1</v>
      </c>
      <c r="F40" s="335">
        <v>1140.0246240524</v>
      </c>
    </row>
    <row r="41" spans="1:6">
      <c r="A41" s="1212" t="s">
        <v>32</v>
      </c>
      <c r="B41" s="1212" t="s">
        <v>33</v>
      </c>
      <c r="C41" s="335">
        <v>473</v>
      </c>
      <c r="D41" s="335">
        <v>7800703.9211761504</v>
      </c>
      <c r="E41" s="335">
        <v>869</v>
      </c>
      <c r="F41" s="335">
        <v>6160516.9842135301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37283.627623845197</v>
      </c>
      <c r="E44" s="335">
        <v>20</v>
      </c>
      <c r="F44" s="335">
        <v>199960.88980403499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5</v>
      </c>
      <c r="D47" s="335">
        <v>190650.55491069201</v>
      </c>
      <c r="E47" s="335">
        <v>7</v>
      </c>
      <c r="F47" s="335">
        <v>67213.6642848349</v>
      </c>
    </row>
    <row r="48" spans="1:6">
      <c r="A48" s="1212" t="s">
        <v>32</v>
      </c>
      <c r="B48" s="1212" t="s">
        <v>29</v>
      </c>
      <c r="C48" s="335">
        <v>59</v>
      </c>
      <c r="D48" s="335">
        <v>1844448.5670060599</v>
      </c>
      <c r="E48" s="335">
        <v>75</v>
      </c>
      <c r="F48" s="335">
        <v>3914663.6251661601</v>
      </c>
    </row>
    <row r="49" spans="1:6">
      <c r="A49" s="1212" t="s">
        <v>32</v>
      </c>
      <c r="B49" s="1212" t="s">
        <v>40</v>
      </c>
      <c r="C49" s="335">
        <v>4</v>
      </c>
      <c r="D49" s="335">
        <v>85283.606817012405</v>
      </c>
      <c r="E49" s="335">
        <v>9</v>
      </c>
      <c r="F49" s="335">
        <v>120383.34163497201</v>
      </c>
    </row>
    <row r="50" spans="1:6">
      <c r="A50" s="1212" t="s">
        <v>32</v>
      </c>
      <c r="B50" s="1212" t="s">
        <v>41</v>
      </c>
      <c r="C50" s="335">
        <v>38</v>
      </c>
      <c r="D50" s="335">
        <v>2507107.4228416602</v>
      </c>
      <c r="E50" s="335">
        <v>65</v>
      </c>
      <c r="F50" s="335">
        <v>1877522.03788478</v>
      </c>
    </row>
    <row r="51" spans="1:6">
      <c r="A51" s="1212" t="s">
        <v>42</v>
      </c>
      <c r="B51" s="1212" t="s">
        <v>43</v>
      </c>
      <c r="C51" s="335">
        <v>24</v>
      </c>
      <c r="D51" s="335">
        <v>594630.544592313</v>
      </c>
      <c r="E51" s="335">
        <v>112</v>
      </c>
      <c r="F51" s="335">
        <v>1487802.3702098799</v>
      </c>
    </row>
    <row r="52" spans="1:6">
      <c r="A52" s="1212" t="s">
        <v>42</v>
      </c>
      <c r="B52" s="1212" t="s">
        <v>29</v>
      </c>
      <c r="C52" s="335">
        <v>16</v>
      </c>
      <c r="D52" s="335">
        <v>271843.069527418</v>
      </c>
      <c r="E52" s="335">
        <v>16</v>
      </c>
      <c r="F52" s="335">
        <v>184247.81147643999</v>
      </c>
    </row>
    <row r="53" spans="1:6">
      <c r="A53" s="1212" t="s">
        <v>44</v>
      </c>
      <c r="B53" s="1212" t="s">
        <v>45</v>
      </c>
      <c r="C53" s="335">
        <v>2354</v>
      </c>
      <c r="D53" s="335">
        <v>33667535.073461503</v>
      </c>
      <c r="E53" s="335">
        <v>4372</v>
      </c>
      <c r="F53" s="335">
        <v>13664262.6668984</v>
      </c>
    </row>
    <row r="54" spans="1:6">
      <c r="A54" s="1212" t="s">
        <v>46</v>
      </c>
      <c r="B54" s="1212" t="s">
        <v>47</v>
      </c>
      <c r="C54" s="335">
        <v>0</v>
      </c>
      <c r="D54" s="335">
        <v>0</v>
      </c>
      <c r="E54" s="335">
        <v>1</v>
      </c>
      <c r="F54" s="335">
        <v>3335106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155</v>
      </c>
      <c r="D57" s="335">
        <v>6364953.5677392399</v>
      </c>
      <c r="E57" s="335">
        <v>324</v>
      </c>
      <c r="F57" s="335">
        <v>8587529.9061504304</v>
      </c>
    </row>
    <row r="58" spans="1:6">
      <c r="A58" s="1212" t="s">
        <v>49</v>
      </c>
      <c r="B58" s="1212" t="s">
        <v>51</v>
      </c>
      <c r="C58" s="335">
        <v>147</v>
      </c>
      <c r="D58" s="335">
        <v>4367578.8373002103</v>
      </c>
      <c r="E58" s="335">
        <v>208</v>
      </c>
      <c r="F58" s="335">
        <v>1430919.50355133</v>
      </c>
    </row>
    <row r="59" spans="1:6">
      <c r="A59" s="1212" t="s">
        <v>49</v>
      </c>
      <c r="B59" s="1212" t="s">
        <v>52</v>
      </c>
      <c r="C59" s="335">
        <v>765</v>
      </c>
      <c r="D59" s="335">
        <v>17035583.272414401</v>
      </c>
      <c r="E59" s="335">
        <v>1494</v>
      </c>
      <c r="F59" s="335">
        <v>30520807.307274301</v>
      </c>
    </row>
    <row r="60" spans="1:6">
      <c r="A60" s="1212" t="s">
        <v>49</v>
      </c>
      <c r="B60" s="1212" t="s">
        <v>53</v>
      </c>
      <c r="C60" s="335">
        <v>381</v>
      </c>
      <c r="D60" s="335">
        <v>23895179.994928099</v>
      </c>
      <c r="E60" s="335">
        <v>526</v>
      </c>
      <c r="F60" s="335">
        <v>17795386.487853799</v>
      </c>
    </row>
    <row r="61" spans="1:6">
      <c r="A61" s="1212" t="s">
        <v>49</v>
      </c>
      <c r="B61" s="1212" t="s">
        <v>54</v>
      </c>
      <c r="C61" s="335">
        <v>1905</v>
      </c>
      <c r="D61" s="335">
        <v>74458607.625756294</v>
      </c>
      <c r="E61" s="335">
        <v>4651</v>
      </c>
      <c r="F61" s="335">
        <v>28005883.9250089</v>
      </c>
    </row>
    <row r="62" spans="1:6">
      <c r="A62" s="1212" t="s">
        <v>49</v>
      </c>
      <c r="B62" s="1212" t="s">
        <v>55</v>
      </c>
      <c r="C62" s="335">
        <v>26</v>
      </c>
      <c r="D62" s="335">
        <v>2987177.07580279</v>
      </c>
      <c r="E62" s="335">
        <v>26</v>
      </c>
      <c r="F62" s="335">
        <v>481789.55456728401</v>
      </c>
    </row>
    <row r="63" spans="1:6">
      <c r="A63" s="1212" t="s">
        <v>49</v>
      </c>
      <c r="B63" s="1212" t="s">
        <v>29</v>
      </c>
      <c r="C63" s="335">
        <v>188</v>
      </c>
      <c r="D63" s="335">
        <v>9513823.6234595794</v>
      </c>
      <c r="E63" s="335">
        <v>184</v>
      </c>
      <c r="F63" s="335">
        <v>7644878.9584913701</v>
      </c>
    </row>
    <row r="64" spans="1:6">
      <c r="A64" s="1212" t="s">
        <v>56</v>
      </c>
      <c r="B64" s="1212" t="s">
        <v>57</v>
      </c>
      <c r="C64" s="335">
        <v>3</v>
      </c>
      <c r="D64" s="335">
        <v>142297.340972534</v>
      </c>
      <c r="E64" s="335">
        <v>3</v>
      </c>
      <c r="F64" s="335">
        <v>14414.0740968132</v>
      </c>
    </row>
    <row r="65" spans="1:6">
      <c r="A65" s="1212" t="s">
        <v>56</v>
      </c>
      <c r="B65" s="1212" t="s">
        <v>29</v>
      </c>
      <c r="C65" s="335">
        <v>6</v>
      </c>
      <c r="D65" s="335">
        <v>117692.21348603501</v>
      </c>
      <c r="E65" s="335">
        <v>5</v>
      </c>
      <c r="F65" s="335">
        <v>28593.7051345539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16</v>
      </c>
      <c r="D68" s="335">
        <v>321885.83047016402</v>
      </c>
      <c r="E68" s="335">
        <v>28</v>
      </c>
      <c r="F68" s="335">
        <v>124111.040234521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120860574</v>
      </c>
      <c r="E73" s="335">
        <v>107038287.93950228</v>
      </c>
    </row>
    <row r="74" spans="1:6">
      <c r="A74" s="1212" t="s">
        <v>64</v>
      </c>
      <c r="B74" s="1212" t="s">
        <v>727</v>
      </c>
      <c r="C74" s="1212" t="s">
        <v>728</v>
      </c>
      <c r="D74" s="335">
        <v>12071859.280360378</v>
      </c>
      <c r="E74" s="335">
        <v>11143683.593623457</v>
      </c>
    </row>
    <row r="75" spans="1:6">
      <c r="A75" s="1212" t="s">
        <v>65</v>
      </c>
      <c r="B75" s="1212" t="s">
        <v>725</v>
      </c>
      <c r="C75" s="1212" t="s">
        <v>729</v>
      </c>
      <c r="D75" s="335">
        <v>32132667</v>
      </c>
      <c r="E75" s="335">
        <v>27718406.80699202</v>
      </c>
    </row>
    <row r="76" spans="1:6">
      <c r="A76" s="1212" t="s">
        <v>65</v>
      </c>
      <c r="B76" s="1212" t="s">
        <v>727</v>
      </c>
      <c r="C76" s="1212" t="s">
        <v>730</v>
      </c>
      <c r="D76" s="335">
        <v>1256108.2803603774</v>
      </c>
      <c r="E76" s="335">
        <v>1101112.4568216028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436443.43927924504</v>
      </c>
      <c r="C83" s="335">
        <v>439047.26679019834</v>
      </c>
    </row>
    <row r="84" spans="1:6">
      <c r="A84" s="1208" t="s">
        <v>337</v>
      </c>
      <c r="B84" s="338">
        <v>173760.81381236311</v>
      </c>
      <c r="C84" s="338">
        <v>178579.39681426235</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1996.8934492114197</v>
      </c>
    </row>
    <row r="92" spans="1:6">
      <c r="A92" s="1208" t="s">
        <v>69</v>
      </c>
      <c r="B92" s="338">
        <v>1045.2465464008174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9792</v>
      </c>
    </row>
    <row r="98" spans="1:6">
      <c r="A98" s="1212" t="s">
        <v>72</v>
      </c>
      <c r="B98" s="335">
        <v>3</v>
      </c>
    </row>
    <row r="99" spans="1:6">
      <c r="A99" s="1212" t="s">
        <v>73</v>
      </c>
      <c r="B99" s="335">
        <v>58</v>
      </c>
    </row>
    <row r="100" spans="1:6">
      <c r="A100" s="1212" t="s">
        <v>74</v>
      </c>
      <c r="B100" s="335">
        <v>1420</v>
      </c>
    </row>
    <row r="101" spans="1:6">
      <c r="A101" s="1212" t="s">
        <v>75</v>
      </c>
      <c r="B101" s="335">
        <v>56</v>
      </c>
    </row>
    <row r="102" spans="1:6">
      <c r="A102" s="1212" t="s">
        <v>76</v>
      </c>
      <c r="B102" s="335">
        <v>435</v>
      </c>
    </row>
    <row r="103" spans="1:6">
      <c r="A103" s="1212" t="s">
        <v>77</v>
      </c>
      <c r="B103" s="335">
        <v>92</v>
      </c>
    </row>
    <row r="104" spans="1:6">
      <c r="A104" s="1212" t="s">
        <v>78</v>
      </c>
      <c r="B104" s="335">
        <v>3205</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70</v>
      </c>
    </row>
    <row r="130" spans="1:6">
      <c r="A130" s="1212" t="s">
        <v>295</v>
      </c>
      <c r="B130" s="335">
        <v>0</v>
      </c>
    </row>
    <row r="131" spans="1:6">
      <c r="A131" s="1212" t="s">
        <v>296</v>
      </c>
      <c r="B131" s="335">
        <v>4</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190944.39097867205</v>
      </c>
      <c r="C3" s="43" t="s">
        <v>170</v>
      </c>
      <c r="D3" s="43"/>
      <c r="E3" s="156"/>
      <c r="F3" s="43"/>
      <c r="G3" s="43"/>
      <c r="H3" s="43"/>
      <c r="I3" s="43"/>
      <c r="J3" s="43"/>
      <c r="K3" s="96"/>
    </row>
    <row r="4" spans="1:11">
      <c r="A4" s="366" t="s">
        <v>171</v>
      </c>
      <c r="B4" s="49">
        <f>IF(ISERROR('SEAP template'!B69),0,'SEAP template'!B69)</f>
        <v>3042.1399956122368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0.21747901184431545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3335.1060000000002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3335.1060000000002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0.21747901184431545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725.31555727604757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76512.024258531048</v>
      </c>
      <c r="C5" s="17">
        <f>IF(ISERROR('Eigen informatie GS &amp; warmtenet'!B57),0,'Eigen informatie GS &amp; warmtenet'!B57)</f>
        <v>0</v>
      </c>
      <c r="D5" s="30">
        <f>(SUM(HH_hh_gas_kWh,HH_rest_gas_kWh)/1000)*0.902</f>
        <v>257030.92962859329</v>
      </c>
      <c r="E5" s="17">
        <f>B46*B57</f>
        <v>0</v>
      </c>
      <c r="F5" s="17">
        <f>B51*B62</f>
        <v>0</v>
      </c>
      <c r="G5" s="18"/>
      <c r="H5" s="17"/>
      <c r="I5" s="17"/>
      <c r="J5" s="17">
        <f>B50*B61+C50*C61</f>
        <v>0</v>
      </c>
      <c r="K5" s="17"/>
      <c r="L5" s="17"/>
      <c r="M5" s="17"/>
      <c r="N5" s="17">
        <f>B48*B59+C48*C59</f>
        <v>0</v>
      </c>
      <c r="O5" s="17">
        <f>B69*B70*B71</f>
        <v>142.26333333333332</v>
      </c>
      <c r="P5" s="17">
        <f>B77*B78*B79/1000-B77*B78*B79/1000/B80</f>
        <v>552.93333333333339</v>
      </c>
    </row>
    <row r="6" spans="1:16">
      <c r="A6" s="16" t="s">
        <v>634</v>
      </c>
      <c r="B6" s="831">
        <f>kWh_PV_kleiner_dan_10kW</f>
        <v>1996.8934492114197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78508.917707742468</v>
      </c>
      <c r="C8" s="21">
        <f>C5</f>
        <v>0</v>
      </c>
      <c r="D8" s="21">
        <f>D5</f>
        <v>257030.92962859329</v>
      </c>
      <c r="E8" s="21">
        <f>E5</f>
        <v>0</v>
      </c>
      <c r="F8" s="21">
        <f>F5</f>
        <v>0</v>
      </c>
      <c r="G8" s="21"/>
      <c r="H8" s="21"/>
      <c r="I8" s="21"/>
      <c r="J8" s="21">
        <f>J5</f>
        <v>0</v>
      </c>
      <c r="K8" s="21"/>
      <c r="L8" s="21">
        <f>L5</f>
        <v>0</v>
      </c>
      <c r="M8" s="21">
        <f>M5</f>
        <v>0</v>
      </c>
      <c r="N8" s="21">
        <f>N5</f>
        <v>0</v>
      </c>
      <c r="O8" s="21">
        <f>O5</f>
        <v>142.26333333333332</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0.21747901184431545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17074.041844046511</v>
      </c>
      <c r="C12" s="23">
        <f ca="1">C10*C8</f>
        <v>0</v>
      </c>
      <c r="D12" s="23">
        <f>D8*D10</f>
        <v>51920.247784975851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9792</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3.7809647979139509</v>
      </c>
      <c r="D20" s="231"/>
      <c r="E20" s="15"/>
    </row>
    <row r="21" spans="1:7">
      <c r="A21" s="173" t="s">
        <v>74</v>
      </c>
      <c r="B21" s="37">
        <f>aantalw2001_elektriciteit</f>
        <v>1420</v>
      </c>
      <c r="C21" s="169">
        <f>IF(ISERROR(B21/SUM($B$20,$B$21,$B$22)*100),0,B21/SUM($B$20,$B$21,$B$22)*100)</f>
        <v>92.568448500651897</v>
      </c>
      <c r="D21" s="231"/>
      <c r="E21" s="15"/>
    </row>
    <row r="22" spans="1:7">
      <c r="A22" s="173" t="s">
        <v>75</v>
      </c>
      <c r="B22" s="37">
        <f>aantalw2001_hout</f>
        <v>56</v>
      </c>
      <c r="C22" s="169">
        <f>IF(ISERROR(B22/SUM($B$20,$B$21,$B$22)*100),0,B22/SUM($B$20,$B$21,$B$22)*100)</f>
        <v>3.6505867014341589</v>
      </c>
      <c r="D22" s="231"/>
      <c r="E22" s="15"/>
    </row>
    <row r="23" spans="1:7">
      <c r="A23" s="173" t="s">
        <v>76</v>
      </c>
      <c r="B23" s="37">
        <f>aantalw2001_niet_gespec</f>
        <v>435</v>
      </c>
      <c r="C23" s="168" t="s">
        <v>111</v>
      </c>
      <c r="D23" s="230"/>
      <c r="E23" s="15"/>
    </row>
    <row r="24" spans="1:7">
      <c r="A24" s="173" t="s">
        <v>77</v>
      </c>
      <c r="B24" s="37">
        <f>aantalw2001_steenkool</f>
        <v>92</v>
      </c>
      <c r="C24" s="168" t="s">
        <v>111</v>
      </c>
      <c r="D24" s="231"/>
      <c r="E24" s="15"/>
    </row>
    <row r="25" spans="1:7">
      <c r="A25" s="173" t="s">
        <v>78</v>
      </c>
      <c r="B25" s="37">
        <f>aantalw2001_stookolie</f>
        <v>3205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16757</v>
      </c>
      <c r="C28" s="36"/>
      <c r="D28" s="230"/>
    </row>
    <row r="29" spans="1:7" s="15" customFormat="1">
      <c r="A29" s="232" t="s">
        <v>746</v>
      </c>
      <c r="B29" s="37">
        <f>SUM(HH_hh_gas_aantal,HH_rest_gas_aantal)</f>
        <v>21600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94467.195642897408</v>
      </c>
      <c r="C5" s="17">
        <f>IF(ISERROR('Eigen informatie GS &amp; warmtenet'!B58),0,'Eigen informatie GS &amp; warmtenet'!B58)</f>
        <v>0</v>
      </c>
      <c r="D5" s="30">
        <f>SUM(D6:D12)</f>
        <v>125037.85940565536</v>
      </c>
      <c r="E5" s="17">
        <f>SUM(E6:E12)</f>
        <v>1685.3328879070048</v>
      </c>
      <c r="F5" s="17">
        <f>SUM(F6:F12)</f>
        <v>19182.139835611597</v>
      </c>
      <c r="G5" s="18"/>
      <c r="H5" s="17"/>
      <c r="I5" s="17"/>
      <c r="J5" s="17">
        <f>SUM(J6:J12)</f>
        <v>0</v>
      </c>
      <c r="K5" s="17"/>
      <c r="L5" s="17"/>
      <c r="M5" s="17"/>
      <c r="N5" s="17">
        <f>SUM(N6:N12)</f>
        <v>6710.8620545691538</v>
      </c>
      <c r="O5" s="17">
        <f>B38*B39*B40</f>
        <v>0</v>
      </c>
      <c r="P5" s="17">
        <f>B46*B47*B48/1000-B46*B47*B48/1000/B49</f>
        <v>76.266666666666666</v>
      </c>
      <c r="R5" s="32"/>
    </row>
    <row r="6" spans="1:18">
      <c r="A6" s="32" t="s">
        <v>54</v>
      </c>
      <c r="B6" s="37">
        <f>B26</f>
        <v>28005.8839250089</v>
      </c>
      <c r="C6" s="33"/>
      <c r="D6" s="37">
        <f>IF(ISERROR(TER_kantoor_gas_kWh/1000),0,TER_kantoor_gas_kWh/1000)*0.902</f>
        <v>67161.664078432179</v>
      </c>
      <c r="E6" s="33">
        <f>$C$26*'E Balans VL '!I12/100/3.6*1000000</f>
        <v>108.80878823974989</v>
      </c>
      <c r="F6" s="33">
        <f>$C$26*('E Balans VL '!L12+'E Balans VL '!N12)/100/3.6*1000000</f>
        <v>4259.4401117672051</v>
      </c>
      <c r="G6" s="34"/>
      <c r="H6" s="33"/>
      <c r="I6" s="33"/>
      <c r="J6" s="33">
        <f>$C$26*('E Balans VL '!D12+'E Balans VL '!E12)/100/3.6*1000000</f>
        <v>0</v>
      </c>
      <c r="K6" s="33"/>
      <c r="L6" s="33"/>
      <c r="M6" s="33"/>
      <c r="N6" s="33">
        <f>$C$26*'E Balans VL '!Y12/100/3.6*1000000</f>
        <v>15.434597064950179</v>
      </c>
      <c r="O6" s="33"/>
      <c r="P6" s="33"/>
      <c r="R6" s="32"/>
    </row>
    <row r="7" spans="1:18">
      <c r="A7" s="32" t="s">
        <v>53</v>
      </c>
      <c r="B7" s="37">
        <f t="shared" ref="B7:B12" si="0">B27</f>
        <v>17795.386487853801</v>
      </c>
      <c r="C7" s="33"/>
      <c r="D7" s="37">
        <f>IF(ISERROR(TER_horeca_gas_kWh/1000),0,TER_horeca_gas_kWh/1000)*0.902</f>
        <v>21553.452355425146</v>
      </c>
      <c r="E7" s="33">
        <f>$C$27*'E Balans VL '!I9/100/3.6*1000000</f>
        <v>1002.4188785588842</v>
      </c>
      <c r="F7" s="33">
        <f>$C$27*('E Balans VL '!L9+'E Balans VL '!N9)/100/3.6*1000000</f>
        <v>5131.1240750568368</v>
      </c>
      <c r="G7" s="34"/>
      <c r="H7" s="33"/>
      <c r="I7" s="33"/>
      <c r="J7" s="33">
        <f>$C$27*('E Balans VL '!D9+'E Balans VL '!E9)/100/3.6*1000000</f>
        <v>0</v>
      </c>
      <c r="K7" s="33"/>
      <c r="L7" s="33"/>
      <c r="M7" s="33"/>
      <c r="N7" s="33">
        <f>$C$27*'E Balans VL '!Y9/100/3.6*1000000</f>
        <v>4.9132137357676937</v>
      </c>
      <c r="O7" s="33"/>
      <c r="P7" s="33"/>
      <c r="R7" s="32"/>
    </row>
    <row r="8" spans="1:18">
      <c r="A8" s="6" t="s">
        <v>52</v>
      </c>
      <c r="B8" s="37">
        <f t="shared" si="0"/>
        <v>30520.807307274299</v>
      </c>
      <c r="C8" s="33"/>
      <c r="D8" s="37">
        <f>IF(ISERROR(TER_handel_gas_kWh/1000),0,TER_handel_gas_kWh/1000)*0.902</f>
        <v>15366.09611171779</v>
      </c>
      <c r="E8" s="33">
        <f>$C$28*'E Balans VL '!I13/100/3.6*1000000</f>
        <v>439.90838009662849</v>
      </c>
      <c r="F8" s="33">
        <f>$C$28*('E Balans VL '!L13+'E Balans VL '!N13)/100/3.6*1000000</f>
        <v>5302.1750109130026</v>
      </c>
      <c r="G8" s="34"/>
      <c r="H8" s="33"/>
      <c r="I8" s="33"/>
      <c r="J8" s="33">
        <f>$C$28*('E Balans VL '!D13+'E Balans VL '!E13)/100/3.6*1000000</f>
        <v>0</v>
      </c>
      <c r="K8" s="33"/>
      <c r="L8" s="33"/>
      <c r="M8" s="33"/>
      <c r="N8" s="33">
        <f>$C$28*'E Balans VL '!Y13/100/3.6*1000000</f>
        <v>91.443736338855274</v>
      </c>
      <c r="O8" s="33"/>
      <c r="P8" s="33"/>
      <c r="R8" s="32"/>
    </row>
    <row r="9" spans="1:18">
      <c r="A9" s="32" t="s">
        <v>51</v>
      </c>
      <c r="B9" s="37">
        <f t="shared" si="0"/>
        <v>1430.9195035513299</v>
      </c>
      <c r="C9" s="33"/>
      <c r="D9" s="37">
        <f>IF(ISERROR(TER_gezond_gas_kWh/1000),0,TER_gezond_gas_kWh/1000)*0.902</f>
        <v>3939.5561112447899</v>
      </c>
      <c r="E9" s="33">
        <f>$C$29*'E Balans VL '!I10/100/3.6*1000000</f>
        <v>1.5285929105079781</v>
      </c>
      <c r="F9" s="33">
        <f>$C$29*('E Balans VL '!L10+'E Balans VL '!N10)/100/3.6*1000000</f>
        <v>233.42645830480527</v>
      </c>
      <c r="G9" s="34"/>
      <c r="H9" s="33"/>
      <c r="I9" s="33"/>
      <c r="J9" s="33">
        <f>$C$29*('E Balans VL '!D10+'E Balans VL '!E10)/100/3.6*1000000</f>
        <v>0</v>
      </c>
      <c r="K9" s="33"/>
      <c r="L9" s="33"/>
      <c r="M9" s="33"/>
      <c r="N9" s="33">
        <f>$C$29*'E Balans VL '!Y10/100/3.6*1000000</f>
        <v>14.730499822680972</v>
      </c>
      <c r="O9" s="33"/>
      <c r="P9" s="33"/>
      <c r="R9" s="32"/>
    </row>
    <row r="10" spans="1:18">
      <c r="A10" s="32" t="s">
        <v>50</v>
      </c>
      <c r="B10" s="37">
        <f t="shared" si="0"/>
        <v>8587.5299061504302</v>
      </c>
      <c r="C10" s="33"/>
      <c r="D10" s="37">
        <f>IF(ISERROR(TER_ander_gas_kWh/1000),0,TER_ander_gas_kWh/1000)*0.902</f>
        <v>5741.1881181007939</v>
      </c>
      <c r="E10" s="33">
        <f>$C$30*'E Balans VL '!I14/100/3.6*1000000</f>
        <v>39.492743778118651</v>
      </c>
      <c r="F10" s="33">
        <f>$C$30*('E Balans VL '!L14+'E Balans VL '!N14)/100/3.6*1000000</f>
        <v>2573.9535879123114</v>
      </c>
      <c r="G10" s="34"/>
      <c r="H10" s="33"/>
      <c r="I10" s="33"/>
      <c r="J10" s="33">
        <f>$C$30*('E Balans VL '!D14+'E Balans VL '!E14)/100/3.6*1000000</f>
        <v>0</v>
      </c>
      <c r="K10" s="33"/>
      <c r="L10" s="33"/>
      <c r="M10" s="33"/>
      <c r="N10" s="33">
        <f>$C$30*'E Balans VL '!Y14/100/3.6*1000000</f>
        <v>5977.4876841309133</v>
      </c>
      <c r="O10" s="33"/>
      <c r="P10" s="33"/>
      <c r="R10" s="32"/>
    </row>
    <row r="11" spans="1:18">
      <c r="A11" s="32" t="s">
        <v>55</v>
      </c>
      <c r="B11" s="37">
        <f t="shared" si="0"/>
        <v>481.78955456728403</v>
      </c>
      <c r="C11" s="33"/>
      <c r="D11" s="37">
        <f>IF(ISERROR(TER_onderwijs_gas_kWh/1000),0,TER_onderwijs_gas_kWh/1000)*0.902</f>
        <v>2694.4337223741168</v>
      </c>
      <c r="E11" s="33">
        <f>$C$31*'E Balans VL '!I11/100/3.6*1000000</f>
        <v>0.44692317141683796</v>
      </c>
      <c r="F11" s="33">
        <f>$C$31*('E Balans VL '!L11+'E Balans VL '!N11)/100/3.6*1000000</f>
        <v>169.24159738269174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7644.8789584913702</v>
      </c>
      <c r="C12" s="33"/>
      <c r="D12" s="37">
        <f>IF(ISERROR(TER_rest_gas_kWh/1000),0,TER_rest_gas_kWh/1000)*0.902</f>
        <v>8581.4689083605408</v>
      </c>
      <c r="E12" s="33">
        <f>$C$32*'E Balans VL '!I8/100/3.6*1000000</f>
        <v>92.72858115169872</v>
      </c>
      <c r="F12" s="33">
        <f>$C$32*('E Balans VL '!L8+'E Balans VL '!N8)/100/3.6*1000000</f>
        <v>1512.778994274744</v>
      </c>
      <c r="G12" s="34"/>
      <c r="H12" s="33"/>
      <c r="I12" s="33"/>
      <c r="J12" s="33">
        <f>$C$32*('E Balans VL '!D8+'E Balans VL '!E8)/100/3.6*1000000</f>
        <v>0</v>
      </c>
      <c r="K12" s="33"/>
      <c r="L12" s="33"/>
      <c r="M12" s="33"/>
      <c r="N12" s="33">
        <f>$C$32*'E Balans VL '!Y8/100/3.6*1000000</f>
        <v>606.85232347598628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94467.195642897408</v>
      </c>
      <c r="C16" s="21">
        <f t="shared" ca="1" si="1"/>
        <v>0</v>
      </c>
      <c r="D16" s="21">
        <f t="shared" ca="1" si="1"/>
        <v>125037.85940565536</v>
      </c>
      <c r="E16" s="21">
        <f t="shared" si="1"/>
        <v>1685.3328879070048</v>
      </c>
      <c r="F16" s="21">
        <f t="shared" ca="1" si="1"/>
        <v>19182.139835611597</v>
      </c>
      <c r="G16" s="21">
        <f t="shared" si="1"/>
        <v>0</v>
      </c>
      <c r="H16" s="21">
        <f t="shared" si="1"/>
        <v>0</v>
      </c>
      <c r="I16" s="21">
        <f t="shared" si="1"/>
        <v>0</v>
      </c>
      <c r="J16" s="21">
        <f t="shared" si="1"/>
        <v>0</v>
      </c>
      <c r="K16" s="21">
        <f t="shared" si="1"/>
        <v>0</v>
      </c>
      <c r="L16" s="21">
        <f t="shared" ca="1" si="1"/>
        <v>0</v>
      </c>
      <c r="M16" s="21">
        <f t="shared" si="1"/>
        <v>0</v>
      </c>
      <c r="N16" s="21">
        <f t="shared" ca="1" si="1"/>
        <v>6710.8620545691538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0.21747901184431545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20544.632360120951</v>
      </c>
      <c r="C20" s="23">
        <f t="shared" ref="C20:P20" ca="1" si="2">C16*C18</f>
        <v>0</v>
      </c>
      <c r="D20" s="23">
        <f t="shared" ca="1" si="2"/>
        <v>25257.647599942382</v>
      </c>
      <c r="E20" s="23">
        <f t="shared" si="2"/>
        <v>382.57056555489009</v>
      </c>
      <c r="F20" s="23">
        <f t="shared" ca="1" si="2"/>
        <v>5121.6313361082966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28005.8839250089</v>
      </c>
      <c r="C26" s="39">
        <f>IF(ISERROR(B26*3.6/1000000/'E Balans VL '!Z12*100),0,B26*3.6/1000000/'E Balans VL '!Z12*100)</f>
        <v>0.59485884687870971</v>
      </c>
      <c r="D26" s="239" t="s">
        <v>692</v>
      </c>
      <c r="F26" s="6"/>
    </row>
    <row r="27" spans="1:18">
      <c r="A27" s="233" t="s">
        <v>53</v>
      </c>
      <c r="B27" s="33">
        <f>IF(ISERROR(TER_horeca_ele_kWh/1000),0,TER_horeca_ele_kWh/1000)</f>
        <v>17795.386487853801</v>
      </c>
      <c r="C27" s="39">
        <f>IF(ISERROR(B27*3.6/1000000/'E Balans VL '!Z9*100),0,B27*3.6/1000000/'E Balans VL '!Z9*100)</f>
        <v>1.383699674727648</v>
      </c>
      <c r="D27" s="239" t="s">
        <v>692</v>
      </c>
      <c r="F27" s="6"/>
    </row>
    <row r="28" spans="1:18">
      <c r="A28" s="173" t="s">
        <v>52</v>
      </c>
      <c r="B28" s="33">
        <f>IF(ISERROR(TER_handel_ele_kWh/1000),0,TER_handel_ele_kWh/1000)</f>
        <v>30520.807307274299</v>
      </c>
      <c r="C28" s="39">
        <f>IF(ISERROR(B28*3.6/1000000/'E Balans VL '!Z13*100),0,B28*3.6/1000000/'E Balans VL '!Z13*100)</f>
        <v>0.87323621645811855</v>
      </c>
      <c r="D28" s="239" t="s">
        <v>692</v>
      </c>
      <c r="F28" s="6"/>
    </row>
    <row r="29" spans="1:18">
      <c r="A29" s="233" t="s">
        <v>51</v>
      </c>
      <c r="B29" s="33">
        <f>IF(ISERROR(TER_gezond_ele_kWh/1000),0,TER_gezond_ele_kWh/1000)</f>
        <v>1430.9195035513299</v>
      </c>
      <c r="C29" s="39">
        <f>IF(ISERROR(B29*3.6/1000000/'E Balans VL '!Z10*100),0,B29*3.6/1000000/'E Balans VL '!Z10*100)</f>
        <v>0.15600347646855456</v>
      </c>
      <c r="D29" s="239" t="s">
        <v>692</v>
      </c>
      <c r="F29" s="6"/>
    </row>
    <row r="30" spans="1:18">
      <c r="A30" s="233" t="s">
        <v>50</v>
      </c>
      <c r="B30" s="33">
        <f>IF(ISERROR(TER_ander_ele_kWh/1000),0,TER_ander_ele_kWh/1000)</f>
        <v>8587.5299061504302</v>
      </c>
      <c r="C30" s="39">
        <f>IF(ISERROR(B30*3.6/1000000/'E Balans VL '!Z14*100),0,B30*3.6/1000000/'E Balans VL '!Z14*100)</f>
        <v>0.62841595818228668</v>
      </c>
      <c r="D30" s="239" t="s">
        <v>692</v>
      </c>
      <c r="F30" s="6"/>
    </row>
    <row r="31" spans="1:18">
      <c r="A31" s="233" t="s">
        <v>55</v>
      </c>
      <c r="B31" s="33">
        <f>IF(ISERROR(TER_onderwijs_ele_kWh/1000),0,TER_onderwijs_ele_kWh/1000)</f>
        <v>481.78955456728403</v>
      </c>
      <c r="C31" s="39">
        <f>IF(ISERROR(B31*3.6/1000000/'E Balans VL '!Z11*100),0,B31*3.6/1000000/'E Balans VL '!Z11*100)</f>
        <v>9.6767789801896834E-2</v>
      </c>
      <c r="D31" s="239" t="s">
        <v>692</v>
      </c>
    </row>
    <row r="32" spans="1:18">
      <c r="A32" s="233" t="s">
        <v>260</v>
      </c>
      <c r="B32" s="33">
        <f>IF(ISERROR(TER_rest_ele_kWh/1000),0,TER_rest_ele_kWh/1000)</f>
        <v>7644.8789584913702</v>
      </c>
      <c r="C32" s="39">
        <f>IF(ISERROR(B32*3.6/1000000/'E Balans VL '!Z8*100),0,B32*3.6/1000000/'E Balans VL '!Z8*100)</f>
        <v>6.2301124070391026E-2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12340.260542988311</v>
      </c>
      <c r="C5" s="17">
        <f>IF(ISERROR('Eigen informatie GS &amp; warmtenet'!B59),0,'Eigen informatie GS &amp; warmtenet'!B59)</f>
        <v>0</v>
      </c>
      <c r="D5" s="30">
        <f>SUM(D6:D15)</f>
        <v>11243.860885738632</v>
      </c>
      <c r="E5" s="17">
        <f>SUM(E6:E15)</f>
        <v>2045.4990655995487</v>
      </c>
      <c r="F5" s="17">
        <f>SUM(F6:F15)</f>
        <v>7884.1050634467638</v>
      </c>
      <c r="G5" s="18"/>
      <c r="H5" s="17"/>
      <c r="I5" s="17"/>
      <c r="J5" s="17">
        <f>SUM(J6:J15)</f>
        <v>10.05836638728705</v>
      </c>
      <c r="K5" s="17"/>
      <c r="L5" s="17"/>
      <c r="M5" s="17"/>
      <c r="N5" s="17">
        <f>SUM(N6:N15)</f>
        <v>3480.7724530765499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199.96088980403499</v>
      </c>
      <c r="C8" s="33"/>
      <c r="D8" s="37">
        <f>IF( ISERROR(IND_metaal_Gas_kWH/1000),0,IND_metaal_Gas_kWH/1000)*0.902</f>
        <v>33.629832116708371</v>
      </c>
      <c r="E8" s="33">
        <f>C30*'E Balans VL '!I18/100/3.6*1000000</f>
        <v>5.7436273162744556</v>
      </c>
      <c r="F8" s="33">
        <f>C30*'E Balans VL '!L18/100/3.6*1000000+C30*'E Balans VL '!N18/100/3.6*1000000</f>
        <v>51.286122434139102</v>
      </c>
      <c r="G8" s="34"/>
      <c r="H8" s="33"/>
      <c r="I8" s="33"/>
      <c r="J8" s="40">
        <f>C30*'E Balans VL '!D18/100/3.6*1000000+C30*'E Balans VL '!E18/100/3.6*1000000</f>
        <v>0</v>
      </c>
      <c r="K8" s="33"/>
      <c r="L8" s="33"/>
      <c r="M8" s="33"/>
      <c r="N8" s="33">
        <f>C30*'E Balans VL '!Y18/100/3.6*1000000</f>
        <v>5.4293463361853691</v>
      </c>
      <c r="O8" s="33"/>
      <c r="P8" s="33"/>
      <c r="R8" s="32"/>
    </row>
    <row r="9" spans="1:18">
      <c r="A9" s="6" t="s">
        <v>33</v>
      </c>
      <c r="B9" s="37">
        <f t="shared" si="0"/>
        <v>6160.5169842135301</v>
      </c>
      <c r="C9" s="33"/>
      <c r="D9" s="37">
        <f>IF( ISERROR(IND_andere_gas_kWh/1000),0,IND_andere_gas_kWh/1000)*0.902</f>
        <v>7036.234936900888</v>
      </c>
      <c r="E9" s="33">
        <f>C31*'E Balans VL '!I19/100/3.6*1000000</f>
        <v>1667.5004787463449</v>
      </c>
      <c r="F9" s="33">
        <f>C31*'E Balans VL '!L19/100/3.6*1000000+C31*'E Balans VL '!N19/100/3.6*1000000</f>
        <v>4103.5562303626384</v>
      </c>
      <c r="G9" s="34"/>
      <c r="H9" s="33"/>
      <c r="I9" s="33"/>
      <c r="J9" s="40">
        <f>C31*'E Balans VL '!D19/100/3.6*1000000+C31*'E Balans VL '!E19/100/3.6*1000000</f>
        <v>0</v>
      </c>
      <c r="K9" s="33"/>
      <c r="L9" s="33"/>
      <c r="M9" s="33"/>
      <c r="N9" s="33">
        <f>C31*'E Balans VL '!Y19/100/3.6*1000000</f>
        <v>2011.3064603976125</v>
      </c>
      <c r="O9" s="33"/>
      <c r="P9" s="33"/>
      <c r="R9" s="32"/>
    </row>
    <row r="10" spans="1:18">
      <c r="A10" s="6" t="s">
        <v>41</v>
      </c>
      <c r="B10" s="37">
        <f t="shared" si="0"/>
        <v>1877.52203788478</v>
      </c>
      <c r="C10" s="33"/>
      <c r="D10" s="37">
        <f>IF( ISERROR(IND_voed_gas_kWh/1000),0,IND_voed_gas_kWh/1000)*0.902</f>
        <v>2261.4108954031776</v>
      </c>
      <c r="E10" s="33">
        <f>C32*'E Balans VL '!I20/100/3.6*1000000</f>
        <v>153.13501090452175</v>
      </c>
      <c r="F10" s="33">
        <f>C32*'E Balans VL '!L20/100/3.6*1000000+C32*'E Balans VL '!N20/100/3.6*1000000</f>
        <v>2799.5557022112207</v>
      </c>
      <c r="G10" s="34"/>
      <c r="H10" s="33"/>
      <c r="I10" s="33"/>
      <c r="J10" s="40">
        <f>C32*'E Balans VL '!D20/100/3.6*1000000+C32*'E Balans VL '!E20/100/3.6*1000000</f>
        <v>2.4837337555191696E-2</v>
      </c>
      <c r="K10" s="33"/>
      <c r="L10" s="33"/>
      <c r="M10" s="33"/>
      <c r="N10" s="33">
        <f>C32*'E Balans VL '!Y20/100/3.6*1000000</f>
        <v>551.54972412149277</v>
      </c>
      <c r="O10" s="33"/>
      <c r="P10" s="33"/>
      <c r="R10" s="32"/>
    </row>
    <row r="11" spans="1:18">
      <c r="A11" s="6" t="s">
        <v>40</v>
      </c>
      <c r="B11" s="37">
        <f t="shared" si="0"/>
        <v>120.38334163497201</v>
      </c>
      <c r="C11" s="33"/>
      <c r="D11" s="37">
        <f>IF( ISERROR(IND_textiel_gas_kWh/1000),0,IND_textiel_gas_kWh/1000)*0.902</f>
        <v>76.925813348945198</v>
      </c>
      <c r="E11" s="33">
        <f>C33*'E Balans VL '!I21/100/3.6*1000000</f>
        <v>2.3862441320279662E-2</v>
      </c>
      <c r="F11" s="33">
        <f>C33*'E Balans VL '!L21/100/3.6*1000000+C33*'E Balans VL '!N21/100/3.6*1000000</f>
        <v>4.4338637153813645</v>
      </c>
      <c r="G11" s="34"/>
      <c r="H11" s="33"/>
      <c r="I11" s="33"/>
      <c r="J11" s="40">
        <f>C33*'E Balans VL '!D21/100/3.6*1000000+C33*'E Balans VL '!E21/100/3.6*1000000</f>
        <v>0</v>
      </c>
      <c r="K11" s="33"/>
      <c r="L11" s="33"/>
      <c r="M11" s="33"/>
      <c r="N11" s="33">
        <f>C33*'E Balans VL '!Y21/100/3.6*1000000</f>
        <v>0.55975214880955027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67.213664284834906</v>
      </c>
      <c r="C13" s="33"/>
      <c r="D13" s="37">
        <f>IF( ISERROR(IND_papier_gas_kWh/1000),0,IND_papier_gas_kWh/1000)*0.902</f>
        <v>171.96680052944419</v>
      </c>
      <c r="E13" s="33">
        <f>C35*'E Balans VL '!I23/100/3.6*1000000</f>
        <v>0.70418558173634449</v>
      </c>
      <c r="F13" s="33">
        <f>C35*'E Balans VL '!L23/100/3.6*1000000+C35*'E Balans VL '!N23/100/3.6*1000000</f>
        <v>5.015495542289738</v>
      </c>
      <c r="G13" s="34"/>
      <c r="H13" s="33"/>
      <c r="I13" s="33"/>
      <c r="J13" s="40">
        <f>C35*'E Balans VL '!D23/100/3.6*1000000+C35*'E Balans VL '!E23/100/3.6*1000000</f>
        <v>0</v>
      </c>
      <c r="K13" s="33"/>
      <c r="L13" s="33"/>
      <c r="M13" s="33"/>
      <c r="N13" s="33">
        <f>C35*'E Balans VL '!Y23/100/3.6*1000000</f>
        <v>143.6621918597167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3914.6636251661603</v>
      </c>
      <c r="C15" s="33"/>
      <c r="D15" s="37">
        <f>IF( ISERROR(IND_rest_gas_kWh/1000),0,IND_rest_gas_kWh/1000)*0.902</f>
        <v>1663.692607439466</v>
      </c>
      <c r="E15" s="33">
        <f>C37*'E Balans VL '!I15/100/3.6*1000000</f>
        <v>218.39190060935101</v>
      </c>
      <c r="F15" s="33">
        <f>C37*'E Balans VL '!L15/100/3.6*1000000+C37*'E Balans VL '!N15/100/3.6*1000000</f>
        <v>920.25764918109451</v>
      </c>
      <c r="G15" s="34"/>
      <c r="H15" s="33"/>
      <c r="I15" s="33"/>
      <c r="J15" s="40">
        <f>C37*'E Balans VL '!D15/100/3.6*1000000+C37*'E Balans VL '!E15/100/3.6*1000000</f>
        <v>10.033529049731857</v>
      </c>
      <c r="K15" s="33"/>
      <c r="L15" s="33"/>
      <c r="M15" s="33"/>
      <c r="N15" s="33">
        <f>C37*'E Balans VL '!Y15/100/3.6*1000000</f>
        <v>768.26497821273335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12340.260542988311</v>
      </c>
      <c r="C18" s="21">
        <f>C5+C16</f>
        <v>0</v>
      </c>
      <c r="D18" s="21">
        <f>MAX((D5+D16),0)</f>
        <v>11243.860885738632</v>
      </c>
      <c r="E18" s="21">
        <f>MAX((E5+E16),0)</f>
        <v>2045.4990655995487</v>
      </c>
      <c r="F18" s="21">
        <f>MAX((F5+F16),0)</f>
        <v>7884.1050634467638</v>
      </c>
      <c r="G18" s="21"/>
      <c r="H18" s="21"/>
      <c r="I18" s="21"/>
      <c r="J18" s="21">
        <f>MAX((J5+J16),0)</f>
        <v>10.05836638728705</v>
      </c>
      <c r="K18" s="21"/>
      <c r="L18" s="21">
        <f>MAX((L5+L16),0)</f>
        <v>0</v>
      </c>
      <c r="M18" s="21"/>
      <c r="N18" s="21">
        <f>MAX((N5+N16),0)</f>
        <v>3480.7724530765499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0.21747901184431545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2683.7476687904937</v>
      </c>
      <c r="C22" s="23">
        <f ca="1">C18*C20</f>
        <v>0</v>
      </c>
      <c r="D22" s="23">
        <f>D18*D20</f>
        <v>2271.2598989192038</v>
      </c>
      <c r="E22" s="23">
        <f>E18*E20</f>
        <v>464.32828789109755</v>
      </c>
      <c r="F22" s="23">
        <f>F18*F20</f>
        <v>2105.0560519402861</v>
      </c>
      <c r="G22" s="23"/>
      <c r="H22" s="23"/>
      <c r="I22" s="23"/>
      <c r="J22" s="23">
        <f>J18*J20</f>
        <v>3.5606617010996153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199.96088980403499</v>
      </c>
      <c r="C30" s="39">
        <f>IF(ISERROR(B30*3.6/1000000/'E Balans VL '!Z18*100),0,B30*3.6/1000000/'E Balans VL '!Z18*100)</f>
        <v>1.9675641110940639E-2</v>
      </c>
      <c r="D30" s="239" t="s">
        <v>692</v>
      </c>
    </row>
    <row r="31" spans="1:18">
      <c r="A31" s="6" t="s">
        <v>33</v>
      </c>
      <c r="B31" s="37">
        <f>IF( ISERROR(IND_ander_ele_kWh/1000),0,IND_ander_ele_kWh/1000)</f>
        <v>6160.5169842135301</v>
      </c>
      <c r="C31" s="39">
        <f>IF(ISERROR(B31*3.6/1000000/'E Balans VL '!Z19*100),0,B31*3.6/1000000/'E Balans VL '!Z19*100)</f>
        <v>0.26828560046650901</v>
      </c>
      <c r="D31" s="239" t="s">
        <v>692</v>
      </c>
    </row>
    <row r="32" spans="1:18">
      <c r="A32" s="173" t="s">
        <v>41</v>
      </c>
      <c r="B32" s="37">
        <f>IF( ISERROR(IND_voed_ele_kWh/1000),0,IND_voed_ele_kWh/1000)</f>
        <v>1877.52203788478</v>
      </c>
      <c r="C32" s="39">
        <f>IF(ISERROR(B32*3.6/1000000/'E Balans VL '!Z20*100),0,B32*3.6/1000000/'E Balans VL '!Z20*100)</f>
        <v>0.3562327298752454</v>
      </c>
      <c r="D32" s="239" t="s">
        <v>692</v>
      </c>
    </row>
    <row r="33" spans="1:5">
      <c r="A33" s="173" t="s">
        <v>40</v>
      </c>
      <c r="B33" s="37">
        <f>IF( ISERROR(IND_textiel_ele_kWh/1000),0,IND_textiel_ele_kWh/1000)</f>
        <v>120.38334163497201</v>
      </c>
      <c r="C33" s="39">
        <f>IF(ISERROR(B33*3.6/1000000/'E Balans VL '!Z21*100),0,B33*3.6/1000000/'E Balans VL '!Z21*100)</f>
        <v>6.87327831268975E-3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67.213664284834906</v>
      </c>
      <c r="C35" s="39">
        <f>IF(ISERROR(B35*3.6/1000000/'E Balans VL '!Z22*100),0,B35*3.6/1000000/'E Balans VL '!Z22*100)</f>
        <v>9.450916137026949E-3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3914.6636251661603</v>
      </c>
      <c r="C37" s="39">
        <f>IF(ISERROR(B37*3.6/1000000/'E Balans VL '!Z15*100),0,B37*3.6/1000000/'E Balans VL '!Z15*100)</f>
        <v>3.0167291429943847E-2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1672.0501816863198</v>
      </c>
      <c r="C5" s="17">
        <f>'Eigen informatie GS &amp; warmtenet'!B60</f>
        <v>0</v>
      </c>
      <c r="D5" s="30">
        <f>IF(ISERROR(SUM(LB_lb_gas_kWh,LB_rest_gas_kWh,onbekend_gas_kWh)/1000),0,SUM(LB_lb_gas_kWh,LB_rest_gas_kWh,onbekend_gas_kWh)/1000)*0.902</f>
        <v>31149.675836198276</v>
      </c>
      <c r="E5" s="17">
        <f>B17*'E Balans VL '!I25/3.6*1000000/100</f>
        <v>21.069986327842013</v>
      </c>
      <c r="F5" s="17">
        <f>B17*('E Balans VL '!L25/3.6*1000000+'E Balans VL '!N25/3.6*1000000)/100</f>
        <v>5768.9920004170399</v>
      </c>
      <c r="G5" s="18"/>
      <c r="H5" s="17"/>
      <c r="I5" s="17"/>
      <c r="J5" s="17">
        <f>('E Balans VL '!D25+'E Balans VL '!E25)/3.6*1000000*landbouw!B17/100</f>
        <v>251.45734012998349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1672.0501816863198</v>
      </c>
      <c r="C8" s="21">
        <f>C5+C6</f>
        <v>0</v>
      </c>
      <c r="D8" s="21">
        <f>MAX((D5+D6),0)</f>
        <v>31149.675836198276</v>
      </c>
      <c r="E8" s="21">
        <f>MAX((E5+E6),0)</f>
        <v>21.069986327842013</v>
      </c>
      <c r="F8" s="21">
        <f>MAX((F5+F6),0)</f>
        <v>5768.9920004170399</v>
      </c>
      <c r="G8" s="21"/>
      <c r="H8" s="21"/>
      <c r="I8" s="21"/>
      <c r="J8" s="21">
        <f>MAX((J5+J6),0)</f>
        <v>251.45734012998349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0.21747901184431545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363.63582126724896</v>
      </c>
      <c r="C12" s="23">
        <f ca="1">C8*C10</f>
        <v>0</v>
      </c>
      <c r="D12" s="23">
        <f>D8*D10</f>
        <v>6292.2345189120524</v>
      </c>
      <c r="E12" s="23">
        <f>E8*E10</f>
        <v>4.7828868964201368</v>
      </c>
      <c r="F12" s="23">
        <f>F8*F10</f>
        <v>1540.3208641113497</v>
      </c>
      <c r="G12" s="23"/>
      <c r="H12" s="23"/>
      <c r="I12" s="23"/>
      <c r="J12" s="23">
        <f>J8*J10</f>
        <v>89.015898406014145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0.23319830038255274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354.82132444589263</v>
      </c>
      <c r="C26" s="249">
        <f>B26*'GWP N2O_CH4'!B5</f>
        <v>7451.2478133637451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75.932371809430535</v>
      </c>
      <c r="C27" s="249">
        <f>B27*'GWP N2O_CH4'!B5</f>
        <v>1594.5798079980411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5.3355682282861929</v>
      </c>
      <c r="C28" s="249">
        <f>B28*'GWP N2O_CH4'!B4</f>
        <v>1654.0261507687198</v>
      </c>
      <c r="D28" s="50"/>
    </row>
    <row r="29" spans="1:4">
      <c r="A29" s="41" t="s">
        <v>277</v>
      </c>
      <c r="B29" s="249">
        <f>B34*'ha_N2O bodem landbouw'!B4</f>
        <v>20.29421849839661</v>
      </c>
      <c r="C29" s="249">
        <f>B29*'GWP N2O_CH4'!B4</f>
        <v>6291.2077345029493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5.067263573558611E-3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3.0074524808202626E-5</v>
      </c>
      <c r="C5" s="448" t="s">
        <v>211</v>
      </c>
      <c r="D5" s="433">
        <f>SUM(D6:D11)</f>
        <v>4.9582339792919212E-5</v>
      </c>
      <c r="E5" s="433">
        <f>SUM(E6:E11)</f>
        <v>1.5177127593864702E-3</v>
      </c>
      <c r="F5" s="446" t="s">
        <v>211</v>
      </c>
      <c r="G5" s="433">
        <f>SUM(G6:G11)</f>
        <v>0.39714514117283178</v>
      </c>
      <c r="H5" s="433">
        <f>SUM(H6:H11)</f>
        <v>7.4402201241145438E-2</v>
      </c>
      <c r="I5" s="448" t="s">
        <v>211</v>
      </c>
      <c r="J5" s="448" t="s">
        <v>211</v>
      </c>
      <c r="K5" s="448" t="s">
        <v>211</v>
      </c>
      <c r="L5" s="448" t="s">
        <v>211</v>
      </c>
      <c r="M5" s="433">
        <f>SUM(M6:M11)</f>
        <v>2.1100995842759589E-2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2.3758071319612148E-5</v>
      </c>
      <c r="C6" s="949"/>
      <c r="D6" s="949">
        <f>vkm_2011_GW_PW*SUMIFS(TableVerdeelsleutelVkm[CNG],TableVerdeelsleutelVkm[Voertuigtype],"Lichte voertuigen")*SUMIFS(TableECFTransport[EnergieConsumptieFactor (PJ per km)],TableECFTransport[Index],CONCATENATE($A6,"_CNG_CNG"))</f>
        <v>3.3646075606757545E-5</v>
      </c>
      <c r="E6" s="949">
        <f>vkm_2011_GW_PW*SUMIFS(TableVerdeelsleutelVkm[LPG],TableVerdeelsleutelVkm[Voertuigtype],"Lichte voertuigen")*SUMIFS(TableECFTransport[EnergieConsumptieFactor (PJ per km)],TableECFTransport[Index],CONCATENATE($A6,"_LPG_LPG"))</f>
        <v>1.0567124690031172E-3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0.18992016562214781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5.103327629682014E-2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1.0752410442469596E-2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0.11395531392355422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4.0600621778939219E-5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5.14232919358696E-3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6.3164534885904796E-6</v>
      </c>
      <c r="C8" s="949"/>
      <c r="D8" s="436">
        <f>vkm_2011_NGW_PW*SUMIFS(TableVerdeelsleutelVkm[CNG],TableVerdeelsleutelVkm[Voertuigtype],"Lichte voertuigen")*SUMIFS(TableECFTransport[EnergieConsumptieFactor (PJ per km)],TableECFTransport[Index],CONCATENATE($A8,"_CNG_CNG"))</f>
        <v>1.5936264186161667E-5</v>
      </c>
      <c r="E8" s="436">
        <f>vkm_2011_NGW_PW*SUMIFS(TableVerdeelsleutelVkm[LPG],TableVerdeelsleutelVkm[Voertuigtype],"Lichte voertuigen")*SUMIFS(TableECFTransport[EnergieConsumptieFactor (PJ per km)],TableECFTransport[Index],CONCATENATE($A8,"_LPG_LPG"))</f>
        <v>4.6100029038335304E-4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7.8144019538225334E-2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2.3323224716537583E-2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4.523711303602556E-3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1.5125642088904396E-2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5.0996060087761846E-6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6.8254490310047764E-4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8.3540346689451734</v>
      </c>
      <c r="C14" s="21"/>
      <c r="D14" s="21">
        <f t="shared" ref="D14:M14" si="0">((D5)*10^9/3600)+D12</f>
        <v>13.772872164699782</v>
      </c>
      <c r="E14" s="21">
        <f t="shared" si="0"/>
        <v>421.58687760735285</v>
      </c>
      <c r="F14" s="21"/>
      <c r="G14" s="21">
        <f t="shared" si="0"/>
        <v>110318.09477023105</v>
      </c>
      <c r="H14" s="21">
        <f t="shared" si="0"/>
        <v>20667.278122540396</v>
      </c>
      <c r="I14" s="21"/>
      <c r="J14" s="21"/>
      <c r="K14" s="21"/>
      <c r="L14" s="21"/>
      <c r="M14" s="21">
        <f t="shared" si="0"/>
        <v>5861.3877340998852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0.21747901184431545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1.8168272047153493</v>
      </c>
      <c r="C18" s="23"/>
      <c r="D18" s="23">
        <f t="shared" ref="D18:M18" si="1">D14*D16</f>
        <v>2.782120177269356</v>
      </c>
      <c r="E18" s="23">
        <f t="shared" si="1"/>
        <v>95.700221216869096</v>
      </c>
      <c r="F18" s="23"/>
      <c r="G18" s="23">
        <f t="shared" si="1"/>
        <v>29454.931303651694</v>
      </c>
      <c r="H18" s="23">
        <f t="shared" si="1"/>
        <v>5146.1522525125583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2.2050247272788876E-3</v>
      </c>
      <c r="C50" s="323">
        <f t="shared" ref="C50:P50" si="2">SUM(C51:C52)</f>
        <v>0</v>
      </c>
      <c r="D50" s="323">
        <f t="shared" si="2"/>
        <v>0</v>
      </c>
      <c r="E50" s="323">
        <f t="shared" si="2"/>
        <v>0</v>
      </c>
      <c r="F50" s="323">
        <f t="shared" si="2"/>
        <v>0</v>
      </c>
      <c r="G50" s="323">
        <f t="shared" si="2"/>
        <v>5.6940368340583098E-3</v>
      </c>
      <c r="H50" s="323">
        <f t="shared" si="2"/>
        <v>0</v>
      </c>
      <c r="I50" s="323">
        <f t="shared" si="2"/>
        <v>0</v>
      </c>
      <c r="J50" s="323">
        <f t="shared" si="2"/>
        <v>0</v>
      </c>
      <c r="K50" s="323">
        <f t="shared" si="2"/>
        <v>0</v>
      </c>
      <c r="L50" s="323">
        <f t="shared" si="2"/>
        <v>0</v>
      </c>
      <c r="M50" s="323">
        <f t="shared" si="2"/>
        <v>2.5322774514852461E-4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5.6940368340583098E-3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2.5322774514852461E-4</v>
      </c>
      <c r="N51" s="325"/>
      <c r="O51" s="325"/>
      <c r="P51" s="328"/>
    </row>
    <row r="52" spans="1:18">
      <c r="A52" s="4" t="s">
        <v>330</v>
      </c>
      <c r="B52" s="329">
        <f>vkm_2011_tram*SUMIFS(TableECFTransport[EnergieConsumptieFactor (PJ per km)],TableECFTransport[Index],"Tram_gemiddeld_Electric_Electric")</f>
        <v>2.2050247272788876E-3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612.50686868857997</v>
      </c>
      <c r="C54" s="21">
        <f t="shared" ref="C54:P54" si="3">(C50)*10^9/3600</f>
        <v>0</v>
      </c>
      <c r="D54" s="21">
        <f t="shared" si="3"/>
        <v>0</v>
      </c>
      <c r="E54" s="21">
        <f t="shared" si="3"/>
        <v>0</v>
      </c>
      <c r="F54" s="21">
        <f t="shared" si="3"/>
        <v>0</v>
      </c>
      <c r="G54" s="21">
        <f t="shared" si="3"/>
        <v>1581.6768983495306</v>
      </c>
      <c r="H54" s="21">
        <f t="shared" si="3"/>
        <v>0</v>
      </c>
      <c r="I54" s="21">
        <f t="shared" si="3"/>
        <v>0</v>
      </c>
      <c r="J54" s="21">
        <f t="shared" si="3"/>
        <v>0</v>
      </c>
      <c r="K54" s="21">
        <f t="shared" si="3"/>
        <v>0</v>
      </c>
      <c r="L54" s="21">
        <f t="shared" si="3"/>
        <v>0</v>
      </c>
      <c r="M54" s="21">
        <f t="shared" si="3"/>
        <v>70.341040319034619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0.21747901184431545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133.20738855024825</v>
      </c>
      <c r="C58" s="23">
        <f t="shared" ref="C58:P58" ca="1" si="4">C54*C56</f>
        <v>0</v>
      </c>
      <c r="D58" s="23">
        <f t="shared" si="4"/>
        <v>0</v>
      </c>
      <c r="E58" s="23">
        <f t="shared" si="4"/>
        <v>0</v>
      </c>
      <c r="F58" s="23">
        <f t="shared" si="4"/>
        <v>0</v>
      </c>
      <c r="G58" s="23">
        <f t="shared" si="4"/>
        <v>422.30773185932469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3042.1399956122368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3042.1399956122368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97802.301642897408</v>
      </c>
      <c r="D10" s="704">
        <f ca="1">tertiair!C16</f>
        <v>0</v>
      </c>
      <c r="E10" s="704">
        <f ca="1">tertiair!D16</f>
        <v>125037.85940565536</v>
      </c>
      <c r="F10" s="704">
        <f>tertiair!E16</f>
        <v>1685.3328879070048</v>
      </c>
      <c r="G10" s="704">
        <f ca="1">tertiair!F16</f>
        <v>19182.139835611597</v>
      </c>
      <c r="H10" s="704">
        <f>tertiair!G16</f>
        <v>0</v>
      </c>
      <c r="I10" s="704">
        <f>tertiair!H16</f>
        <v>0</v>
      </c>
      <c r="J10" s="704">
        <f>tertiair!I16</f>
        <v>0</v>
      </c>
      <c r="K10" s="704">
        <f>tertiair!J16</f>
        <v>0</v>
      </c>
      <c r="L10" s="704">
        <f>tertiair!K16</f>
        <v>0</v>
      </c>
      <c r="M10" s="704">
        <f ca="1">tertiair!L16</f>
        <v>0</v>
      </c>
      <c r="N10" s="704">
        <f>tertiair!M16</f>
        <v>0</v>
      </c>
      <c r="O10" s="704">
        <f ca="1">tertiair!N16</f>
        <v>6710.8620545691538</v>
      </c>
      <c r="P10" s="704">
        <f>tertiair!O16</f>
        <v>0</v>
      </c>
      <c r="Q10" s="705">
        <f>tertiair!P16</f>
        <v>76.266666666666666</v>
      </c>
      <c r="R10" s="707">
        <f ca="1">SUM(C10:Q10)</f>
        <v>250494.76249330721</v>
      </c>
      <c r="S10" s="67"/>
    </row>
    <row r="11" spans="1:19" s="459" customFormat="1">
      <c r="A11" s="858" t="s">
        <v>225</v>
      </c>
      <c r="B11" s="863"/>
      <c r="C11" s="704">
        <f>huishoudens!B8</f>
        <v>78508.917707742468</v>
      </c>
      <c r="D11" s="704">
        <f>huishoudens!C8</f>
        <v>0</v>
      </c>
      <c r="E11" s="704">
        <f>huishoudens!D8</f>
        <v>257030.92962859329</v>
      </c>
      <c r="F11" s="704">
        <f>huishoudens!E8</f>
        <v>0</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0</v>
      </c>
      <c r="P11" s="704">
        <f>huishoudens!O8</f>
        <v>142.26333333333332</v>
      </c>
      <c r="Q11" s="705">
        <f>huishoudens!P8</f>
        <v>552.93333333333339</v>
      </c>
      <c r="R11" s="707">
        <f>SUM(C11:Q11)</f>
        <v>336235.0440030024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12340.260542988311</v>
      </c>
      <c r="D13" s="704">
        <f>industrie!C18</f>
        <v>0</v>
      </c>
      <c r="E13" s="704">
        <f>industrie!D18</f>
        <v>11243.860885738632</v>
      </c>
      <c r="F13" s="704">
        <f>industrie!E18</f>
        <v>2045.4990655995487</v>
      </c>
      <c r="G13" s="704">
        <f>industrie!F18</f>
        <v>7884.1050634467638</v>
      </c>
      <c r="H13" s="704">
        <f>industrie!G18</f>
        <v>0</v>
      </c>
      <c r="I13" s="704">
        <f>industrie!H18</f>
        <v>0</v>
      </c>
      <c r="J13" s="704">
        <f>industrie!I18</f>
        <v>0</v>
      </c>
      <c r="K13" s="704">
        <f>industrie!J18</f>
        <v>10.05836638728705</v>
      </c>
      <c r="L13" s="704">
        <f>industrie!K18</f>
        <v>0</v>
      </c>
      <c r="M13" s="704">
        <f>industrie!L18</f>
        <v>0</v>
      </c>
      <c r="N13" s="704">
        <f>industrie!M18</f>
        <v>0</v>
      </c>
      <c r="O13" s="704">
        <f>industrie!N18</f>
        <v>3480.7724530765499</v>
      </c>
      <c r="P13" s="704">
        <f>industrie!O18</f>
        <v>0</v>
      </c>
      <c r="Q13" s="705">
        <f>industrie!P18</f>
        <v>0</v>
      </c>
      <c r="R13" s="707">
        <f>SUM(C13:Q13)</f>
        <v>37004.556377237095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188651.47989362819</v>
      </c>
      <c r="D15" s="709">
        <f t="shared" ref="D15:Q15" ca="1" si="0">SUM(D9:D14)</f>
        <v>0</v>
      </c>
      <c r="E15" s="709">
        <f t="shared" ca="1" si="0"/>
        <v>393312.64991998731</v>
      </c>
      <c r="F15" s="709">
        <f t="shared" si="0"/>
        <v>3730.8319535065534</v>
      </c>
      <c r="G15" s="709">
        <f t="shared" ca="1" si="0"/>
        <v>27066.244899058362</v>
      </c>
      <c r="H15" s="709">
        <f t="shared" si="0"/>
        <v>0</v>
      </c>
      <c r="I15" s="709">
        <f t="shared" si="0"/>
        <v>0</v>
      </c>
      <c r="J15" s="709">
        <f t="shared" si="0"/>
        <v>0</v>
      </c>
      <c r="K15" s="709">
        <f t="shared" si="0"/>
        <v>10.05836638728705</v>
      </c>
      <c r="L15" s="709">
        <f t="shared" si="0"/>
        <v>0</v>
      </c>
      <c r="M15" s="709">
        <f t="shared" ca="1" si="0"/>
        <v>0</v>
      </c>
      <c r="N15" s="709">
        <f t="shared" si="0"/>
        <v>0</v>
      </c>
      <c r="O15" s="709">
        <f t="shared" ca="1" si="0"/>
        <v>10191.634507645704</v>
      </c>
      <c r="P15" s="709">
        <f t="shared" si="0"/>
        <v>142.26333333333332</v>
      </c>
      <c r="Q15" s="710">
        <f t="shared" si="0"/>
        <v>629.20000000000005</v>
      </c>
      <c r="R15" s="711">
        <f ca="1">SUM(R9:R14)</f>
        <v>623734.36287354666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612.50686868857997</v>
      </c>
      <c r="D18" s="704">
        <f>transport!C54</f>
        <v>0</v>
      </c>
      <c r="E18" s="704">
        <f>transport!D54</f>
        <v>0</v>
      </c>
      <c r="F18" s="704">
        <f>transport!E54</f>
        <v>0</v>
      </c>
      <c r="G18" s="704">
        <f>transport!F54</f>
        <v>0</v>
      </c>
      <c r="H18" s="704">
        <f>transport!G54</f>
        <v>1581.6768983495306</v>
      </c>
      <c r="I18" s="704">
        <f>transport!H54</f>
        <v>0</v>
      </c>
      <c r="J18" s="704">
        <f>transport!I54</f>
        <v>0</v>
      </c>
      <c r="K18" s="704">
        <f>transport!J54</f>
        <v>0</v>
      </c>
      <c r="L18" s="704">
        <f>transport!K54</f>
        <v>0</v>
      </c>
      <c r="M18" s="704">
        <f>transport!L54</f>
        <v>0</v>
      </c>
      <c r="N18" s="704">
        <f>transport!M54</f>
        <v>70.341040319034619</v>
      </c>
      <c r="O18" s="704">
        <f>transport!N54</f>
        <v>0</v>
      </c>
      <c r="P18" s="704">
        <f>transport!O54</f>
        <v>0</v>
      </c>
      <c r="Q18" s="705">
        <f>transport!P54</f>
        <v>0</v>
      </c>
      <c r="R18" s="707">
        <f>SUM(C18:Q18)</f>
        <v>2264.5248073571452</v>
      </c>
      <c r="S18" s="67"/>
    </row>
    <row r="19" spans="1:19" s="459" customFormat="1" ht="15" thickBot="1">
      <c r="A19" s="858" t="s">
        <v>307</v>
      </c>
      <c r="B19" s="863"/>
      <c r="C19" s="713">
        <f>transport!B14</f>
        <v>8.3540346689451734</v>
      </c>
      <c r="D19" s="713">
        <f>transport!C14</f>
        <v>0</v>
      </c>
      <c r="E19" s="713">
        <f>transport!D14</f>
        <v>13.772872164699782</v>
      </c>
      <c r="F19" s="713">
        <f>transport!E14</f>
        <v>421.58687760735285</v>
      </c>
      <c r="G19" s="713">
        <f>transport!F14</f>
        <v>0</v>
      </c>
      <c r="H19" s="713">
        <f>transport!G14</f>
        <v>110318.09477023105</v>
      </c>
      <c r="I19" s="713">
        <f>transport!H14</f>
        <v>20667.278122540396</v>
      </c>
      <c r="J19" s="713">
        <f>transport!I14</f>
        <v>0</v>
      </c>
      <c r="K19" s="713">
        <f>transport!J14</f>
        <v>0</v>
      </c>
      <c r="L19" s="713">
        <f>transport!K14</f>
        <v>0</v>
      </c>
      <c r="M19" s="713">
        <f>transport!L14</f>
        <v>0</v>
      </c>
      <c r="N19" s="713">
        <f>transport!M14</f>
        <v>5861.3877340998852</v>
      </c>
      <c r="O19" s="713">
        <f>transport!N14</f>
        <v>0</v>
      </c>
      <c r="P19" s="713">
        <f>transport!O14</f>
        <v>0</v>
      </c>
      <c r="Q19" s="714">
        <f>transport!P14</f>
        <v>0</v>
      </c>
      <c r="R19" s="715">
        <f>SUM(C19:Q19)</f>
        <v>137290.47441131232</v>
      </c>
      <c r="S19" s="67"/>
    </row>
    <row r="20" spans="1:19" s="459" customFormat="1" ht="15.75" thickBot="1">
      <c r="A20" s="716" t="s">
        <v>230</v>
      </c>
      <c r="B20" s="866"/>
      <c r="C20" s="861">
        <f>SUM(C17:C19)</f>
        <v>620.8609033575251</v>
      </c>
      <c r="D20" s="717">
        <f t="shared" ref="D20:R20" si="1">SUM(D17:D19)</f>
        <v>0</v>
      </c>
      <c r="E20" s="717">
        <f t="shared" si="1"/>
        <v>13.772872164699782</v>
      </c>
      <c r="F20" s="717">
        <f t="shared" si="1"/>
        <v>421.58687760735285</v>
      </c>
      <c r="G20" s="717">
        <f t="shared" si="1"/>
        <v>0</v>
      </c>
      <c r="H20" s="717">
        <f t="shared" si="1"/>
        <v>111899.77166858058</v>
      </c>
      <c r="I20" s="717">
        <f t="shared" si="1"/>
        <v>20667.278122540396</v>
      </c>
      <c r="J20" s="717">
        <f t="shared" si="1"/>
        <v>0</v>
      </c>
      <c r="K20" s="717">
        <f t="shared" si="1"/>
        <v>0</v>
      </c>
      <c r="L20" s="717">
        <f t="shared" si="1"/>
        <v>0</v>
      </c>
      <c r="M20" s="717">
        <f t="shared" si="1"/>
        <v>0</v>
      </c>
      <c r="N20" s="717">
        <f t="shared" si="1"/>
        <v>5931.7287744189198</v>
      </c>
      <c r="O20" s="717">
        <f t="shared" si="1"/>
        <v>0</v>
      </c>
      <c r="P20" s="717">
        <f t="shared" si="1"/>
        <v>0</v>
      </c>
      <c r="Q20" s="718">
        <f t="shared" si="1"/>
        <v>0</v>
      </c>
      <c r="R20" s="719">
        <f t="shared" si="1"/>
        <v>139554.99921866946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1672.0501816863198</v>
      </c>
      <c r="D22" s="713">
        <f>+landbouw!C8</f>
        <v>0</v>
      </c>
      <c r="E22" s="713">
        <f>+landbouw!D8</f>
        <v>31149.675836198276</v>
      </c>
      <c r="F22" s="713">
        <f>+landbouw!E8</f>
        <v>21.069986327842013</v>
      </c>
      <c r="G22" s="713">
        <f>+landbouw!F8</f>
        <v>5768.9920004170399</v>
      </c>
      <c r="H22" s="713">
        <f>+landbouw!G8</f>
        <v>0</v>
      </c>
      <c r="I22" s="713">
        <f>+landbouw!H8</f>
        <v>0</v>
      </c>
      <c r="J22" s="713">
        <f>+landbouw!I8</f>
        <v>0</v>
      </c>
      <c r="K22" s="713">
        <f>+landbouw!J8</f>
        <v>251.45734012998349</v>
      </c>
      <c r="L22" s="713">
        <f>+landbouw!K8</f>
        <v>0</v>
      </c>
      <c r="M22" s="713">
        <f>+landbouw!L8</f>
        <v>0</v>
      </c>
      <c r="N22" s="713">
        <f>+landbouw!M8</f>
        <v>0</v>
      </c>
      <c r="O22" s="713">
        <f>+landbouw!N8</f>
        <v>0</v>
      </c>
      <c r="P22" s="713">
        <f>+landbouw!O8</f>
        <v>0</v>
      </c>
      <c r="Q22" s="714">
        <f>+landbouw!P8</f>
        <v>0</v>
      </c>
      <c r="R22" s="715">
        <f>SUM(C22:Q22)</f>
        <v>38863.245344759467</v>
      </c>
      <c r="S22" s="67"/>
    </row>
    <row r="23" spans="1:19" s="459" customFormat="1" ht="17.25" thickTop="1" thickBot="1">
      <c r="A23" s="720" t="s">
        <v>116</v>
      </c>
      <c r="B23" s="852"/>
      <c r="C23" s="721">
        <f ca="1">C20+C15+C22</f>
        <v>190944.39097867205</v>
      </c>
      <c r="D23" s="721">
        <f t="shared" ref="D23:Q23" ca="1" si="2">D20+D15+D22</f>
        <v>0</v>
      </c>
      <c r="E23" s="721">
        <f t="shared" ca="1" si="2"/>
        <v>424476.09862835024</v>
      </c>
      <c r="F23" s="721">
        <f t="shared" si="2"/>
        <v>4173.4888174417483</v>
      </c>
      <c r="G23" s="721">
        <f t="shared" ca="1" si="2"/>
        <v>32835.2368994754</v>
      </c>
      <c r="H23" s="721">
        <f t="shared" si="2"/>
        <v>111899.77166858058</v>
      </c>
      <c r="I23" s="721">
        <f t="shared" si="2"/>
        <v>20667.278122540396</v>
      </c>
      <c r="J23" s="721">
        <f t="shared" si="2"/>
        <v>0</v>
      </c>
      <c r="K23" s="721">
        <f t="shared" si="2"/>
        <v>261.51570651727053</v>
      </c>
      <c r="L23" s="721">
        <f t="shared" si="2"/>
        <v>0</v>
      </c>
      <c r="M23" s="721">
        <f t="shared" ca="1" si="2"/>
        <v>0</v>
      </c>
      <c r="N23" s="721">
        <f t="shared" si="2"/>
        <v>5931.7287744189198</v>
      </c>
      <c r="O23" s="721">
        <f t="shared" ca="1" si="2"/>
        <v>10191.634507645704</v>
      </c>
      <c r="P23" s="721">
        <f t="shared" si="2"/>
        <v>142.26333333333332</v>
      </c>
      <c r="Q23" s="722">
        <f t="shared" si="2"/>
        <v>629.20000000000005</v>
      </c>
      <c r="R23" s="723">
        <f ca="1">R20+R15+R22</f>
        <v>802152.60743697558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21269.947917396999</v>
      </c>
      <c r="D36" s="704">
        <f ca="1">tertiair!C20</f>
        <v>0</v>
      </c>
      <c r="E36" s="704">
        <f ca="1">tertiair!D20</f>
        <v>25257.647599942382</v>
      </c>
      <c r="F36" s="704">
        <f>tertiair!E20</f>
        <v>382.57056555489009</v>
      </c>
      <c r="G36" s="704">
        <f ca="1">tertiair!F20</f>
        <v>5121.6313361082966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52031.797419002563</v>
      </c>
    </row>
    <row r="37" spans="1:18">
      <c r="A37" s="873" t="s">
        <v>225</v>
      </c>
      <c r="B37" s="880"/>
      <c r="C37" s="704">
        <f ca="1">huishoudens!B12</f>
        <v>17074.041844046511</v>
      </c>
      <c r="D37" s="704">
        <f ca="1">huishoudens!C12</f>
        <v>0</v>
      </c>
      <c r="E37" s="704">
        <f>huishoudens!D12</f>
        <v>51920.247784975851</v>
      </c>
      <c r="F37" s="704">
        <f>huishoudens!E12</f>
        <v>0</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68994.289629022358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2683.7476687904937</v>
      </c>
      <c r="D39" s="704">
        <f ca="1">industrie!C22</f>
        <v>0</v>
      </c>
      <c r="E39" s="704">
        <f>industrie!D22</f>
        <v>2271.2598989192038</v>
      </c>
      <c r="F39" s="704">
        <f>industrie!E22</f>
        <v>464.32828789109755</v>
      </c>
      <c r="G39" s="704">
        <f>industrie!F22</f>
        <v>2105.0560519402861</v>
      </c>
      <c r="H39" s="704">
        <f>industrie!G22</f>
        <v>0</v>
      </c>
      <c r="I39" s="704">
        <f>industrie!H22</f>
        <v>0</v>
      </c>
      <c r="J39" s="704">
        <f>industrie!I22</f>
        <v>0</v>
      </c>
      <c r="K39" s="704">
        <f>industrie!J22</f>
        <v>3.5606617010996153</v>
      </c>
      <c r="L39" s="704">
        <f>industrie!K22</f>
        <v>0</v>
      </c>
      <c r="M39" s="704">
        <f>industrie!L22</f>
        <v>0</v>
      </c>
      <c r="N39" s="704">
        <f>industrie!M22</f>
        <v>0</v>
      </c>
      <c r="O39" s="704">
        <f>industrie!N22</f>
        <v>0</v>
      </c>
      <c r="P39" s="704">
        <f>industrie!O22</f>
        <v>0</v>
      </c>
      <c r="Q39" s="814">
        <f>industrie!P22</f>
        <v>0</v>
      </c>
      <c r="R39" s="906">
        <f ca="1">SUM(C39:Q39)</f>
        <v>7527.9525692421812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41027.737430234003</v>
      </c>
      <c r="D41" s="749">
        <f t="shared" ref="D41:R41" ca="1" si="4">SUM(D35:D40)</f>
        <v>0</v>
      </c>
      <c r="E41" s="749">
        <f t="shared" ca="1" si="4"/>
        <v>79449.155283837434</v>
      </c>
      <c r="F41" s="749">
        <f t="shared" si="4"/>
        <v>846.8988534459877</v>
      </c>
      <c r="G41" s="749">
        <f t="shared" ca="1" si="4"/>
        <v>7226.6873880485828</v>
      </c>
      <c r="H41" s="749">
        <f t="shared" si="4"/>
        <v>0</v>
      </c>
      <c r="I41" s="749">
        <f t="shared" si="4"/>
        <v>0</v>
      </c>
      <c r="J41" s="749">
        <f t="shared" si="4"/>
        <v>0</v>
      </c>
      <c r="K41" s="749">
        <f t="shared" si="4"/>
        <v>3.5606617010996153</v>
      </c>
      <c r="L41" s="749">
        <f t="shared" si="4"/>
        <v>0</v>
      </c>
      <c r="M41" s="749">
        <f t="shared" ca="1" si="4"/>
        <v>0</v>
      </c>
      <c r="N41" s="749">
        <f t="shared" si="4"/>
        <v>0</v>
      </c>
      <c r="O41" s="749">
        <f t="shared" ca="1" si="4"/>
        <v>0</v>
      </c>
      <c r="P41" s="749">
        <f t="shared" si="4"/>
        <v>0</v>
      </c>
      <c r="Q41" s="750">
        <f t="shared" si="4"/>
        <v>0</v>
      </c>
      <c r="R41" s="751">
        <f t="shared" ca="1" si="4"/>
        <v>128554.03961726712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133.20738855024825</v>
      </c>
      <c r="D44" s="704">
        <f ca="1">transport!C58</f>
        <v>0</v>
      </c>
      <c r="E44" s="704">
        <f>transport!D58</f>
        <v>0</v>
      </c>
      <c r="F44" s="704">
        <f>transport!E58</f>
        <v>0</v>
      </c>
      <c r="G44" s="704">
        <f>transport!F58</f>
        <v>0</v>
      </c>
      <c r="H44" s="704">
        <f>transport!G58</f>
        <v>422.30773185932469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555.515120409573</v>
      </c>
    </row>
    <row r="45" spans="1:18" ht="15" thickBot="1">
      <c r="A45" s="876" t="s">
        <v>307</v>
      </c>
      <c r="B45" s="886"/>
      <c r="C45" s="713">
        <f ca="1">transport!B18</f>
        <v>1.8168272047153493</v>
      </c>
      <c r="D45" s="713">
        <f>transport!C18</f>
        <v>0</v>
      </c>
      <c r="E45" s="713">
        <f>transport!D18</f>
        <v>2.782120177269356</v>
      </c>
      <c r="F45" s="713">
        <f>transport!E18</f>
        <v>95.700221216869096</v>
      </c>
      <c r="G45" s="713">
        <f>transport!F18</f>
        <v>0</v>
      </c>
      <c r="H45" s="713">
        <f>transport!G18</f>
        <v>29454.931303651694</v>
      </c>
      <c r="I45" s="713">
        <f>transport!H18</f>
        <v>5146.1522525125583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34701.382724763105</v>
      </c>
    </row>
    <row r="46" spans="1:18" ht="15.75" thickBot="1">
      <c r="A46" s="874" t="s">
        <v>230</v>
      </c>
      <c r="B46" s="887"/>
      <c r="C46" s="749">
        <f t="shared" ref="C46:R46" ca="1" si="5">SUM(C43:C45)</f>
        <v>135.02421575496359</v>
      </c>
      <c r="D46" s="749">
        <f t="shared" ca="1" si="5"/>
        <v>0</v>
      </c>
      <c r="E46" s="749">
        <f t="shared" si="5"/>
        <v>2.782120177269356</v>
      </c>
      <c r="F46" s="749">
        <f t="shared" si="5"/>
        <v>95.700221216869096</v>
      </c>
      <c r="G46" s="749">
        <f t="shared" si="5"/>
        <v>0</v>
      </c>
      <c r="H46" s="749">
        <f t="shared" si="5"/>
        <v>29877.239035511018</v>
      </c>
      <c r="I46" s="749">
        <f t="shared" si="5"/>
        <v>5146.1522525125583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35256.89784517268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363.63582126724896</v>
      </c>
      <c r="D48" s="704">
        <f ca="1">+landbouw!C12</f>
        <v>0</v>
      </c>
      <c r="E48" s="704">
        <f>+landbouw!D12</f>
        <v>6292.2345189120524</v>
      </c>
      <c r="F48" s="704">
        <f>+landbouw!E12</f>
        <v>4.7828868964201368</v>
      </c>
      <c r="G48" s="704">
        <f>+landbouw!F12</f>
        <v>1540.3208641113497</v>
      </c>
      <c r="H48" s="704">
        <f>+landbouw!G12</f>
        <v>0</v>
      </c>
      <c r="I48" s="704">
        <f>+landbouw!H12</f>
        <v>0</v>
      </c>
      <c r="J48" s="704">
        <f>+landbouw!I12</f>
        <v>0</v>
      </c>
      <c r="K48" s="704">
        <f>+landbouw!J12</f>
        <v>89.015898406014145</v>
      </c>
      <c r="L48" s="704">
        <f>+landbouw!K12</f>
        <v>0</v>
      </c>
      <c r="M48" s="704">
        <f>+landbouw!L12</f>
        <v>0</v>
      </c>
      <c r="N48" s="704">
        <f>+landbouw!M12</f>
        <v>0</v>
      </c>
      <c r="O48" s="704">
        <f>+landbouw!N12</f>
        <v>0</v>
      </c>
      <c r="P48" s="704">
        <f>+landbouw!O12</f>
        <v>0</v>
      </c>
      <c r="Q48" s="705">
        <f>+landbouw!P12</f>
        <v>0</v>
      </c>
      <c r="R48" s="747">
        <f ca="1">SUM(C48:Q48)</f>
        <v>8289.9899895930848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41526.397467256218</v>
      </c>
      <c r="D53" s="759">
        <f t="shared" ref="D53:Q53" ca="1" si="6">D41+D46+D48</f>
        <v>0</v>
      </c>
      <c r="E53" s="759">
        <f t="shared" ca="1" si="6"/>
        <v>85744.171922926762</v>
      </c>
      <c r="F53" s="759">
        <f t="shared" si="6"/>
        <v>947.38196155927687</v>
      </c>
      <c r="G53" s="759">
        <f t="shared" ca="1" si="6"/>
        <v>8767.0082521599325</v>
      </c>
      <c r="H53" s="759">
        <f t="shared" si="6"/>
        <v>29877.239035511018</v>
      </c>
      <c r="I53" s="759">
        <f t="shared" si="6"/>
        <v>5146.1522525125583</v>
      </c>
      <c r="J53" s="759">
        <f t="shared" si="6"/>
        <v>0</v>
      </c>
      <c r="K53" s="759">
        <f t="shared" si="6"/>
        <v>92.576560107113764</v>
      </c>
      <c r="L53" s="759">
        <f t="shared" si="6"/>
        <v>0</v>
      </c>
      <c r="M53" s="759">
        <f t="shared" ca="1" si="6"/>
        <v>0</v>
      </c>
      <c r="N53" s="759">
        <f t="shared" si="6"/>
        <v>0</v>
      </c>
      <c r="O53" s="759">
        <f t="shared" ca="1" si="6"/>
        <v>0</v>
      </c>
      <c r="P53" s="759">
        <f>P41+P46+P48</f>
        <v>0</v>
      </c>
      <c r="Q53" s="760">
        <f t="shared" si="6"/>
        <v>0</v>
      </c>
      <c r="R53" s="761">
        <f ca="1">R41+R46+R48</f>
        <v>172100.92745203286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0.21747901184431545</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3042.1399956122368</v>
      </c>
      <c r="C66" s="781">
        <f>'lokale energieproductie'!B6</f>
        <v>3042.1399956122368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3042.1399956122368</v>
      </c>
      <c r="C69" s="789">
        <f>SUM(C64:C68)</f>
        <v>3042.1399956122368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78508.917707742468</v>
      </c>
      <c r="C4" s="463">
        <f>huishoudens!C8</f>
        <v>0</v>
      </c>
      <c r="D4" s="463">
        <f>huishoudens!D8</f>
        <v>257030.92962859329</v>
      </c>
      <c r="E4" s="463">
        <f>huishoudens!E8</f>
        <v>0</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0</v>
      </c>
      <c r="O4" s="463">
        <f>huishoudens!O8</f>
        <v>142.26333333333332</v>
      </c>
      <c r="P4" s="464">
        <f>huishoudens!P8</f>
        <v>552.93333333333339</v>
      </c>
      <c r="Q4" s="465">
        <f>SUM(B4:P4)</f>
        <v>336235.0440030024</v>
      </c>
    </row>
    <row r="5" spans="1:17">
      <c r="A5" s="462" t="s">
        <v>156</v>
      </c>
      <c r="B5" s="463">
        <f ca="1">tertiair!B16</f>
        <v>94467.195642897408</v>
      </c>
      <c r="C5" s="463">
        <f ca="1">tertiair!C16</f>
        <v>0</v>
      </c>
      <c r="D5" s="463">
        <f ca="1">tertiair!D16</f>
        <v>125037.85940565536</v>
      </c>
      <c r="E5" s="463">
        <f>tertiair!E16</f>
        <v>1685.3328879070048</v>
      </c>
      <c r="F5" s="463">
        <f ca="1">tertiair!F16</f>
        <v>19182.139835611597</v>
      </c>
      <c r="G5" s="463">
        <f>tertiair!G16</f>
        <v>0</v>
      </c>
      <c r="H5" s="463">
        <f>tertiair!H16</f>
        <v>0</v>
      </c>
      <c r="I5" s="463">
        <f>tertiair!I16</f>
        <v>0</v>
      </c>
      <c r="J5" s="463">
        <f>tertiair!J16</f>
        <v>0</v>
      </c>
      <c r="K5" s="463">
        <f>tertiair!K16</f>
        <v>0</v>
      </c>
      <c r="L5" s="463">
        <f ca="1">tertiair!L16</f>
        <v>0</v>
      </c>
      <c r="M5" s="463">
        <f>tertiair!M16</f>
        <v>0</v>
      </c>
      <c r="N5" s="463">
        <f ca="1">tertiair!N16</f>
        <v>6710.8620545691538</v>
      </c>
      <c r="O5" s="463">
        <f>tertiair!O16</f>
        <v>0</v>
      </c>
      <c r="P5" s="464">
        <f>tertiair!P16</f>
        <v>76.266666666666666</v>
      </c>
      <c r="Q5" s="462">
        <f t="shared" ref="Q5:Q13" ca="1" si="0">SUM(B5:P5)</f>
        <v>247159.65649330718</v>
      </c>
    </row>
    <row r="6" spans="1:17">
      <c r="A6" s="462" t="s">
        <v>194</v>
      </c>
      <c r="B6" s="463">
        <f>'openbare verlichting'!B8</f>
        <v>3335.1060000000002</v>
      </c>
      <c r="C6" s="463"/>
      <c r="D6" s="463"/>
      <c r="E6" s="463"/>
      <c r="F6" s="463"/>
      <c r="G6" s="463"/>
      <c r="H6" s="463"/>
      <c r="I6" s="463"/>
      <c r="J6" s="463"/>
      <c r="K6" s="463"/>
      <c r="L6" s="463"/>
      <c r="M6" s="463"/>
      <c r="N6" s="463"/>
      <c r="O6" s="463"/>
      <c r="P6" s="464"/>
      <c r="Q6" s="462">
        <f t="shared" si="0"/>
        <v>3335.1060000000002</v>
      </c>
    </row>
    <row r="7" spans="1:17">
      <c r="A7" s="462" t="s">
        <v>112</v>
      </c>
      <c r="B7" s="463">
        <f>landbouw!B8</f>
        <v>1672.0501816863198</v>
      </c>
      <c r="C7" s="463">
        <f>landbouw!C8</f>
        <v>0</v>
      </c>
      <c r="D7" s="463">
        <f>landbouw!D8</f>
        <v>31149.675836198276</v>
      </c>
      <c r="E7" s="463">
        <f>landbouw!E8</f>
        <v>21.069986327842013</v>
      </c>
      <c r="F7" s="463">
        <f>landbouw!F8</f>
        <v>5768.9920004170399</v>
      </c>
      <c r="G7" s="463">
        <f>landbouw!G8</f>
        <v>0</v>
      </c>
      <c r="H7" s="463">
        <f>landbouw!H8</f>
        <v>0</v>
      </c>
      <c r="I7" s="463">
        <f>landbouw!I8</f>
        <v>0</v>
      </c>
      <c r="J7" s="463">
        <f>landbouw!J8</f>
        <v>251.45734012998349</v>
      </c>
      <c r="K7" s="463">
        <f>landbouw!K8</f>
        <v>0</v>
      </c>
      <c r="L7" s="463">
        <f>landbouw!L8</f>
        <v>0</v>
      </c>
      <c r="M7" s="463">
        <f>landbouw!M8</f>
        <v>0</v>
      </c>
      <c r="N7" s="463">
        <f>landbouw!N8</f>
        <v>0</v>
      </c>
      <c r="O7" s="463">
        <f>landbouw!O8</f>
        <v>0</v>
      </c>
      <c r="P7" s="464">
        <f>landbouw!P8</f>
        <v>0</v>
      </c>
      <c r="Q7" s="462">
        <f t="shared" si="0"/>
        <v>38863.245344759467</v>
      </c>
    </row>
    <row r="8" spans="1:17">
      <c r="A8" s="462" t="s">
        <v>657</v>
      </c>
      <c r="B8" s="463">
        <f>industrie!B18</f>
        <v>12340.260542988311</v>
      </c>
      <c r="C8" s="463">
        <f>industrie!C18</f>
        <v>0</v>
      </c>
      <c r="D8" s="463">
        <f>industrie!D18</f>
        <v>11243.860885738632</v>
      </c>
      <c r="E8" s="463">
        <f>industrie!E18</f>
        <v>2045.4990655995487</v>
      </c>
      <c r="F8" s="463">
        <f>industrie!F18</f>
        <v>7884.1050634467638</v>
      </c>
      <c r="G8" s="463">
        <f>industrie!G18</f>
        <v>0</v>
      </c>
      <c r="H8" s="463">
        <f>industrie!H18</f>
        <v>0</v>
      </c>
      <c r="I8" s="463">
        <f>industrie!I18</f>
        <v>0</v>
      </c>
      <c r="J8" s="463">
        <f>industrie!J18</f>
        <v>10.05836638728705</v>
      </c>
      <c r="K8" s="463">
        <f>industrie!K18</f>
        <v>0</v>
      </c>
      <c r="L8" s="463">
        <f>industrie!L18</f>
        <v>0</v>
      </c>
      <c r="M8" s="463">
        <f>industrie!M18</f>
        <v>0</v>
      </c>
      <c r="N8" s="463">
        <f>industrie!N18</f>
        <v>3480.7724530765499</v>
      </c>
      <c r="O8" s="463">
        <f>industrie!O18</f>
        <v>0</v>
      </c>
      <c r="P8" s="464">
        <f>industrie!P18</f>
        <v>0</v>
      </c>
      <c r="Q8" s="462">
        <f t="shared" si="0"/>
        <v>37004.556377237095</v>
      </c>
    </row>
    <row r="9" spans="1:17" s="468" customFormat="1">
      <c r="A9" s="466" t="s">
        <v>574</v>
      </c>
      <c r="B9" s="467">
        <f>transport!B14</f>
        <v>8.3540346689451734</v>
      </c>
      <c r="C9" s="467">
        <f>transport!C14</f>
        <v>0</v>
      </c>
      <c r="D9" s="467">
        <f>transport!D14</f>
        <v>13.772872164699782</v>
      </c>
      <c r="E9" s="467">
        <f>transport!E14</f>
        <v>421.58687760735285</v>
      </c>
      <c r="F9" s="467">
        <f>transport!F14</f>
        <v>0</v>
      </c>
      <c r="G9" s="467">
        <f>transport!G14</f>
        <v>110318.09477023105</v>
      </c>
      <c r="H9" s="467">
        <f>transport!H14</f>
        <v>20667.278122540396</v>
      </c>
      <c r="I9" s="467">
        <f>transport!I14</f>
        <v>0</v>
      </c>
      <c r="J9" s="467">
        <f>transport!J14</f>
        <v>0</v>
      </c>
      <c r="K9" s="467">
        <f>transport!K14</f>
        <v>0</v>
      </c>
      <c r="L9" s="467">
        <f>transport!L14</f>
        <v>0</v>
      </c>
      <c r="M9" s="467">
        <f>transport!M14</f>
        <v>5861.3877340998852</v>
      </c>
      <c r="N9" s="467">
        <f>transport!N14</f>
        <v>0</v>
      </c>
      <c r="O9" s="467">
        <f>transport!O14</f>
        <v>0</v>
      </c>
      <c r="P9" s="467">
        <f>transport!P14</f>
        <v>0</v>
      </c>
      <c r="Q9" s="466">
        <f>SUM(B9:P9)</f>
        <v>137290.47441131232</v>
      </c>
    </row>
    <row r="10" spans="1:17">
      <c r="A10" s="462" t="s">
        <v>564</v>
      </c>
      <c r="B10" s="463">
        <f>transport!B54</f>
        <v>612.50686868857997</v>
      </c>
      <c r="C10" s="463">
        <f>transport!C54</f>
        <v>0</v>
      </c>
      <c r="D10" s="463">
        <f>transport!D54</f>
        <v>0</v>
      </c>
      <c r="E10" s="463">
        <f>transport!E54</f>
        <v>0</v>
      </c>
      <c r="F10" s="463">
        <f>transport!F54</f>
        <v>0</v>
      </c>
      <c r="G10" s="463">
        <f>transport!G54</f>
        <v>1581.6768983495306</v>
      </c>
      <c r="H10" s="463">
        <f>transport!H54</f>
        <v>0</v>
      </c>
      <c r="I10" s="463">
        <f>transport!I54</f>
        <v>0</v>
      </c>
      <c r="J10" s="463">
        <f>transport!J54</f>
        <v>0</v>
      </c>
      <c r="K10" s="463">
        <f>transport!K54</f>
        <v>0</v>
      </c>
      <c r="L10" s="463">
        <f>transport!L54</f>
        <v>0</v>
      </c>
      <c r="M10" s="463">
        <f>transport!M54</f>
        <v>70.341040319034619</v>
      </c>
      <c r="N10" s="463">
        <f>transport!N54</f>
        <v>0</v>
      </c>
      <c r="O10" s="463">
        <f>transport!O54</f>
        <v>0</v>
      </c>
      <c r="P10" s="464">
        <f>transport!P54</f>
        <v>0</v>
      </c>
      <c r="Q10" s="462">
        <f t="shared" si="0"/>
        <v>2264.5248073571452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190944.39097867205</v>
      </c>
      <c r="C14" s="473">
        <f t="shared" ref="C14:Q14" ca="1" si="1">SUM(C4:C13)</f>
        <v>0</v>
      </c>
      <c r="D14" s="473">
        <f t="shared" ca="1" si="1"/>
        <v>424476.09862835024</v>
      </c>
      <c r="E14" s="473">
        <f t="shared" si="1"/>
        <v>4173.4888174417483</v>
      </c>
      <c r="F14" s="473">
        <f t="shared" ca="1" si="1"/>
        <v>32835.2368994754</v>
      </c>
      <c r="G14" s="473">
        <f t="shared" si="1"/>
        <v>111899.77166858058</v>
      </c>
      <c r="H14" s="473">
        <f t="shared" si="1"/>
        <v>20667.278122540396</v>
      </c>
      <c r="I14" s="473">
        <f t="shared" si="1"/>
        <v>0</v>
      </c>
      <c r="J14" s="473">
        <f t="shared" si="1"/>
        <v>261.51570651727053</v>
      </c>
      <c r="K14" s="473">
        <f t="shared" si="1"/>
        <v>0</v>
      </c>
      <c r="L14" s="473">
        <f t="shared" ca="1" si="1"/>
        <v>0</v>
      </c>
      <c r="M14" s="473">
        <f t="shared" si="1"/>
        <v>5931.7287744189198</v>
      </c>
      <c r="N14" s="473">
        <f t="shared" ca="1" si="1"/>
        <v>10191.634507645704</v>
      </c>
      <c r="O14" s="473">
        <f t="shared" si="1"/>
        <v>142.26333333333332</v>
      </c>
      <c r="P14" s="474">
        <f t="shared" si="1"/>
        <v>629.20000000000005</v>
      </c>
      <c r="Q14" s="474">
        <f t="shared" ca="1" si="1"/>
        <v>802152.60743697558</v>
      </c>
    </row>
    <row r="16" spans="1:17">
      <c r="A16" s="476" t="s">
        <v>569</v>
      </c>
      <c r="B16" s="829">
        <f ca="1">huishoudens!B10</f>
        <v>0.21747901184431545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17074.041844046511</v>
      </c>
      <c r="C21" s="463">
        <f t="shared" ref="C21:C30" ca="1" si="3">C4*$C$16</f>
        <v>0</v>
      </c>
      <c r="D21" s="463">
        <f t="shared" ref="D21:D30" si="4">D4*$D$16</f>
        <v>51920.247784975851</v>
      </c>
      <c r="E21" s="463">
        <f t="shared" ref="E21:E30" si="5">E4*$E$16</f>
        <v>0</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68994.289629022358</v>
      </c>
    </row>
    <row r="22" spans="1:17">
      <c r="A22" s="462" t="s">
        <v>156</v>
      </c>
      <c r="B22" s="463">
        <f t="shared" ca="1" si="2"/>
        <v>20544.632360120951</v>
      </c>
      <c r="C22" s="463">
        <f t="shared" ca="1" si="3"/>
        <v>0</v>
      </c>
      <c r="D22" s="463">
        <f t="shared" ca="1" si="4"/>
        <v>25257.647599942382</v>
      </c>
      <c r="E22" s="463">
        <f t="shared" si="5"/>
        <v>382.57056555489009</v>
      </c>
      <c r="F22" s="463">
        <f t="shared" ca="1" si="6"/>
        <v>5121.6313361082966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51306.481861726512</v>
      </c>
    </row>
    <row r="23" spans="1:17">
      <c r="A23" s="462" t="s">
        <v>194</v>
      </c>
      <c r="B23" s="463">
        <f t="shared" ca="1" si="2"/>
        <v>725.31555727604757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725.31555727604757</v>
      </c>
    </row>
    <row r="24" spans="1:17">
      <c r="A24" s="462" t="s">
        <v>112</v>
      </c>
      <c r="B24" s="463">
        <f t="shared" ca="1" si="2"/>
        <v>363.63582126724896</v>
      </c>
      <c r="C24" s="463">
        <f t="shared" ca="1" si="3"/>
        <v>0</v>
      </c>
      <c r="D24" s="463">
        <f t="shared" si="4"/>
        <v>6292.2345189120524</v>
      </c>
      <c r="E24" s="463">
        <f t="shared" si="5"/>
        <v>4.7828868964201368</v>
      </c>
      <c r="F24" s="463">
        <f t="shared" si="6"/>
        <v>1540.3208641113497</v>
      </c>
      <c r="G24" s="463">
        <f t="shared" si="7"/>
        <v>0</v>
      </c>
      <c r="H24" s="463">
        <f t="shared" si="8"/>
        <v>0</v>
      </c>
      <c r="I24" s="463">
        <f t="shared" si="9"/>
        <v>0</v>
      </c>
      <c r="J24" s="463">
        <f t="shared" si="10"/>
        <v>89.015898406014145</v>
      </c>
      <c r="K24" s="463">
        <f t="shared" si="11"/>
        <v>0</v>
      </c>
      <c r="L24" s="463">
        <f t="shared" si="12"/>
        <v>0</v>
      </c>
      <c r="M24" s="463">
        <f t="shared" si="13"/>
        <v>0</v>
      </c>
      <c r="N24" s="463">
        <f t="shared" si="14"/>
        <v>0</v>
      </c>
      <c r="O24" s="463">
        <f t="shared" si="15"/>
        <v>0</v>
      </c>
      <c r="P24" s="464">
        <f t="shared" si="16"/>
        <v>0</v>
      </c>
      <c r="Q24" s="462">
        <f t="shared" ca="1" si="17"/>
        <v>8289.9899895930848</v>
      </c>
    </row>
    <row r="25" spans="1:17">
      <c r="A25" s="462" t="s">
        <v>657</v>
      </c>
      <c r="B25" s="463">
        <f t="shared" ca="1" si="2"/>
        <v>2683.7476687904937</v>
      </c>
      <c r="C25" s="463">
        <f t="shared" ca="1" si="3"/>
        <v>0</v>
      </c>
      <c r="D25" s="463">
        <f t="shared" si="4"/>
        <v>2271.2598989192038</v>
      </c>
      <c r="E25" s="463">
        <f t="shared" si="5"/>
        <v>464.32828789109755</v>
      </c>
      <c r="F25" s="463">
        <f t="shared" si="6"/>
        <v>2105.0560519402861</v>
      </c>
      <c r="G25" s="463">
        <f t="shared" si="7"/>
        <v>0</v>
      </c>
      <c r="H25" s="463">
        <f t="shared" si="8"/>
        <v>0</v>
      </c>
      <c r="I25" s="463">
        <f t="shared" si="9"/>
        <v>0</v>
      </c>
      <c r="J25" s="463">
        <f t="shared" si="10"/>
        <v>3.5606617010996153</v>
      </c>
      <c r="K25" s="463">
        <f t="shared" si="11"/>
        <v>0</v>
      </c>
      <c r="L25" s="463">
        <f t="shared" si="12"/>
        <v>0</v>
      </c>
      <c r="M25" s="463">
        <f t="shared" si="13"/>
        <v>0</v>
      </c>
      <c r="N25" s="463">
        <f t="shared" si="14"/>
        <v>0</v>
      </c>
      <c r="O25" s="463">
        <f t="shared" si="15"/>
        <v>0</v>
      </c>
      <c r="P25" s="464">
        <f t="shared" si="16"/>
        <v>0</v>
      </c>
      <c r="Q25" s="462">
        <f t="shared" ca="1" si="17"/>
        <v>7527.9525692421812</v>
      </c>
    </row>
    <row r="26" spans="1:17" s="468" customFormat="1">
      <c r="A26" s="466" t="s">
        <v>574</v>
      </c>
      <c r="B26" s="823">
        <f t="shared" ca="1" si="2"/>
        <v>1.8168272047153493</v>
      </c>
      <c r="C26" s="467">
        <f t="shared" ca="1" si="3"/>
        <v>0</v>
      </c>
      <c r="D26" s="467">
        <f t="shared" si="4"/>
        <v>2.782120177269356</v>
      </c>
      <c r="E26" s="467">
        <f t="shared" si="5"/>
        <v>95.700221216869096</v>
      </c>
      <c r="F26" s="467">
        <f t="shared" si="6"/>
        <v>0</v>
      </c>
      <c r="G26" s="467">
        <f t="shared" si="7"/>
        <v>29454.931303651694</v>
      </c>
      <c r="H26" s="467">
        <f t="shared" si="8"/>
        <v>5146.1522525125583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34701.382724763105</v>
      </c>
    </row>
    <row r="27" spans="1:17">
      <c r="A27" s="462" t="s">
        <v>564</v>
      </c>
      <c r="B27" s="463">
        <f t="shared" ca="1" si="2"/>
        <v>133.20738855024825</v>
      </c>
      <c r="C27" s="463">
        <f t="shared" ca="1" si="3"/>
        <v>0</v>
      </c>
      <c r="D27" s="463">
        <f t="shared" si="4"/>
        <v>0</v>
      </c>
      <c r="E27" s="463">
        <f t="shared" si="5"/>
        <v>0</v>
      </c>
      <c r="F27" s="463">
        <f t="shared" si="6"/>
        <v>0</v>
      </c>
      <c r="G27" s="463">
        <f t="shared" si="7"/>
        <v>422.30773185932469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555.515120409573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41526.397467256211</v>
      </c>
      <c r="C31" s="473">
        <f t="shared" ca="1" si="18"/>
        <v>0</v>
      </c>
      <c r="D31" s="473">
        <f t="shared" ca="1" si="18"/>
        <v>85744.171922926762</v>
      </c>
      <c r="E31" s="473">
        <f t="shared" si="18"/>
        <v>947.38196155927676</v>
      </c>
      <c r="F31" s="473">
        <f t="shared" ca="1" si="18"/>
        <v>8767.0082521599325</v>
      </c>
      <c r="G31" s="473">
        <f t="shared" si="18"/>
        <v>29877.239035511018</v>
      </c>
      <c r="H31" s="473">
        <f t="shared" si="18"/>
        <v>5146.1522525125583</v>
      </c>
      <c r="I31" s="473">
        <f t="shared" si="18"/>
        <v>0</v>
      </c>
      <c r="J31" s="473">
        <f t="shared" si="18"/>
        <v>92.576560107113764</v>
      </c>
      <c r="K31" s="473">
        <f t="shared" si="18"/>
        <v>0</v>
      </c>
      <c r="L31" s="473">
        <f t="shared" ca="1" si="18"/>
        <v>0</v>
      </c>
      <c r="M31" s="473">
        <f t="shared" si="18"/>
        <v>0</v>
      </c>
      <c r="N31" s="473">
        <f t="shared" ca="1" si="18"/>
        <v>0</v>
      </c>
      <c r="O31" s="473">
        <f t="shared" si="18"/>
        <v>0</v>
      </c>
      <c r="P31" s="474">
        <f t="shared" si="18"/>
        <v>0</v>
      </c>
      <c r="Q31" s="474">
        <f t="shared" ca="1" si="18"/>
        <v>172100.92745203286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0.21747901184431545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0.21747901184431545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0.21747901184431545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2018-06-27T09:30:44Z</dcterms:modified>
</cp:coreProperties>
</file>