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F13" i="15"/>
  <c r="D6" i="17"/>
  <c r="J15" i="16"/>
  <c r="F16"/>
  <c r="B8" i="9"/>
  <c r="C16" i="15"/>
  <c r="D10" i="14" s="1"/>
  <c r="I14" i="15"/>
  <c r="I16" s="1"/>
  <c r="J10" i="14" s="1"/>
  <c r="J15" s="1"/>
  <c r="B13" i="16"/>
  <c r="C35"/>
  <c r="E9" i="14"/>
  <c r="D14" i="15"/>
  <c r="P22" i="16"/>
  <c r="Q39" i="14" s="1"/>
  <c r="P18" i="16"/>
  <c r="L16"/>
  <c r="L18" s="1"/>
  <c r="N6" i="17"/>
  <c r="N5" s="1"/>
  <c r="K22" i="14"/>
  <c r="J8" i="17"/>
  <c r="J12" s="1"/>
  <c r="K48"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E22"/>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Q7" i="48"/>
  <c r="D31"/>
  <c r="J5"/>
  <c r="J22" s="1"/>
  <c r="J20" i="15"/>
  <c r="K36" i="14" s="1"/>
  <c r="N46"/>
  <c r="N53" s="1"/>
  <c r="M16" i="18"/>
  <c r="M19"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N22" i="16"/>
  <c r="O39" i="14" s="1"/>
  <c r="O41" s="1"/>
  <c r="Q4" i="48"/>
  <c r="N22"/>
  <c r="R11" i="14"/>
  <c r="J21" i="48"/>
  <c r="R10" i="14"/>
  <c r="F8" i="48" l="1"/>
  <c r="Q8" s="1"/>
  <c r="Q14" s="1"/>
  <c r="C29" i="20"/>
  <c r="C17" i="49"/>
  <c r="C56" i="22"/>
  <c r="C58" s="1"/>
  <c r="D44" i="14" s="1"/>
  <c r="D46" s="1"/>
  <c r="C10" i="17"/>
  <c r="C12" s="1"/>
  <c r="D48" i="14" s="1"/>
  <c r="Q5" i="48"/>
  <c r="C16" i="22"/>
  <c r="O13" i="14"/>
  <c r="O15" s="1"/>
  <c r="C10" i="13"/>
  <c r="C16" i="48" s="1"/>
  <c r="C30" s="1"/>
  <c r="F13" i="14"/>
  <c r="F15" s="1"/>
  <c r="F23" s="1"/>
  <c r="F55" s="1"/>
  <c r="K13"/>
  <c r="K15" s="1"/>
  <c r="K23" s="1"/>
  <c r="F22" i="16"/>
  <c r="G39" i="14" s="1"/>
  <c r="G41" s="1"/>
  <c r="G53" s="1"/>
  <c r="G55" s="1"/>
  <c r="O69" s="1"/>
  <c r="B9" i="6" s="1"/>
  <c r="B12" s="1"/>
  <c r="N25" i="48"/>
  <c r="N14"/>
  <c r="E25"/>
  <c r="E31" s="1"/>
  <c r="E14"/>
  <c r="N31"/>
  <c r="H55" i="14"/>
  <c r="E55"/>
  <c r="C78"/>
  <c r="C81" s="1"/>
  <c r="J14" i="48"/>
  <c r="J31"/>
  <c r="R19" i="14"/>
  <c r="R20" s="1"/>
  <c r="H14" i="48"/>
  <c r="G31"/>
  <c r="H26"/>
  <c r="H31" s="1"/>
  <c r="O53" i="14"/>
  <c r="M53"/>
  <c r="M55" s="1"/>
  <c r="C12" i="13"/>
  <c r="D37" i="14" s="1"/>
  <c r="D41" s="1"/>
  <c r="C23" i="48"/>
  <c r="C21"/>
  <c r="C26"/>
  <c r="K55" i="14"/>
  <c r="C24" i="48" l="1"/>
  <c r="C31" s="1"/>
  <c r="R13" i="14"/>
  <c r="R15" s="1"/>
  <c r="C27" i="48"/>
  <c r="F25"/>
  <c r="F31" s="1"/>
  <c r="C28"/>
  <c r="F14"/>
  <c r="C22"/>
  <c r="C25"/>
  <c r="C29"/>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<sst xmlns="http://schemas.openxmlformats.org/spreadsheetml/2006/main" count="1988" uniqueCount="853">
  <si>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</si>
  <si>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</si>
  <si>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</si>
  <si>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</si>
  <si>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</si>
  <si>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</si>
  <si>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</si>
  <si>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</si>
  <si>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</si>
  <si>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</si>
  <si>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</si>
  <si>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</si>
  <si>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</si>
  <si>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</si>
  <si>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</si>
  <si>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</si>
  <si>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</si>
  <si>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</si>
  <si>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</si>
  <si>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</si>
  <si>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</si>
  <si>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</si>
  <si>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</si>
  <si>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</si>
  <si>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</si>
  <si>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</si>
  <si>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</si>
  <si>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</si>
  <si>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</si>
  <si>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</si>
  <si>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</si>
  <si>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</si>
  <si>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</si>
  <si>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</si>
  <si>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</si>
  <si>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</si>
  <si>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</si>
  <si>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</si>
  <si>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</si>
  <si>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</si>
  <si>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</si>
  <si>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</si>
  <si>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</si>
  <si>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</si>
  <si>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</si>
  <si>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</si>
  <si>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</si>
  <si>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</si>
  <si>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</si>
  <si>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</si>
  <si>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</si>
  <si>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</si>
  <si>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</si>
  <si>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</si>
  <si>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</si>
  <si>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</si>
  <si>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</si>
  <si>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</si>
  <si>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</si>
  <si>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</si>
  <si>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</si>
  <si>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</si>
  <si>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</si>
  <si>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</si>
  <si>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</si>
  <si>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</si>
  <si>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</si>
  <si>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</si>
  <si>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</si>
  <si>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</si>
  <si>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</si>
  <si>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</si>
  <si>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</si>
  <si>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</si>
  <si>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</si>
  <si>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</si>
  <si>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</si>
  <si>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</si>
  <si>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</si>
  <si>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</si>
  <si>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</si>
  <si>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</si>
  <si>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</si>
  <si>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</si>
  <si>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</si>
  <si>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</si>
  <si>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</si>
  <si>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</si>
  <si>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</si>
  <si>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</si>
  <si>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</si>
  <si>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</si>
  <si>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</si>
  <si>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</si>
  <si>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</si>
  <si>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</si>
  <si>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</si>
  <si>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</si>
  <si>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</si>
  <si>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</si>
  <si>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</si>
  <si>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</si>
  <si>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</si>
  <si>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</si>
  <si>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</si>
  <si>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</si>
  <si>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</si>
  <si>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</si>
  <si>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</si>
  <si>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</si>
  <si>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</si>
  <si>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</si>
  <si>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</si>
  <si>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</si>
  <si>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</si>
  <si>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</si>
  <si>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</si>
  <si>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</si>
  <si>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</si>
  <si>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</si>
  <si>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</si>
  <si>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</si>
  <si>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</si>
  <si>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</si>
  <si>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</si>
  <si>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</si>
  <si>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</si>
  <si>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</si>
  <si>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</si>
  <si>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</si>
  <si>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</si>
  <si>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</si>
  <si>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</si>
  <si>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</si>
  <si>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</si>
  <si>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</si>
  <si>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</si>
  <si>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</si>
  <si>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</si>
  <si>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</si>
  <si>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</si>
  <si>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</si>
  <si>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</si>
  <si>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</si>
  <si>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</si>
  <si>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</si>
  <si>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</si>
  <si>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</si>
  <si>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</si>
  <si>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</si>
  <si>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</si>
  <si>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</si>
  <si>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</si>
  <si>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</si>
  <si>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</si>
  <si>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</si>
  <si>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</si>
  <si>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</si>
  <si>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</si>
  <si>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</si>
  <si>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</si>
  <si>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</si>
  <si>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</si>
  <si>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</si>
  <si>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</si>
  <si>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</si>
  <si>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</si>
  <si>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</si>
  <si>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</si>
  <si>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</si>
  <si>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</si>
  <si>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</si>
  <si>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</si>
  <si>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</si>
  <si>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</si>
  <si>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</si>
  <si>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</si>
  <si>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</si>
  <si>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</si>
  <si>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</si>
  <si>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</si>
  <si>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</si>
  <si>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</si>
  <si>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</si>
  <si>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</si>
  <si>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</si>
  <si>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</si>
  <si>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</si>
  <si>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</si>
  <si>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</si>
  <si>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</si>
  <si>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</si>
  <si>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</si>
  <si>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</si>
  <si>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</si>
  <si>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</si>
  <si>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</si>
  <si>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</si>
  <si>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</si>
  <si>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</si>
  <si>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</si>
  <si>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</si>
  <si>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</si>
  <si>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</si>
  <si>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</si>
  <si>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</si>
  <si>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</si>
  <si>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</si>
  <si>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</si>
  <si>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</si>
  <si>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</si>
  <si>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</si>
  <si>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</si>
  <si>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</si>
  <si>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</si>
  <si>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</si>
  <si>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</si>
  <si>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</si>
  <si>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</si>
  <si>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</si>
  <si>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</si>
  <si>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</si>
  <si>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</si>
  <si>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</si>
  <si>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</si>
  <si>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</si>
  <si>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</si>
  <si>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</si>
  <si>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</si>
  <si>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</si>
  <si>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</si>
  <si>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</si>
  <si>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</si>
  <si>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</si>
  <si>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</si>
  <si>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</si>
  <si>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</si>
  <si>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</si>
  <si>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</si>
  <si>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</si>
  <si>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</si>
  <si>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</si>
  <si>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</si>
  <si>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</si>
  <si>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</si>
  <si>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</si>
  <si>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</si>
  <si>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</si>
  <si>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</si>
  <si>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</si>
  <si>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</si>
  <si>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</si>
  <si>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</si>
  <si>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</si>
  <si>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</si>
  <si>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</si>
  <si>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</si>
  <si>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</si>
  <si>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</si>
  <si>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</si>
  <si>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</si>
  <si>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</si>
  <si>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</si>
  <si>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</si>
  <si>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</si>
  <si>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</si>
  <si>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</si>
  <si>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</si>
  <si>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</si>
  <si>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</si>
  <si>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</si>
  <si>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</si>
  <si>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</si>
  <si>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</si>
  <si>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</si>
  <si>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</si>
  <si>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</si>
  <si>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</si>
  <si>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</si>
  <si>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</si>
  <si>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</si>
  <si>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</si>
  <si>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</si>
  <si>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</si>
  <si>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</si>
  <si>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</si>
  <si>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</si>
  <si>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</si>
  <si>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</si>
  <si>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</si>
  <si>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</si>
  <si>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</si>
  <si>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</si>
  <si>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</si>
  <si>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</si>
  <si>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</si>
  <si>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</si>
  <si>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</si>
  <si>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</si>
  <si>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</si>
  <si>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</si>
  <si>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</si>
  <si>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</si>
  <si>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</si>
  <si>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</si>
  <si>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</si>
  <si>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</si>
  <si>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</si>
  <si>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</si>
  <si>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</si>
  <si>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</si>
  <si>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</si>
  <si>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</si>
  <si>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</si>
  <si>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</si>
  <si>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</si>
  <si>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</si>
  <si>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</si>
  <si>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</si>
  <si>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</si>
  <si>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</si>
  <si>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</si>
  <si>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</si>
  <si>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</si>
  <si>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</si>
  <si>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</si>
  <si>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</si>
  <si>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</si>
  <si>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</si>
  <si>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</si>
  <si>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</si>
  <si>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</si>
  <si>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</si>
  <si>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</si>
  <si>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</si>
  <si>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</si>
  <si>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</si>
  <si>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</si>
  <si>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</si>
  <si>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</si>
  <si>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</si>
  <si>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</si>
  <si>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</si>
  <si>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</si>
  <si>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</si>
  <si>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</si>
  <si>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</si>
  <si>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</si>
  <si>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</si>
  <si>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</si>
  <si>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</si>
  <si>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</si>
  <si>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</si>
  <si>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</si>
  <si>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</si>
  <si>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</si>
  <si>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</si>
  <si>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</si>
  <si>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</si>
  <si>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</si>
  <si>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</si>
  <si>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</si>
  <si>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</si>
  <si>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</si>
  <si>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</si>
  <si>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</si>
  <si>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</si>
  <si>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</si>
  <si>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</si>
  <si>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</si>
  <si>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</si>
  <si>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</si>
  <si>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</si>
  <si>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</si>
  <si>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</si>
  <si>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</si>
  <si>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</si>
  <si>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</si>
  <si>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</si>
  <si>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</si>
  <si>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</si>
  <si>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</si>
  <si>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</si>
  <si>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</si>
  <si>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</si>
  <si>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</si>
  <si>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</si>
  <si>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</si>
  <si>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</si>
  <si>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</si>
  <si>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</si>
  <si>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</si>
  <si>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</si>
  <si>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</si>
  <si>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</si>
  <si>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</si>
  <si>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</si>
  <si>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</si>
  <si>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</si>
  <si>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</si>
  <si>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</si>
  <si>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</si>
  <si>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</si>
  <si>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</si>
  <si>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</si>
  <si>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</si>
  <si>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</si>
  <si>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</si>
  <si>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</si>
  <si>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</si>
  <si>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</si>
  <si>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</si>
  <si>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</si>
  <si>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</si>
  <si>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</si>
  <si>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</si>
  <si>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</si>
  <si>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</si>
  <si>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</si>
  <si>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</si>
  <si>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</si>
  <si>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</si>
  <si>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</si>
  <si>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</si>
  <si>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</si>
  <si>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</si>
  <si>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</si>
  <si>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</si>
  <si>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</si>
  <si>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</si>
  <si>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</si>
  <si>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</si>
  <si>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</si>
  <si>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</si>
  <si>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</si>
  <si>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</si>
  <si>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</si>
  <si>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</si>
  <si>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</si>
  <si>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</si>
  <si>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</si>
  <si>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</si>
  <si>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</si>
  <si>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</si>
  <si>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</si>
  <si>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</si>
  <si>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</si>
  <si>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</si>
  <si>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</si>
  <si>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</si>
  <si>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</si>
  <si>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</si>
  <si>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</si>
  <si>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</si>
  <si>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</si>
  <si>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</si>
  <si>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</si>
  <si>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</si>
  <si>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</si>
  <si>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</si>
  <si>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</si>
  <si>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</si>
  <si>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</si>
  <si>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</si>
  <si>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</si>
  <si>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</si>
  <si>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</si>
  <si>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</si>
  <si>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</si>
  <si>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</si>
  <si>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</si>
  <si>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</si>
  <si>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</si>
  <si>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</si>
  <si>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</si>
  <si>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</si>
  <si>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</si>
  <si>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</si>
  <si>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</si>
  <si>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</si>
  <si>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</si>
  <si>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</si>
  <si>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</si>
  <si>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</si>
  <si>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</si>
  <si>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</si>
  <si>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</si>
  <si>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</si>
  <si>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</si>
  <si>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</si>
  <si>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</si>
  <si>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</si>
  <si>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</si>
  <si>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</si>
  <si>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</si>
  <si>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</si>
  <si>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</si>
  <si>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</si>
  <si>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</si>
  <si>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</si>
  <si>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</si>
  <si>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</si>
  <si>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</si>
  <si>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</si>
  <si>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</si>
  <si>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</si>
  <si>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</si>
  <si>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</si>
  <si>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</si>
  <si>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</si>
  <si>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</si>
  <si>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</si>
  <si>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</si>
  <si>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</si>
  <si>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</si>
  <si>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</si>
  <si>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</si>
  <si>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</si>
  <si>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</si>
  <si>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</si>
  <si>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</si>
  <si>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</si>
  <si>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</si>
  <si>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</si>
  <si>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</si>
  <si>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</si>
  <si>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</si>
  <si>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</si>
  <si>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</si>
  <si>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</si>
  <si>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</si>
  <si>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</si>
  <si>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</si>
  <si>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</si>
  <si>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</si>
  <si>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</si>
  <si>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</si>
  <si>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</si>
  <si>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</si>
  <si>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</si>
  <si>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</si>
  <si>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</si>
  <si>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</si>
  <si>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</si>
  <si>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</si>
  <si>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</si>
  <si>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</si>
  <si>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</si>
  <si>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</si>
  <si>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</si>
  <si>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</si>
  <si>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</si>
  <si>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</si>
  <si>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</si>
  <si>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</si>
  <si>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</si>
  <si>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</si>
  <si>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</si>
  <si>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</si>
  <si>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</si>
  <si>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</si>
  <si>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</si>
  <si>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</si>
  <si>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</si>
  <si>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</si>
  <si>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</si>
  <si>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</si>
  <si>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</si>
  <si>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</si>
  <si>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</si>
  <si>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</si>
  <si>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</si>
  <si>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</si>
  <si>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</si>
  <si>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</si>
  <si>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</si>
  <si>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</si>
  <si>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</si>
  <si>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</si>
  <si>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</si>
  <si>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</si>
  <si>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</si>
  <si>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</si>
  <si>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</si>
  <si>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</si>
  <si>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</si>
  <si>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</si>
  <si>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</si>
  <si>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</si>
  <si>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</si>
  <si>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</si>
  <si>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</si>
  <si>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</si>
  <si>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</si>
  <si>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</si>
  <si>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</si>
  <si>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</si>
  <si>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</si>
  <si>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</si>
  <si>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</si>
  <si>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</si>
  <si>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</si>
  <si>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</si>
  <si>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</si>
  <si>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</si>
  <si>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</si>
  <si>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</si>
  <si>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</si>
  <si>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</si>
  <si>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</si>
  <si>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</si>
  <si>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</si>
  <si>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</si>
  <si>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</si>
  <si>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</si>
  <si>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</si>
  <si>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</si>
  <si>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</si>
  <si>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</si>
  <si>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</si>
  <si>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</si>
  <si>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</si>
  <si>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</si>
  <si>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</si>
  <si>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</si>
  <si>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</si>
  <si>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</si>
  <si>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</si>
  <si>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</si>
  <si>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</si>
  <si>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</si>
  <si>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</si>
  <si>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</si>
  <si>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</si>
  <si>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</si>
  <si>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</si>
  <si>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</si>
  <si>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</si>
  <si>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</si>
  <si>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</si>
  <si>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</si>
  <si>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</si>
  <si>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</si>
  <si>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</si>
  <si>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</si>
  <si>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</si>
  <si>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</si>
  <si>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</si>
  <si>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</si>
  <si>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</si>
  <si>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</si>
  <si>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</si>
  <si>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</si>
  <si>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</si>
  <si>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</si>
  <si>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</si>
  <si>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</si>
  <si>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</si>
  <si>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</si>
  <si>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</si>
  <si>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</si>
  <si>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</si>
  <si>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</si>
  <si>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</si>
  <si>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</si>
  <si>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</si>
  <si>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</si>
  <si>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</si>
  <si>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</si>
  <si>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</si>
  <si>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</si>
  <si>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</si>
  <si>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</si>
  <si>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</si>
  <si>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</si>
  <si>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</si>
  <si>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</si>
  <si>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</si>
  <si>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</si>
  <si>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</si>
  <si>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</si>
  <si>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</si>
  <si>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</si>
  <si>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</si>
  <si>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</si>
  <si>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</si>
  <si>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</si>
  <si>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</si>
  <si>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</si>
  <si>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</si>
  <si>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</si>
  <si>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</si>
  <si>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</si>
  <si>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</si>
  <si>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</si>
  <si>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</si>
  <si>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</si>
  <si>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</si>
  <si>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</si>
  <si>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</si>
  <si>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</si>
  <si>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</si>
  <si>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</si>
  <si>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</si>
  <si>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</si>
  <si>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</si>
  <si>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</si>
  <si>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</si>
  <si>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</si>
  <si>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</si>
  <si>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</si>
  <si>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</si>
  <si>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</si>
  <si>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</si>
  <si>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</si>
  <si>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</si>
  <si>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</si>
  <si>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</si>
  <si>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</si>
  <si>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</si>
  <si>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</si>
  <si>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</si>
  <si>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</si>
  <si>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</si>
  <si>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</si>
  <si>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</si>
  <si>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</si>
  <si>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</si>
  <si>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</si>
  <si>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</si>
  <si>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</si>
  <si>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</si>
  <si>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</si>
  <si>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</si>
  <si>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</si>
  <si>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</si>
  <si>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</si>
  <si>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</si>
  <si>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</si>
  <si>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</si>
  <si>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</si>
  <si>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</si>
  <si>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</si>
  <si>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</si>
  <si>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</si>
  <si>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</si>
  <si>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</si>
  <si>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</si>
  <si>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</si>
  <si>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</si>
  <si>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</si>
  <si>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</si>
  <si>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</si>
  <si>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</si>
  <si>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</si>
  <si>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</si>
  <si>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</si>
  <si>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</si>
  <si>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</si>
  <si>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</si>
  <si>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</si>
  <si>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</si>
  <si>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</si>
  <si>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</si>
  <si>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</si>
  <si>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</si>
  <si>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</si>
  <si>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</si>
  <si>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</si>
  <si>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</si>
  <si>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</si>
  <si>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</si>
  <si>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</si>
  <si>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</si>
  <si>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</si>
  <si>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</si>
  <si>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</si>
  <si>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</si>
  <si>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</si>
  <si>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</si>
  <si>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</si>
  <si>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</si>
  <si>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</si>
  <si>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</si>
  <si>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</si>
  <si>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</si>
  <si>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</si>
  <si>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</si>
  <si>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</si>
  <si>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</si>
  <si>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</si>
  <si>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</si>
  <si>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</si>
  <si>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</si>
  <si>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</si>
  <si>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</si>
  <si>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</si>
  <si>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</si>
  <si>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</si>
  <si>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</si>
  <si>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</si>
  <si>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</si>
  <si>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</si>
  <si>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</si>
  <si>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</si>
  <si>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</si>
  <si>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</si>
  <si>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</si>
  <si>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</si>
  <si>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</si>
  <si>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</si>
  <si>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</si>
  <si>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</si>
  <si>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</si>
  <si>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</si>
  <si>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</si>
  <si>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</si>
  <si>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</si>
  <si>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</si>
  <si>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</si>
  <si>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</si>
  <si>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</si>
  <si>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</si>
  <si>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</si>
  <si>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</si>
  <si>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</si>
  <si>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</si>
  <si>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</si>
  <si>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</si>
  <si>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</si>
  <si>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</si>
  <si>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</si>
  <si>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</si>
  <si>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31005</t>
  </si>
  <si>
    <t>BRUGGE</t>
  </si>
  <si>
    <t>Cultuurgrond (ha)</t>
  </si>
  <si>
    <t>Paarden&amp;pony's 200 - 600 kg</t>
  </si>
  <si>
    <t>Paarden&amp;pony's &lt; 200 kg</t>
  </si>
  <si>
    <t>op basis van VEA (maart 2018) en Inventaris Hernieuwbare Energiebronnen (juni 2018)</t>
  </si>
  <si>
    <t>VEA (juni 2018)</t>
  </si>
  <si>
    <t>Guido Vandenbulcke</t>
  </si>
  <si>
    <t>Groene-Poortdreef 3 , 8200 Sint-Michiels</t>
  </si>
  <si>
    <t>WKK-0279 Guido Vandenbulcke</t>
  </si>
  <si>
    <t>stirlingmotor</t>
  </si>
  <si>
    <t>IMEWO</t>
  </si>
  <si>
    <t>Sweetee bvba</t>
  </si>
  <si>
    <t>Hoge Hul 34-38 , 8000 Brugge</t>
  </si>
  <si>
    <t>WKK-0489 Sweetee</t>
  </si>
  <si>
    <t>interne verbrandingsmotor</t>
  </si>
  <si>
    <t>WKK interne verbrandinsgmotor (gas)</t>
  </si>
  <si>
    <t>Eric Claus</t>
  </si>
  <si>
    <t>Sint-Jansstraat 10 , 8000 Brugge</t>
  </si>
  <si>
    <t>WKK-0580 Eric Claus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</si>
</sst>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949193.63457947015</c:v>
                </c:pt>
                <c:pt idx="1">
                  <c:v>824884.8155097384</c:v>
                </c:pt>
                <c:pt idx="2">
                  <c:v>8394.6370000000006</c:v>
                </c:pt>
                <c:pt idx="3">
                  <c:v>89683.299615342636</c:v>
                </c:pt>
                <c:pt idx="4">
                  <c:v>394790.43876195955</c:v>
                </c:pt>
                <c:pt idx="5">
                  <c:v>714905.52298713045</c:v>
                </c:pt>
                <c:pt idx="6">
                  <c:v>24458.641956292249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880"/>
        <c:axId val="182396416"/>
      </c:barChart>
      <c:catAx>
        <c:axId val="182394880"/>
        <c:scaling>
          <c:orientation val="minMax"/>
        </c:scaling>
        <c:axPos val="b"/>
        <c:numFmt formatCode="General" sourceLinked="0"/>
        <c:tickLblPos val="nextTo"/>
        <c:crossAx val="182396416"/>
        <c:crosses val="autoZero"/>
        <c:auto val="1"/>
        <c:lblAlgn val="ctr"/>
        <c:lblOffset val="100"/>
      </c:catAx>
      <c:valAx>
        <c:axId val="182396416"/>
        <c:scaling>
          <c:orientation val="minMax"/>
        </c:scaling>
        <c:axPos val="l"/>
        <c:majorGridlines/>
        <c:numFmt formatCode="#,##0" sourceLinked="1"/>
        <c:tickLblPos val="nextTo"/>
        <c:crossAx val="1823948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949193.63457947015</c:v>
                </c:pt>
                <c:pt idx="1">
                  <c:v>824884.8155097384</c:v>
                </c:pt>
                <c:pt idx="2">
                  <c:v>8394.6370000000006</c:v>
                </c:pt>
                <c:pt idx="3">
                  <c:v>89683.299615342636</c:v>
                </c:pt>
                <c:pt idx="4">
                  <c:v>394790.43876195955</c:v>
                </c:pt>
                <c:pt idx="5">
                  <c:v>714905.52298713045</c:v>
                </c:pt>
                <c:pt idx="6">
                  <c:v>24458.641956292249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177809.78092958481</c:v>
                </c:pt>
                <c:pt idx="1">
                  <c:v>162288.85197459825</c:v>
                </c:pt>
                <c:pt idx="2">
                  <c:v>1597.8716940677702</c:v>
                </c:pt>
                <c:pt idx="3">
                  <c:v>20195.575816692271</c:v>
                </c:pt>
                <c:pt idx="4">
                  <c:v>76165.192768593493</c:v>
                </c:pt>
                <c:pt idx="5">
                  <c:v>180762.74693352543</c:v>
                </c:pt>
                <c:pt idx="6">
                  <c:v>6199.8995917360444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177809.78092958481</c:v>
                </c:pt>
                <c:pt idx="1">
                  <c:v>162288.85197459825</c:v>
                </c:pt>
                <c:pt idx="2">
                  <c:v>1597.8716940677702</c:v>
                </c:pt>
                <c:pt idx="3">
                  <c:v>20195.575816692271</c:v>
                </c:pt>
                <c:pt idx="4">
                  <c:v>76165.192768593493</c:v>
                </c:pt>
                <c:pt idx="5">
                  <c:v>180762.74693352543</c:v>
                </c:pt>
                <c:pt idx="6">
                  <c:v>6199.8995917360444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31005</v>
      </c>
      <c r="B6" s="398"/>
      <c r="C6" s="399"/>
    </row>
    <row r="7" spans="1:7" s="396" customFormat="1" ht="15.75" customHeight="1">
      <c r="A7" s="400" t="str">
        <f>txtMunicipality</f>
        <v>BRUGGE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334533.90944173239</v>
      </c>
      <c r="D10" s="704">
        <f ca="1">tertiair!C16</f>
        <v>22.5</v>
      </c>
      <c r="E10" s="704">
        <f ca="1">tertiair!D16</f>
        <v>404539.84003354947</v>
      </c>
      <c r="F10" s="704">
        <f>tertiair!E16</f>
        <v>4701.3681515960989</v>
      </c>
      <c r="G10" s="704">
        <f ca="1">tertiair!F16</f>
        <v>65245.633006832242</v>
      </c>
      <c r="H10" s="704">
        <f>tertiair!G16</f>
        <v>0</v>
      </c>
      <c r="I10" s="704">
        <f>tertiair!H16</f>
        <v>0</v>
      </c>
      <c r="J10" s="704">
        <f>tertiair!I16</f>
        <v>0</v>
      </c>
      <c r="K10" s="704">
        <f>tertiair!J16</f>
        <v>0</v>
      </c>
      <c r="L10" s="704">
        <f>tertiair!K16</f>
        <v>0</v>
      </c>
      <c r="M10" s="704">
        <f ca="1">tertiair!L16</f>
        <v>0</v>
      </c>
      <c r="N10" s="704">
        <f>tertiair!M16</f>
        <v>0</v>
      </c>
      <c r="O10" s="704">
        <f ca="1">tertiair!N16</f>
        <v>23918.628542694994</v>
      </c>
      <c r="P10" s="704">
        <f>tertiair!O16</f>
        <v>12.506666666666668</v>
      </c>
      <c r="Q10" s="705">
        <f>tertiair!P16</f>
        <v>305.06666666666666</v>
      </c>
      <c r="R10" s="707">
        <f ca="1">SUM(C10:Q10)</f>
        <v>833279.4525097385</v>
      </c>
      <c r="S10" s="67"/>
    </row>
    <row r="11" spans="1:19" s="459" customFormat="1">
      <c r="A11" s="858" t="s">
        <v>225</v>
      </c>
      <c r="B11" s="863"/>
      <c r="C11" s="704">
        <f>huishoudens!B8</f>
        <v>201409.73869192039</v>
      </c>
      <c r="D11" s="704">
        <f>huishoudens!C8</f>
        <v>0</v>
      </c>
      <c r="E11" s="704">
        <f>huishoudens!D8</f>
        <v>681451.35783511982</v>
      </c>
      <c r="F11" s="704">
        <f>huishoudens!E8</f>
        <v>8014.9848109671002</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56004.943241462854</v>
      </c>
      <c r="P11" s="704">
        <f>huishoudens!O8</f>
        <v>730.07666666666671</v>
      </c>
      <c r="Q11" s="705">
        <f>huishoudens!P8</f>
        <v>1582.5333333333333</v>
      </c>
      <c r="R11" s="707">
        <f>SUM(C11:Q11)</f>
        <v>949193.63457947015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109553.19323995235</v>
      </c>
      <c r="D13" s="704">
        <f>industrie!C18</f>
        <v>0</v>
      </c>
      <c r="E13" s="704">
        <f>industrie!D18</f>
        <v>186802.79025488469</v>
      </c>
      <c r="F13" s="704">
        <f>industrie!E18</f>
        <v>9357.406174126907</v>
      </c>
      <c r="G13" s="704">
        <f>industrie!F18</f>
        <v>57665.085629977337</v>
      </c>
      <c r="H13" s="704">
        <f>industrie!G18</f>
        <v>0</v>
      </c>
      <c r="I13" s="704">
        <f>industrie!H18</f>
        <v>0</v>
      </c>
      <c r="J13" s="704">
        <f>industrie!I18</f>
        <v>0</v>
      </c>
      <c r="K13" s="704">
        <f>industrie!J18</f>
        <v>162.39857498436712</v>
      </c>
      <c r="L13" s="704">
        <f>industrie!K18</f>
        <v>0</v>
      </c>
      <c r="M13" s="704">
        <f>industrie!L18</f>
        <v>0</v>
      </c>
      <c r="N13" s="704">
        <f>industrie!M18</f>
        <v>0</v>
      </c>
      <c r="O13" s="704">
        <f>industrie!N18</f>
        <v>31249.564888033921</v>
      </c>
      <c r="P13" s="704">
        <f>industrie!O18</f>
        <v>0</v>
      </c>
      <c r="Q13" s="705">
        <f>industrie!P18</f>
        <v>0</v>
      </c>
      <c r="R13" s="707">
        <f>SUM(C13:Q13)</f>
        <v>394790.43876195955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645496.84137360507</v>
      </c>
      <c r="D15" s="709">
        <f t="shared" ref="D15:Q15" ca="1" si="0">SUM(D9:D14)</f>
        <v>22.5</v>
      </c>
      <c r="E15" s="709">
        <f t="shared" ca="1" si="0"/>
        <v>1272793.988123554</v>
      </c>
      <c r="F15" s="709">
        <f t="shared" si="0"/>
        <v>22073.759136690107</v>
      </c>
      <c r="G15" s="709">
        <f t="shared" ca="1" si="0"/>
        <v>122910.71863680959</v>
      </c>
      <c r="H15" s="709">
        <f t="shared" si="0"/>
        <v>0</v>
      </c>
      <c r="I15" s="709">
        <f t="shared" si="0"/>
        <v>0</v>
      </c>
      <c r="J15" s="709">
        <f t="shared" si="0"/>
        <v>0</v>
      </c>
      <c r="K15" s="709">
        <f t="shared" si="0"/>
        <v>162.39857498436712</v>
      </c>
      <c r="L15" s="709">
        <f t="shared" si="0"/>
        <v>0</v>
      </c>
      <c r="M15" s="709">
        <f t="shared" ca="1" si="0"/>
        <v>0</v>
      </c>
      <c r="N15" s="709">
        <f t="shared" si="0"/>
        <v>0</v>
      </c>
      <c r="O15" s="709">
        <f t="shared" ca="1" si="0"/>
        <v>111173.13667219176</v>
      </c>
      <c r="P15" s="709">
        <f t="shared" si="0"/>
        <v>742.58333333333337</v>
      </c>
      <c r="Q15" s="710">
        <f t="shared" si="0"/>
        <v>1887.6</v>
      </c>
      <c r="R15" s="711">
        <f ca="1">SUM(R9:R14)</f>
        <v>2177263.5258511682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804.11569279403886</v>
      </c>
      <c r="D18" s="704">
        <f>transport!C54</f>
        <v>0</v>
      </c>
      <c r="E18" s="704">
        <f>transport!D54</f>
        <v>0</v>
      </c>
      <c r="F18" s="704">
        <f>transport!E54</f>
        <v>0</v>
      </c>
      <c r="G18" s="704">
        <f>transport!F54</f>
        <v>0</v>
      </c>
      <c r="H18" s="704">
        <f>transport!G54</f>
        <v>22647.343504351302</v>
      </c>
      <c r="I18" s="704">
        <f>transport!H54</f>
        <v>0</v>
      </c>
      <c r="J18" s="704">
        <f>transport!I54</f>
        <v>0</v>
      </c>
      <c r="K18" s="704">
        <f>transport!J54</f>
        <v>0</v>
      </c>
      <c r="L18" s="704">
        <f>transport!K54</f>
        <v>0</v>
      </c>
      <c r="M18" s="704">
        <f>transport!L54</f>
        <v>0</v>
      </c>
      <c r="N18" s="704">
        <f>transport!M54</f>
        <v>1007.1827591469067</v>
      </c>
      <c r="O18" s="704">
        <f>transport!N54</f>
        <v>0</v>
      </c>
      <c r="P18" s="704">
        <f>transport!O54</f>
        <v>0</v>
      </c>
      <c r="Q18" s="705">
        <f>transport!P54</f>
        <v>0</v>
      </c>
      <c r="R18" s="707">
        <f>SUM(C18:Q18)</f>
        <v>24458.641956292249</v>
      </c>
      <c r="S18" s="67"/>
    </row>
    <row r="19" spans="1:19" s="459" customFormat="1" ht="15" thickBot="1">
      <c r="A19" s="858" t="s">
        <v>307</v>
      </c>
      <c r="B19" s="863"/>
      <c r="C19" s="713">
        <f>transport!B14</f>
        <v>42.27990685938623</v>
      </c>
      <c r="D19" s="713">
        <f>transport!C14</f>
        <v>0</v>
      </c>
      <c r="E19" s="713">
        <f>transport!D14</f>
        <v>68.893567775972983</v>
      </c>
      <c r="F19" s="713">
        <f>transport!E14</f>
        <v>2166.4005760172413</v>
      </c>
      <c r="G19" s="713">
        <f>transport!F14</f>
        <v>0</v>
      </c>
      <c r="H19" s="713">
        <f>transport!G14</f>
        <v>578162.38742729079</v>
      </c>
      <c r="I19" s="713">
        <f>transport!H14</f>
        <v>103934.34665763001</v>
      </c>
      <c r="J19" s="713">
        <f>transport!I14</f>
        <v>0</v>
      </c>
      <c r="K19" s="713">
        <f>transport!J14</f>
        <v>0</v>
      </c>
      <c r="L19" s="713">
        <f>transport!K14</f>
        <v>0</v>
      </c>
      <c r="M19" s="713">
        <f>transport!L14</f>
        <v>0</v>
      </c>
      <c r="N19" s="713">
        <f>transport!M14</f>
        <v>30531.214851557041</v>
      </c>
      <c r="O19" s="713">
        <f>transport!N14</f>
        <v>0</v>
      </c>
      <c r="P19" s="713">
        <f>transport!O14</f>
        <v>0</v>
      </c>
      <c r="Q19" s="714">
        <f>transport!P14</f>
        <v>0</v>
      </c>
      <c r="R19" s="715">
        <f>SUM(C19:Q19)</f>
        <v>714905.52298713045</v>
      </c>
      <c r="S19" s="67"/>
    </row>
    <row r="20" spans="1:19" s="459" customFormat="1" ht="15.75" thickBot="1">
      <c r="A20" s="716" t="s">
        <v>230</v>
      </c>
      <c r="B20" s="866"/>
      <c r="C20" s="861">
        <f>SUM(C17:C19)</f>
        <v>846.39559965342505</v>
      </c>
      <c r="D20" s="717">
        <f t="shared" ref="D20:R20" si="1">SUM(D17:D19)</f>
        <v>0</v>
      </c>
      <c r="E20" s="717">
        <f t="shared" si="1"/>
        <v>68.893567775972983</v>
      </c>
      <c r="F20" s="717">
        <f t="shared" si="1"/>
        <v>2166.4005760172413</v>
      </c>
      <c r="G20" s="717">
        <f t="shared" si="1"/>
        <v>0</v>
      </c>
      <c r="H20" s="717">
        <f t="shared" si="1"/>
        <v>600809.73093164212</v>
      </c>
      <c r="I20" s="717">
        <f t="shared" si="1"/>
        <v>103934.34665763001</v>
      </c>
      <c r="J20" s="717">
        <f t="shared" si="1"/>
        <v>0</v>
      </c>
      <c r="K20" s="717">
        <f t="shared" si="1"/>
        <v>0</v>
      </c>
      <c r="L20" s="717">
        <f t="shared" si="1"/>
        <v>0</v>
      </c>
      <c r="M20" s="717">
        <f t="shared" si="1"/>
        <v>0</v>
      </c>
      <c r="N20" s="717">
        <f t="shared" si="1"/>
        <v>31538.397610703949</v>
      </c>
      <c r="O20" s="717">
        <f t="shared" si="1"/>
        <v>0</v>
      </c>
      <c r="P20" s="717">
        <f t="shared" si="1"/>
        <v>0</v>
      </c>
      <c r="Q20" s="718">
        <f t="shared" si="1"/>
        <v>0</v>
      </c>
      <c r="R20" s="719">
        <f t="shared" si="1"/>
        <v>739364.16494342266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8815.8176642216204</v>
      </c>
      <c r="D22" s="713">
        <f>+landbouw!C8</f>
        <v>29.464285714285715</v>
      </c>
      <c r="E22" s="713">
        <f>+landbouw!D8</f>
        <v>48984.348807882205</v>
      </c>
      <c r="F22" s="713">
        <f>+landbouw!E8</f>
        <v>111.09065965147245</v>
      </c>
      <c r="G22" s="713">
        <f>+landbouw!F8</f>
        <v>30416.779435852422</v>
      </c>
      <c r="H22" s="713">
        <f>+landbouw!G8</f>
        <v>0</v>
      </c>
      <c r="I22" s="713">
        <f>+landbouw!H8</f>
        <v>0</v>
      </c>
      <c r="J22" s="713">
        <f>+landbouw!I8</f>
        <v>0</v>
      </c>
      <c r="K22" s="713">
        <f>+landbouw!J8</f>
        <v>1325.79876202063</v>
      </c>
      <c r="L22" s="713">
        <f>+landbouw!K8</f>
        <v>0</v>
      </c>
      <c r="M22" s="713">
        <f>+landbouw!L8</f>
        <v>0</v>
      </c>
      <c r="N22" s="713">
        <f>+landbouw!M8</f>
        <v>0</v>
      </c>
      <c r="O22" s="713">
        <f>+landbouw!N8</f>
        <v>0</v>
      </c>
      <c r="P22" s="713">
        <f>+landbouw!O8</f>
        <v>0</v>
      </c>
      <c r="Q22" s="714">
        <f>+landbouw!P8</f>
        <v>0</v>
      </c>
      <c r="R22" s="715">
        <f>SUM(C22:Q22)</f>
        <v>89683.299615342636</v>
      </c>
      <c r="S22" s="67"/>
    </row>
    <row r="23" spans="1:19" s="459" customFormat="1" ht="17.25" thickTop="1" thickBot="1">
      <c r="A23" s="720" t="s">
        <v>116</v>
      </c>
      <c r="B23" s="852"/>
      <c r="C23" s="721">
        <f ca="1">C20+C15+C22</f>
        <v>655159.05463748018</v>
      </c>
      <c r="D23" s="721">
        <f t="shared" ref="D23:Q23" ca="1" si="2">D20+D15+D22</f>
        <v>51.964285714285715</v>
      </c>
      <c r="E23" s="721">
        <f t="shared" ca="1" si="2"/>
        <v>1321847.2304992124</v>
      </c>
      <c r="F23" s="721">
        <f t="shared" si="2"/>
        <v>24351.25037235882</v>
      </c>
      <c r="G23" s="721">
        <f t="shared" ca="1" si="2"/>
        <v>153327.49807266201</v>
      </c>
      <c r="H23" s="721">
        <f t="shared" si="2"/>
        <v>600809.73093164212</v>
      </c>
      <c r="I23" s="721">
        <f t="shared" si="2"/>
        <v>103934.34665763001</v>
      </c>
      <c r="J23" s="721">
        <f t="shared" si="2"/>
        <v>0</v>
      </c>
      <c r="K23" s="721">
        <f t="shared" si="2"/>
        <v>1488.1973370049971</v>
      </c>
      <c r="L23" s="721">
        <f t="shared" si="2"/>
        <v>0</v>
      </c>
      <c r="M23" s="721">
        <f t="shared" ca="1" si="2"/>
        <v>0</v>
      </c>
      <c r="N23" s="721">
        <f t="shared" si="2"/>
        <v>31538.397610703949</v>
      </c>
      <c r="O23" s="721">
        <f t="shared" ca="1" si="2"/>
        <v>111173.13667219176</v>
      </c>
      <c r="P23" s="721">
        <f t="shared" si="2"/>
        <v>742.58333333333337</v>
      </c>
      <c r="Q23" s="722">
        <f t="shared" si="2"/>
        <v>1887.6</v>
      </c>
      <c r="R23" s="723">
        <f ca="1">R20+R15+R22</f>
        <v>3006310.9904099335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63676.638382669189</v>
      </c>
      <c r="D36" s="704">
        <f ca="1">tertiair!C20</f>
        <v>5.2430159833217509</v>
      </c>
      <c r="E36" s="704">
        <f ca="1">tertiair!D20</f>
        <v>81717.04768677699</v>
      </c>
      <c r="F36" s="704">
        <f>tertiair!E20</f>
        <v>1067.2105704123144</v>
      </c>
      <c r="G36" s="704">
        <f ca="1">tertiair!F20</f>
        <v>17420.584012824209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163886.723668666</v>
      </c>
    </row>
    <row r="37" spans="1:18">
      <c r="A37" s="873" t="s">
        <v>225</v>
      </c>
      <c r="B37" s="880"/>
      <c r="C37" s="704">
        <f ca="1">huishoudens!B12</f>
        <v>38337.205094801087</v>
      </c>
      <c r="D37" s="704">
        <f ca="1">huishoudens!C12</f>
        <v>0</v>
      </c>
      <c r="E37" s="704">
        <f>huishoudens!D12</f>
        <v>137653.17428269421</v>
      </c>
      <c r="F37" s="704">
        <f>huishoudens!E12</f>
        <v>1819.4015520895318</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177809.78092958481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20852.83097683157</v>
      </c>
      <c r="D39" s="704">
        <f ca="1">industrie!C22</f>
        <v>0</v>
      </c>
      <c r="E39" s="704">
        <f>industrie!D22</f>
        <v>37734.163631486706</v>
      </c>
      <c r="F39" s="704">
        <f>industrie!E22</f>
        <v>2124.1312015268081</v>
      </c>
      <c r="G39" s="704">
        <f>industrie!F22</f>
        <v>15396.577863203949</v>
      </c>
      <c r="H39" s="704">
        <f>industrie!G22</f>
        <v>0</v>
      </c>
      <c r="I39" s="704">
        <f>industrie!H22</f>
        <v>0</v>
      </c>
      <c r="J39" s="704">
        <f>industrie!I22</f>
        <v>0</v>
      </c>
      <c r="K39" s="704">
        <f>industrie!J22</f>
        <v>57.489095544465954</v>
      </c>
      <c r="L39" s="704">
        <f>industrie!K22</f>
        <v>0</v>
      </c>
      <c r="M39" s="704">
        <f>industrie!L22</f>
        <v>0</v>
      </c>
      <c r="N39" s="704">
        <f>industrie!M22</f>
        <v>0</v>
      </c>
      <c r="O39" s="704">
        <f>industrie!N22</f>
        <v>0</v>
      </c>
      <c r="P39" s="704">
        <f>industrie!O22</f>
        <v>0</v>
      </c>
      <c r="Q39" s="814">
        <f>industrie!P22</f>
        <v>0</v>
      </c>
      <c r="R39" s="906">
        <f ca="1">SUM(C39:Q39)</f>
        <v>76165.192768593493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122866.67445430184</v>
      </c>
      <c r="D41" s="749">
        <f t="shared" ref="D41:R41" ca="1" si="4">SUM(D35:D40)</f>
        <v>5.2430159833217509</v>
      </c>
      <c r="E41" s="749">
        <f t="shared" ca="1" si="4"/>
        <v>257104.3856009579</v>
      </c>
      <c r="F41" s="749">
        <f t="shared" si="4"/>
        <v>5010.7433240286537</v>
      </c>
      <c r="G41" s="749">
        <f t="shared" ca="1" si="4"/>
        <v>32817.161876028156</v>
      </c>
      <c r="H41" s="749">
        <f t="shared" si="4"/>
        <v>0</v>
      </c>
      <c r="I41" s="749">
        <f t="shared" si="4"/>
        <v>0</v>
      </c>
      <c r="J41" s="749">
        <f t="shared" si="4"/>
        <v>0</v>
      </c>
      <c r="K41" s="749">
        <f t="shared" si="4"/>
        <v>57.489095544465954</v>
      </c>
      <c r="L41" s="749">
        <f t="shared" si="4"/>
        <v>0</v>
      </c>
      <c r="M41" s="749">
        <f t="shared" ca="1" si="4"/>
        <v>0</v>
      </c>
      <c r="N41" s="749">
        <f t="shared" si="4"/>
        <v>0</v>
      </c>
      <c r="O41" s="749">
        <f t="shared" ca="1" si="4"/>
        <v>0</v>
      </c>
      <c r="P41" s="749">
        <f t="shared" si="4"/>
        <v>0</v>
      </c>
      <c r="Q41" s="750">
        <f t="shared" si="4"/>
        <v>0</v>
      </c>
      <c r="R41" s="751">
        <f t="shared" ca="1" si="4"/>
        <v>417861.69736684434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153.05887607424711</v>
      </c>
      <c r="D44" s="704">
        <f ca="1">transport!C58</f>
        <v>0</v>
      </c>
      <c r="E44" s="704">
        <f>transport!D58</f>
        <v>0</v>
      </c>
      <c r="F44" s="704">
        <f>transport!E58</f>
        <v>0</v>
      </c>
      <c r="G44" s="704">
        <f>transport!F58</f>
        <v>0</v>
      </c>
      <c r="H44" s="704">
        <f>transport!G58</f>
        <v>6046.8407156617977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6199.8995917360444</v>
      </c>
    </row>
    <row r="45" spans="1:18" ht="15" thickBot="1">
      <c r="A45" s="876" t="s">
        <v>307</v>
      </c>
      <c r="B45" s="886"/>
      <c r="C45" s="713">
        <f ca="1">transport!B18</f>
        <v>8.0477412422282235</v>
      </c>
      <c r="D45" s="713">
        <f>transport!C18</f>
        <v>0</v>
      </c>
      <c r="E45" s="713">
        <f>transport!D18</f>
        <v>13.916500690746544</v>
      </c>
      <c r="F45" s="713">
        <f>transport!E18</f>
        <v>491.77293075591376</v>
      </c>
      <c r="G45" s="713">
        <f>transport!F18</f>
        <v>0</v>
      </c>
      <c r="H45" s="713">
        <f>transport!G18</f>
        <v>154369.35744308666</v>
      </c>
      <c r="I45" s="713">
        <f>transport!H18</f>
        <v>25879.652317749875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180762.74693352543</v>
      </c>
    </row>
    <row r="46" spans="1:18" ht="15.75" thickBot="1">
      <c r="A46" s="874" t="s">
        <v>230</v>
      </c>
      <c r="B46" s="887"/>
      <c r="C46" s="749">
        <f t="shared" ref="C46:R46" ca="1" si="5">SUM(C43:C45)</f>
        <v>161.10661731647534</v>
      </c>
      <c r="D46" s="749">
        <f t="shared" ca="1" si="5"/>
        <v>0</v>
      </c>
      <c r="E46" s="749">
        <f t="shared" si="5"/>
        <v>13.916500690746544</v>
      </c>
      <c r="F46" s="749">
        <f t="shared" si="5"/>
        <v>491.77293075591376</v>
      </c>
      <c r="G46" s="749">
        <f t="shared" si="5"/>
        <v>0</v>
      </c>
      <c r="H46" s="749">
        <f t="shared" si="5"/>
        <v>160416.19815874845</v>
      </c>
      <c r="I46" s="749">
        <f t="shared" si="5"/>
        <v>25879.652317749875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186962.64652526146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1678.041052367407</v>
      </c>
      <c r="D48" s="704">
        <f ca="1">+landbouw!C12</f>
        <v>6.8658542638737217</v>
      </c>
      <c r="E48" s="704">
        <f>+landbouw!D12</f>
        <v>9894.8384591922058</v>
      </c>
      <c r="F48" s="704">
        <f>+landbouw!E12</f>
        <v>25.217579740884247</v>
      </c>
      <c r="G48" s="704">
        <f>+landbouw!F12</f>
        <v>8121.2801093725975</v>
      </c>
      <c r="H48" s="704">
        <f>+landbouw!G12</f>
        <v>0</v>
      </c>
      <c r="I48" s="704">
        <f>+landbouw!H12</f>
        <v>0</v>
      </c>
      <c r="J48" s="704">
        <f>+landbouw!I12</f>
        <v>0</v>
      </c>
      <c r="K48" s="704">
        <f>+landbouw!J12</f>
        <v>469.33276175530301</v>
      </c>
      <c r="L48" s="704">
        <f>+landbouw!K12</f>
        <v>0</v>
      </c>
      <c r="M48" s="704">
        <f>+landbouw!L12</f>
        <v>0</v>
      </c>
      <c r="N48" s="704">
        <f>+landbouw!M12</f>
        <v>0</v>
      </c>
      <c r="O48" s="704">
        <f>+landbouw!N12</f>
        <v>0</v>
      </c>
      <c r="P48" s="704">
        <f>+landbouw!O12</f>
        <v>0</v>
      </c>
      <c r="Q48" s="705">
        <f>+landbouw!P12</f>
        <v>0</v>
      </c>
      <c r="R48" s="747">
        <f ca="1">SUM(C48:Q48)</f>
        <v>20195.575816692271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124705.82212398572</v>
      </c>
      <c r="D53" s="759">
        <f t="shared" ref="D53:Q53" ca="1" si="6">D41+D46+D48</f>
        <v>12.108870247195473</v>
      </c>
      <c r="E53" s="759">
        <f t="shared" ca="1" si="6"/>
        <v>267013.14056084084</v>
      </c>
      <c r="F53" s="759">
        <f t="shared" si="6"/>
        <v>5527.733834525452</v>
      </c>
      <c r="G53" s="759">
        <f t="shared" ca="1" si="6"/>
        <v>40938.441985400757</v>
      </c>
      <c r="H53" s="759">
        <f t="shared" si="6"/>
        <v>160416.19815874845</v>
      </c>
      <c r="I53" s="759">
        <f t="shared" si="6"/>
        <v>25879.652317749875</v>
      </c>
      <c r="J53" s="759">
        <f t="shared" si="6"/>
        <v>0</v>
      </c>
      <c r="K53" s="759">
        <f t="shared" si="6"/>
        <v>526.82185729976891</v>
      </c>
      <c r="L53" s="759">
        <f t="shared" si="6"/>
        <v>0</v>
      </c>
      <c r="M53" s="759">
        <f t="shared" ca="1" si="6"/>
        <v>0</v>
      </c>
      <c r="N53" s="759">
        <f t="shared" si="6"/>
        <v>0</v>
      </c>
      <c r="O53" s="759">
        <f t="shared" ca="1" si="6"/>
        <v>0</v>
      </c>
      <c r="P53" s="759">
        <f>P41+P46+P48</f>
        <v>0</v>
      </c>
      <c r="Q53" s="760">
        <f t="shared" si="6"/>
        <v>0</v>
      </c>
      <c r="R53" s="761">
        <f ca="1">R41+R46+R48</f>
        <v>625019.91970879817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0.19034434652359239</v>
      </c>
      <c r="D55" s="824">
        <f t="shared" ca="1" si="7"/>
        <v>0.23302293259207782</v>
      </c>
      <c r="E55" s="824">
        <f t="shared" ca="1" si="7"/>
        <v>0.20199999999999996</v>
      </c>
      <c r="F55" s="824">
        <f t="shared" si="7"/>
        <v>0.22700000000000001</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61829.192977079925</v>
      </c>
      <c r="C64" s="781">
        <f>'lokale energieproductie'!B4</f>
        <v>61829.192977079925</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29051.490403366995</v>
      </c>
      <c r="C66" s="781">
        <f>'lokale energieproductie'!B6</f>
        <v>29051.490403366995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25.125</v>
      </c>
      <c r="C67" s="780">
        <f>B67*IFERROR(SUM(J67:L67)/SUM(D67:M67),0)</f>
        <v>0</v>
      </c>
      <c r="D67" s="812">
        <f>'lokale energieproductie'!C7</f>
        <v>28.983669214732451</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5.8547011813759555</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90905.808380446921</v>
      </c>
      <c r="C69" s="789">
        <f>SUM(C64:C68)</f>
        <v>90880.683380446921</v>
      </c>
      <c r="D69" s="790">
        <f t="shared" ref="D69:M69" si="8">SUM(D67:D68)</f>
        <v>28.983669214732451</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5.8547011813759555</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51.964285714285715</v>
      </c>
      <c r="C78" s="803">
        <f>B78*IFERROR(SUM(I78:L78)/SUM(D78:M78),0)</f>
        <v>0</v>
      </c>
      <c r="D78" s="818">
        <f>'lokale energieproductie'!C16</f>
        <v>59.944902213838972</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12.108870247195473</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51.964285714285715</v>
      </c>
      <c r="C81" s="789">
        <f>SUM(C78:C80)</f>
        <v>0</v>
      </c>
      <c r="D81" s="789">
        <f t="shared" ref="D81:P81" si="9">SUM(D78:D80)</f>
        <v>59.944902213838972</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12.108870247195473</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201409.73869192039</v>
      </c>
      <c r="C4" s="463">
        <f>huishoudens!C8</f>
        <v>0</v>
      </c>
      <c r="D4" s="463">
        <f>huishoudens!D8</f>
        <v>681451.35783511982</v>
      </c>
      <c r="E4" s="463">
        <f>huishoudens!E8</f>
        <v>8014.9848109671002</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56004.943241462854</v>
      </c>
      <c r="O4" s="463">
        <f>huishoudens!O8</f>
        <v>730.07666666666671</v>
      </c>
      <c r="P4" s="464">
        <f>huishoudens!P8</f>
        <v>1582.5333333333333</v>
      </c>
      <c r="Q4" s="465">
        <f>SUM(B4:P4)</f>
        <v>949193.63457947015</v>
      </c>
    </row>
    <row r="5" spans="1:17">
      <c r="A5" s="462" t="s">
        <v>156</v>
      </c>
      <c r="B5" s="463">
        <f ca="1">tertiair!B16</f>
        <v>326139.27244173241</v>
      </c>
      <c r="C5" s="463">
        <f ca="1">tertiair!C16</f>
        <v>22.5</v>
      </c>
      <c r="D5" s="463">
        <f ca="1">tertiair!D16</f>
        <v>404539.84003354947</v>
      </c>
      <c r="E5" s="463">
        <f>tertiair!E16</f>
        <v>4701.3681515960989</v>
      </c>
      <c r="F5" s="463">
        <f ca="1">tertiair!F16</f>
        <v>65245.633006832242</v>
      </c>
      <c r="G5" s="463">
        <f>tertiair!G16</f>
        <v>0</v>
      </c>
      <c r="H5" s="463">
        <f>tertiair!H16</f>
        <v>0</v>
      </c>
      <c r="I5" s="463">
        <f>tertiair!I16</f>
        <v>0</v>
      </c>
      <c r="J5" s="463">
        <f>tertiair!J16</f>
        <v>0</v>
      </c>
      <c r="K5" s="463">
        <f>tertiair!K16</f>
        <v>0</v>
      </c>
      <c r="L5" s="463">
        <f ca="1">tertiair!L16</f>
        <v>0</v>
      </c>
      <c r="M5" s="463">
        <f>tertiair!M16</f>
        <v>0</v>
      </c>
      <c r="N5" s="463">
        <f ca="1">tertiair!N16</f>
        <v>23918.628542694994</v>
      </c>
      <c r="O5" s="463">
        <f>tertiair!O16</f>
        <v>12.506666666666668</v>
      </c>
      <c r="P5" s="464">
        <f>tertiair!P16</f>
        <v>305.06666666666666</v>
      </c>
      <c r="Q5" s="462">
        <f t="shared" ref="Q5:Q13" ca="1" si="0">SUM(B5:P5)</f>
        <v>824884.8155097384</v>
      </c>
    </row>
    <row r="6" spans="1:17">
      <c r="A6" s="462" t="s">
        <v>194</v>
      </c>
      <c r="B6" s="463">
        <f>'openbare verlichting'!B8</f>
        <v>8394.6370000000006</v>
      </c>
      <c r="C6" s="463"/>
      <c r="D6" s="463"/>
      <c r="E6" s="463"/>
      <c r="F6" s="463"/>
      <c r="G6" s="463"/>
      <c r="H6" s="463"/>
      <c r="I6" s="463"/>
      <c r="J6" s="463"/>
      <c r="K6" s="463"/>
      <c r="L6" s="463"/>
      <c r="M6" s="463"/>
      <c r="N6" s="463"/>
      <c r="O6" s="463"/>
      <c r="P6" s="464"/>
      <c r="Q6" s="462">
        <f t="shared" si="0"/>
        <v>8394.6370000000006</v>
      </c>
    </row>
    <row r="7" spans="1:17">
      <c r="A7" s="462" t="s">
        <v>112</v>
      </c>
      <c r="B7" s="463">
        <f>landbouw!B8</f>
        <v>8815.8176642216204</v>
      </c>
      <c r="C7" s="463">
        <f>landbouw!C8</f>
        <v>29.464285714285715</v>
      </c>
      <c r="D7" s="463">
        <f>landbouw!D8</f>
        <v>48984.348807882205</v>
      </c>
      <c r="E7" s="463">
        <f>landbouw!E8</f>
        <v>111.09065965147245</v>
      </c>
      <c r="F7" s="463">
        <f>landbouw!F8</f>
        <v>30416.779435852422</v>
      </c>
      <c r="G7" s="463">
        <f>landbouw!G8</f>
        <v>0</v>
      </c>
      <c r="H7" s="463">
        <f>landbouw!H8</f>
        <v>0</v>
      </c>
      <c r="I7" s="463">
        <f>landbouw!I8</f>
        <v>0</v>
      </c>
      <c r="J7" s="463">
        <f>landbouw!J8</f>
        <v>1325.79876202063</v>
      </c>
      <c r="K7" s="463">
        <f>landbouw!K8</f>
        <v>0</v>
      </c>
      <c r="L7" s="463">
        <f>landbouw!L8</f>
        <v>0</v>
      </c>
      <c r="M7" s="463">
        <f>landbouw!M8</f>
        <v>0</v>
      </c>
      <c r="N7" s="463">
        <f>landbouw!N8</f>
        <v>0</v>
      </c>
      <c r="O7" s="463">
        <f>landbouw!O8</f>
        <v>0</v>
      </c>
      <c r="P7" s="464">
        <f>landbouw!P8</f>
        <v>0</v>
      </c>
      <c r="Q7" s="462">
        <f t="shared" si="0"/>
        <v>89683.299615342636</v>
      </c>
    </row>
    <row r="8" spans="1:17">
      <c r="A8" s="462" t="s">
        <v>657</v>
      </c>
      <c r="B8" s="463">
        <f>industrie!B18</f>
        <v>109553.19323995235</v>
      </c>
      <c r="C8" s="463">
        <f>industrie!C18</f>
        <v>0</v>
      </c>
      <c r="D8" s="463">
        <f>industrie!D18</f>
        <v>186802.79025488469</v>
      </c>
      <c r="E8" s="463">
        <f>industrie!E18</f>
        <v>9357.406174126907</v>
      </c>
      <c r="F8" s="463">
        <f>industrie!F18</f>
        <v>57665.085629977337</v>
      </c>
      <c r="G8" s="463">
        <f>industrie!G18</f>
        <v>0</v>
      </c>
      <c r="H8" s="463">
        <f>industrie!H18</f>
        <v>0</v>
      </c>
      <c r="I8" s="463">
        <f>industrie!I18</f>
        <v>0</v>
      </c>
      <c r="J8" s="463">
        <f>industrie!J18</f>
        <v>162.39857498436712</v>
      </c>
      <c r="K8" s="463">
        <f>industrie!K18</f>
        <v>0</v>
      </c>
      <c r="L8" s="463">
        <f>industrie!L18</f>
        <v>0</v>
      </c>
      <c r="M8" s="463">
        <f>industrie!M18</f>
        <v>0</v>
      </c>
      <c r="N8" s="463">
        <f>industrie!N18</f>
        <v>31249.564888033921</v>
      </c>
      <c r="O8" s="463">
        <f>industrie!O18</f>
        <v>0</v>
      </c>
      <c r="P8" s="464">
        <f>industrie!P18</f>
        <v>0</v>
      </c>
      <c r="Q8" s="462">
        <f t="shared" si="0"/>
        <v>394790.43876195955</v>
      </c>
    </row>
    <row r="9" spans="1:17" s="468" customFormat="1">
      <c r="A9" s="466" t="s">
        <v>574</v>
      </c>
      <c r="B9" s="467">
        <f>transport!B14</f>
        <v>42.27990685938623</v>
      </c>
      <c r="C9" s="467">
        <f>transport!C14</f>
        <v>0</v>
      </c>
      <c r="D9" s="467">
        <f>transport!D14</f>
        <v>68.893567775972983</v>
      </c>
      <c r="E9" s="467">
        <f>transport!E14</f>
        <v>2166.4005760172413</v>
      </c>
      <c r="F9" s="467">
        <f>transport!F14</f>
        <v>0</v>
      </c>
      <c r="G9" s="467">
        <f>transport!G14</f>
        <v>578162.38742729079</v>
      </c>
      <c r="H9" s="467">
        <f>transport!H14</f>
        <v>103934.34665763001</v>
      </c>
      <c r="I9" s="467">
        <f>transport!I14</f>
        <v>0</v>
      </c>
      <c r="J9" s="467">
        <f>transport!J14</f>
        <v>0</v>
      </c>
      <c r="K9" s="467">
        <f>transport!K14</f>
        <v>0</v>
      </c>
      <c r="L9" s="467">
        <f>transport!L14</f>
        <v>0</v>
      </c>
      <c r="M9" s="467">
        <f>transport!M14</f>
        <v>30531.214851557041</v>
      </c>
      <c r="N9" s="467">
        <f>transport!N14</f>
        <v>0</v>
      </c>
      <c r="O9" s="467">
        <f>transport!O14</f>
        <v>0</v>
      </c>
      <c r="P9" s="467">
        <f>transport!P14</f>
        <v>0</v>
      </c>
      <c r="Q9" s="466">
        <f>SUM(B9:P9)</f>
        <v>714905.52298713045</v>
      </c>
    </row>
    <row r="10" spans="1:17">
      <c r="A10" s="462" t="s">
        <v>564</v>
      </c>
      <c r="B10" s="463">
        <f>transport!B54</f>
        <v>804.11569279403886</v>
      </c>
      <c r="C10" s="463">
        <f>transport!C54</f>
        <v>0</v>
      </c>
      <c r="D10" s="463">
        <f>transport!D54</f>
        <v>0</v>
      </c>
      <c r="E10" s="463">
        <f>transport!E54</f>
        <v>0</v>
      </c>
      <c r="F10" s="463">
        <f>transport!F54</f>
        <v>0</v>
      </c>
      <c r="G10" s="463">
        <f>transport!G54</f>
        <v>22647.343504351302</v>
      </c>
      <c r="H10" s="463">
        <f>transport!H54</f>
        <v>0</v>
      </c>
      <c r="I10" s="463">
        <f>transport!I54</f>
        <v>0</v>
      </c>
      <c r="J10" s="463">
        <f>transport!J54</f>
        <v>0</v>
      </c>
      <c r="K10" s="463">
        <f>transport!K54</f>
        <v>0</v>
      </c>
      <c r="L10" s="463">
        <f>transport!L54</f>
        <v>0</v>
      </c>
      <c r="M10" s="463">
        <f>transport!M54</f>
        <v>1007.1827591469067</v>
      </c>
      <c r="N10" s="463">
        <f>transport!N54</f>
        <v>0</v>
      </c>
      <c r="O10" s="463">
        <f>transport!O54</f>
        <v>0</v>
      </c>
      <c r="P10" s="464">
        <f>transport!P54</f>
        <v>0</v>
      </c>
      <c r="Q10" s="462">
        <f t="shared" si="0"/>
        <v>24458.641956292249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655159.05463748018</v>
      </c>
      <c r="C14" s="473">
        <f t="shared" ref="C14:Q14" ca="1" si="1">SUM(C4:C13)</f>
        <v>51.964285714285715</v>
      </c>
      <c r="D14" s="473">
        <f t="shared" ca="1" si="1"/>
        <v>1321847.2304992124</v>
      </c>
      <c r="E14" s="473">
        <f t="shared" si="1"/>
        <v>24351.25037235882</v>
      </c>
      <c r="F14" s="473">
        <f t="shared" ca="1" si="1"/>
        <v>153327.49807266201</v>
      </c>
      <c r="G14" s="473">
        <f t="shared" si="1"/>
        <v>600809.73093164212</v>
      </c>
      <c r="H14" s="473">
        <f t="shared" si="1"/>
        <v>103934.34665763001</v>
      </c>
      <c r="I14" s="473">
        <f t="shared" si="1"/>
        <v>0</v>
      </c>
      <c r="J14" s="473">
        <f t="shared" si="1"/>
        <v>1488.1973370049971</v>
      </c>
      <c r="K14" s="473">
        <f t="shared" si="1"/>
        <v>0</v>
      </c>
      <c r="L14" s="473">
        <f t="shared" ca="1" si="1"/>
        <v>0</v>
      </c>
      <c r="M14" s="473">
        <f t="shared" si="1"/>
        <v>31538.397610703949</v>
      </c>
      <c r="N14" s="473">
        <f t="shared" ca="1" si="1"/>
        <v>111173.13667219176</v>
      </c>
      <c r="O14" s="473">
        <f t="shared" si="1"/>
        <v>742.58333333333337</v>
      </c>
      <c r="P14" s="474">
        <f t="shared" si="1"/>
        <v>1887.6</v>
      </c>
      <c r="Q14" s="474">
        <f t="shared" ca="1" si="1"/>
        <v>3006310.9904099335</v>
      </c>
    </row>
    <row r="16" spans="1:17">
      <c r="A16" s="476" t="s">
        <v>569</v>
      </c>
      <c r="B16" s="829">
        <f ca="1">huishoudens!B10</f>
        <v>0.19034434652359239</v>
      </c>
      <c r="C16" s="829">
        <f ca="1">huishoudens!C10</f>
        <v>0.23302293259207782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38337.205094801087</v>
      </c>
      <c r="C21" s="463">
        <f t="shared" ref="C21:C30" ca="1" si="3">C4*$C$16</f>
        <v>0</v>
      </c>
      <c r="D21" s="463">
        <f t="shared" ref="D21:D30" si="4">D4*$D$16</f>
        <v>137653.17428269421</v>
      </c>
      <c r="E21" s="463">
        <f t="shared" ref="E21:E30" si="5">E4*$E$16</f>
        <v>1819.4015520895318</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177809.78092958481</v>
      </c>
    </row>
    <row r="22" spans="1:17">
      <c r="A22" s="462" t="s">
        <v>156</v>
      </c>
      <c r="B22" s="463">
        <f t="shared" ca="1" si="2"/>
        <v>62078.766688601419</v>
      </c>
      <c r="C22" s="463">
        <f t="shared" ca="1" si="3"/>
        <v>5.2430159833217509</v>
      </c>
      <c r="D22" s="463">
        <f t="shared" ca="1" si="4"/>
        <v>81717.04768677699</v>
      </c>
      <c r="E22" s="463">
        <f t="shared" si="5"/>
        <v>1067.2105704123144</v>
      </c>
      <c r="F22" s="463">
        <f t="shared" ca="1" si="6"/>
        <v>17420.584012824209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162288.85197459825</v>
      </c>
    </row>
    <row r="23" spans="1:17">
      <c r="A23" s="462" t="s">
        <v>194</v>
      </c>
      <c r="B23" s="463">
        <f t="shared" ca="1" si="2"/>
        <v>1597.8716940677702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1597.8716940677702</v>
      </c>
    </row>
    <row r="24" spans="1:17">
      <c r="A24" s="462" t="s">
        <v>112</v>
      </c>
      <c r="B24" s="463">
        <f t="shared" ca="1" si="2"/>
        <v>1678.041052367407</v>
      </c>
      <c r="C24" s="463">
        <f t="shared" ca="1" si="3"/>
        <v>6.8658542638737217</v>
      </c>
      <c r="D24" s="463">
        <f t="shared" si="4"/>
        <v>9894.8384591922058</v>
      </c>
      <c r="E24" s="463">
        <f t="shared" si="5"/>
        <v>25.217579740884247</v>
      </c>
      <c r="F24" s="463">
        <f t="shared" si="6"/>
        <v>8121.2801093725975</v>
      </c>
      <c r="G24" s="463">
        <f t="shared" si="7"/>
        <v>0</v>
      </c>
      <c r="H24" s="463">
        <f t="shared" si="8"/>
        <v>0</v>
      </c>
      <c r="I24" s="463">
        <f t="shared" si="9"/>
        <v>0</v>
      </c>
      <c r="J24" s="463">
        <f t="shared" si="10"/>
        <v>469.33276175530301</v>
      </c>
      <c r="K24" s="463">
        <f t="shared" si="11"/>
        <v>0</v>
      </c>
      <c r="L24" s="463">
        <f t="shared" si="12"/>
        <v>0</v>
      </c>
      <c r="M24" s="463">
        <f t="shared" si="13"/>
        <v>0</v>
      </c>
      <c r="N24" s="463">
        <f t="shared" si="14"/>
        <v>0</v>
      </c>
      <c r="O24" s="463">
        <f t="shared" si="15"/>
        <v>0</v>
      </c>
      <c r="P24" s="464">
        <f t="shared" si="16"/>
        <v>0</v>
      </c>
      <c r="Q24" s="462">
        <f t="shared" ca="1" si="17"/>
        <v>20195.575816692271</v>
      </c>
    </row>
    <row r="25" spans="1:17">
      <c r="A25" s="462" t="s">
        <v>657</v>
      </c>
      <c r="B25" s="463">
        <f t="shared" ca="1" si="2"/>
        <v>20852.83097683157</v>
      </c>
      <c r="C25" s="463">
        <f t="shared" ca="1" si="3"/>
        <v>0</v>
      </c>
      <c r="D25" s="463">
        <f t="shared" si="4"/>
        <v>37734.163631486706</v>
      </c>
      <c r="E25" s="463">
        <f t="shared" si="5"/>
        <v>2124.1312015268081</v>
      </c>
      <c r="F25" s="463">
        <f t="shared" si="6"/>
        <v>15396.577863203949</v>
      </c>
      <c r="G25" s="463">
        <f t="shared" si="7"/>
        <v>0</v>
      </c>
      <c r="H25" s="463">
        <f t="shared" si="8"/>
        <v>0</v>
      </c>
      <c r="I25" s="463">
        <f t="shared" si="9"/>
        <v>0</v>
      </c>
      <c r="J25" s="463">
        <f t="shared" si="10"/>
        <v>57.489095544465954</v>
      </c>
      <c r="K25" s="463">
        <f t="shared" si="11"/>
        <v>0</v>
      </c>
      <c r="L25" s="463">
        <f t="shared" si="12"/>
        <v>0</v>
      </c>
      <c r="M25" s="463">
        <f t="shared" si="13"/>
        <v>0</v>
      </c>
      <c r="N25" s="463">
        <f t="shared" si="14"/>
        <v>0</v>
      </c>
      <c r="O25" s="463">
        <f t="shared" si="15"/>
        <v>0</v>
      </c>
      <c r="P25" s="464">
        <f t="shared" si="16"/>
        <v>0</v>
      </c>
      <c r="Q25" s="462">
        <f t="shared" ca="1" si="17"/>
        <v>76165.192768593493</v>
      </c>
    </row>
    <row r="26" spans="1:17" s="468" customFormat="1">
      <c r="A26" s="466" t="s">
        <v>574</v>
      </c>
      <c r="B26" s="823">
        <f t="shared" ca="1" si="2"/>
        <v>8.0477412422282235</v>
      </c>
      <c r="C26" s="467">
        <f t="shared" ca="1" si="3"/>
        <v>0</v>
      </c>
      <c r="D26" s="467">
        <f t="shared" si="4"/>
        <v>13.916500690746544</v>
      </c>
      <c r="E26" s="467">
        <f t="shared" si="5"/>
        <v>491.77293075591376</v>
      </c>
      <c r="F26" s="467">
        <f t="shared" si="6"/>
        <v>0</v>
      </c>
      <c r="G26" s="467">
        <f t="shared" si="7"/>
        <v>154369.35744308666</v>
      </c>
      <c r="H26" s="467">
        <f t="shared" si="8"/>
        <v>25879.652317749875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180762.74693352543</v>
      </c>
    </row>
    <row r="27" spans="1:17">
      <c r="A27" s="462" t="s">
        <v>564</v>
      </c>
      <c r="B27" s="463">
        <f t="shared" ca="1" si="2"/>
        <v>153.05887607424711</v>
      </c>
      <c r="C27" s="463">
        <f t="shared" ca="1" si="3"/>
        <v>0</v>
      </c>
      <c r="D27" s="463">
        <f t="shared" si="4"/>
        <v>0</v>
      </c>
      <c r="E27" s="463">
        <f t="shared" si="5"/>
        <v>0</v>
      </c>
      <c r="F27" s="463">
        <f t="shared" si="6"/>
        <v>0</v>
      </c>
      <c r="G27" s="463">
        <f t="shared" si="7"/>
        <v>6046.8407156617977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6199.8995917360444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124705.82212398574</v>
      </c>
      <c r="C31" s="473">
        <f t="shared" ca="1" si="18"/>
        <v>12.108870247195473</v>
      </c>
      <c r="D31" s="473">
        <f t="shared" ca="1" si="18"/>
        <v>267013.14056084084</v>
      </c>
      <c r="E31" s="473">
        <f t="shared" si="18"/>
        <v>5527.733834525452</v>
      </c>
      <c r="F31" s="473">
        <f t="shared" ca="1" si="18"/>
        <v>40938.441985400757</v>
      </c>
      <c r="G31" s="473">
        <f t="shared" si="18"/>
        <v>160416.19815874845</v>
      </c>
      <c r="H31" s="473">
        <f t="shared" si="18"/>
        <v>25879.652317749875</v>
      </c>
      <c r="I31" s="473">
        <f t="shared" si="18"/>
        <v>0</v>
      </c>
      <c r="J31" s="473">
        <f t="shared" si="18"/>
        <v>526.82185729976891</v>
      </c>
      <c r="K31" s="473">
        <f t="shared" si="18"/>
        <v>0</v>
      </c>
      <c r="L31" s="473">
        <f t="shared" ca="1" si="18"/>
        <v>0</v>
      </c>
      <c r="M31" s="473">
        <f t="shared" si="18"/>
        <v>0</v>
      </c>
      <c r="N31" s="473">
        <f t="shared" ca="1" si="18"/>
        <v>0</v>
      </c>
      <c r="O31" s="473">
        <f t="shared" si="18"/>
        <v>0</v>
      </c>
      <c r="P31" s="474">
        <f t="shared" si="18"/>
        <v>0</v>
      </c>
      <c r="Q31" s="474">
        <f t="shared" ca="1" si="18"/>
        <v>625019.91970879806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0.19034434652359239</v>
      </c>
      <c r="C17" s="513">
        <f ca="1">'EF ele_warmte'!B22</f>
        <v>0.23302293259207782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3</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4.6900000000000004</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0.19034434652359239</v>
      </c>
      <c r="C17" s="513">
        <f ca="1">'EF ele_warmte'!B22</f>
        <v>0.23302293259207782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0.19034434652359239</v>
      </c>
      <c r="C29" s="514">
        <f ca="1">'EF ele_warmte'!B22</f>
        <v>0.23302293259207782</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31005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52776</v>
      </c>
      <c r="C9" s="338">
        <v>53799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4566</v>
      </c>
    </row>
    <row r="15" spans="1:6">
      <c r="A15" s="1212" t="s">
        <v>184</v>
      </c>
      <c r="B15" s="335">
        <v>762</v>
      </c>
    </row>
    <row r="16" spans="1:6">
      <c r="A16" s="1212" t="s">
        <v>6</v>
      </c>
      <c r="B16" s="335">
        <v>1312</v>
      </c>
    </row>
    <row r="17" spans="1:6">
      <c r="A17" s="1212" t="s">
        <v>7</v>
      </c>
      <c r="B17" s="335">
        <v>1360</v>
      </c>
    </row>
    <row r="18" spans="1:6">
      <c r="A18" s="1212" t="s">
        <v>8</v>
      </c>
      <c r="B18" s="335">
        <v>1812</v>
      </c>
    </row>
    <row r="19" spans="1:6">
      <c r="A19" s="1212" t="s">
        <v>9</v>
      </c>
      <c r="B19" s="335">
        <v>1727</v>
      </c>
    </row>
    <row r="20" spans="1:6">
      <c r="A20" s="1212" t="s">
        <v>10</v>
      </c>
      <c r="B20" s="335">
        <v>1879</v>
      </c>
    </row>
    <row r="21" spans="1:6">
      <c r="A21" s="1212" t="s">
        <v>11</v>
      </c>
      <c r="B21" s="335">
        <v>4843</v>
      </c>
    </row>
    <row r="22" spans="1:6">
      <c r="A22" s="1212" t="s">
        <v>12</v>
      </c>
      <c r="B22" s="335">
        <v>15329</v>
      </c>
    </row>
    <row r="23" spans="1:6">
      <c r="A23" s="1212" t="s">
        <v>13</v>
      </c>
      <c r="B23" s="335">
        <v>224</v>
      </c>
    </row>
    <row r="24" spans="1:6">
      <c r="A24" s="1212" t="s">
        <v>14</v>
      </c>
      <c r="B24" s="335">
        <v>9</v>
      </c>
    </row>
    <row r="25" spans="1:6">
      <c r="A25" s="1212" t="s">
        <v>15</v>
      </c>
      <c r="B25" s="335">
        <v>1098</v>
      </c>
    </row>
    <row r="26" spans="1:6">
      <c r="A26" s="1212" t="s">
        <v>16</v>
      </c>
      <c r="B26" s="335">
        <v>661</v>
      </c>
    </row>
    <row r="27" spans="1:6">
      <c r="A27" s="1212" t="s">
        <v>17</v>
      </c>
      <c r="B27" s="335">
        <v>145</v>
      </c>
    </row>
    <row r="28" spans="1:6" s="341" customFormat="1">
      <c r="A28" s="1213" t="s">
        <v>18</v>
      </c>
      <c r="B28" s="1213">
        <v>173119</v>
      </c>
    </row>
    <row r="29" spans="1:6">
      <c r="A29" s="1213" t="s">
        <v>836</v>
      </c>
      <c r="B29" s="1213">
        <v>347</v>
      </c>
      <c r="C29" s="341"/>
      <c r="D29" s="341"/>
      <c r="E29" s="341"/>
      <c r="F29" s="341"/>
    </row>
    <row r="30" spans="1:6">
      <c r="A30" s="1208" t="s">
        <v>837</v>
      </c>
      <c r="B30" s="1208">
        <v>70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10</v>
      </c>
      <c r="F35" s="335">
        <v>1055751.0610573101</v>
      </c>
    </row>
    <row r="36" spans="1:6">
      <c r="A36" s="1212" t="s">
        <v>25</v>
      </c>
      <c r="B36" s="1212" t="s">
        <v>27</v>
      </c>
      <c r="C36" s="335">
        <v>13</v>
      </c>
      <c r="D36" s="335">
        <v>2009567.4206813199</v>
      </c>
      <c r="E36" s="335">
        <v>30</v>
      </c>
      <c r="F36" s="335">
        <v>864591.78241909505</v>
      </c>
    </row>
    <row r="37" spans="1:6">
      <c r="A37" s="1212" t="s">
        <v>25</v>
      </c>
      <c r="B37" s="1212" t="s">
        <v>28</v>
      </c>
      <c r="C37" s="335">
        <v>0</v>
      </c>
      <c r="D37" s="335">
        <v>0</v>
      </c>
      <c r="E37" s="335">
        <v>0</v>
      </c>
      <c r="F37" s="335">
        <v>0</v>
      </c>
    </row>
    <row r="38" spans="1:6">
      <c r="A38" s="1212" t="s">
        <v>25</v>
      </c>
      <c r="B38" s="1212" t="s">
        <v>29</v>
      </c>
      <c r="C38" s="335">
        <v>4</v>
      </c>
      <c r="D38" s="335">
        <v>1517554.37761228</v>
      </c>
      <c r="E38" s="335">
        <v>10</v>
      </c>
      <c r="F38" s="335">
        <v>271008.197455802</v>
      </c>
    </row>
    <row r="39" spans="1:6">
      <c r="A39" s="1212" t="s">
        <v>30</v>
      </c>
      <c r="B39" s="1212" t="s">
        <v>31</v>
      </c>
      <c r="C39" s="335">
        <v>43655</v>
      </c>
      <c r="D39" s="335">
        <v>755489310.23849201</v>
      </c>
      <c r="E39" s="335">
        <v>52982</v>
      </c>
      <c r="F39" s="335">
        <v>190010821.55517301</v>
      </c>
    </row>
    <row r="40" spans="1:6">
      <c r="A40" s="1212" t="s">
        <v>30</v>
      </c>
      <c r="B40" s="1212" t="s">
        <v>29</v>
      </c>
      <c r="C40" s="335">
        <v>0</v>
      </c>
      <c r="D40" s="335">
        <v>0</v>
      </c>
      <c r="E40" s="335">
        <v>1</v>
      </c>
      <c r="F40" s="335">
        <v>8779.7116447999997</v>
      </c>
    </row>
    <row r="41" spans="1:6">
      <c r="A41" s="1212" t="s">
        <v>32</v>
      </c>
      <c r="B41" s="1212" t="s">
        <v>33</v>
      </c>
      <c r="C41" s="335">
        <v>416</v>
      </c>
      <c r="D41" s="335">
        <v>13320556.2591173</v>
      </c>
      <c r="E41" s="335">
        <v>798</v>
      </c>
      <c r="F41" s="335">
        <v>15525349.2994687</v>
      </c>
    </row>
    <row r="42" spans="1:6">
      <c r="A42" s="1212" t="s">
        <v>32</v>
      </c>
      <c r="B42" s="1212" t="s">
        <v>34</v>
      </c>
      <c r="C42" s="335">
        <v>3</v>
      </c>
      <c r="D42" s="335">
        <v>6740549.70422542</v>
      </c>
      <c r="E42" s="335">
        <v>3</v>
      </c>
      <c r="F42" s="335">
        <v>3481328.5896358201</v>
      </c>
    </row>
    <row r="43" spans="1:6">
      <c r="A43" s="1212" t="s">
        <v>32</v>
      </c>
      <c r="B43" s="1212" t="s">
        <v>35</v>
      </c>
      <c r="C43" s="335">
        <v>0</v>
      </c>
      <c r="D43" s="335">
        <v>0</v>
      </c>
      <c r="E43" s="335">
        <v>0</v>
      </c>
      <c r="F43" s="335">
        <v>0</v>
      </c>
    </row>
    <row r="44" spans="1:6">
      <c r="A44" s="1212" t="s">
        <v>32</v>
      </c>
      <c r="B44" s="1212" t="s">
        <v>36</v>
      </c>
      <c r="C44" s="335">
        <v>32</v>
      </c>
      <c r="D44" s="335">
        <v>28346512.914209999</v>
      </c>
      <c r="E44" s="335">
        <v>105</v>
      </c>
      <c r="F44" s="335">
        <v>4957184.9143723799</v>
      </c>
    </row>
    <row r="45" spans="1:6">
      <c r="A45" s="1212" t="s">
        <v>32</v>
      </c>
      <c r="B45" s="1212" t="s">
        <v>37</v>
      </c>
      <c r="C45" s="335">
        <v>3</v>
      </c>
      <c r="D45" s="335">
        <v>63284.504963779</v>
      </c>
      <c r="E45" s="335">
        <v>16</v>
      </c>
      <c r="F45" s="335">
        <v>2470719.5938069201</v>
      </c>
    </row>
    <row r="46" spans="1:6">
      <c r="A46" s="1212" t="s">
        <v>32</v>
      </c>
      <c r="B46" s="1212" t="s">
        <v>38</v>
      </c>
      <c r="C46" s="335">
        <v>0</v>
      </c>
      <c r="D46" s="335">
        <v>0</v>
      </c>
      <c r="E46" s="335">
        <v>0</v>
      </c>
      <c r="F46" s="335">
        <v>0</v>
      </c>
    </row>
    <row r="47" spans="1:6">
      <c r="A47" s="1212" t="s">
        <v>32</v>
      </c>
      <c r="B47" s="1212" t="s">
        <v>39</v>
      </c>
      <c r="C47" s="335">
        <v>51</v>
      </c>
      <c r="D47" s="335">
        <v>1902231.48489317</v>
      </c>
      <c r="E47" s="335">
        <v>60</v>
      </c>
      <c r="F47" s="335">
        <v>3955817.3424574099</v>
      </c>
    </row>
    <row r="48" spans="1:6">
      <c r="A48" s="1212" t="s">
        <v>32</v>
      </c>
      <c r="B48" s="1212" t="s">
        <v>29</v>
      </c>
      <c r="C48" s="335">
        <v>137</v>
      </c>
      <c r="D48" s="335">
        <v>140766496.098079</v>
      </c>
      <c r="E48" s="335">
        <v>139</v>
      </c>
      <c r="F48" s="335">
        <v>57951643.932382204</v>
      </c>
    </row>
    <row r="49" spans="1:6">
      <c r="A49" s="1212" t="s">
        <v>32</v>
      </c>
      <c r="B49" s="1212" t="s">
        <v>40</v>
      </c>
      <c r="C49" s="335">
        <v>20</v>
      </c>
      <c r="D49" s="335">
        <v>359379.144089029</v>
      </c>
      <c r="E49" s="335">
        <v>40</v>
      </c>
      <c r="F49" s="335">
        <v>338071.85209230398</v>
      </c>
    </row>
    <row r="50" spans="1:6">
      <c r="A50" s="1212" t="s">
        <v>32</v>
      </c>
      <c r="B50" s="1212" t="s">
        <v>41</v>
      </c>
      <c r="C50" s="335">
        <v>100</v>
      </c>
      <c r="D50" s="335">
        <v>15599426.9800949</v>
      </c>
      <c r="E50" s="335">
        <v>127</v>
      </c>
      <c r="F50" s="335">
        <v>20873077.715736602</v>
      </c>
    </row>
    <row r="51" spans="1:6">
      <c r="A51" s="1212" t="s">
        <v>42</v>
      </c>
      <c r="B51" s="1212" t="s">
        <v>43</v>
      </c>
      <c r="C51" s="335">
        <v>138</v>
      </c>
      <c r="D51" s="335">
        <v>17405648.050842099</v>
      </c>
      <c r="E51" s="335">
        <v>318</v>
      </c>
      <c r="F51" s="335">
        <v>7471605.73543444</v>
      </c>
    </row>
    <row r="52" spans="1:6">
      <c r="A52" s="1212" t="s">
        <v>42</v>
      </c>
      <c r="B52" s="1212" t="s">
        <v>29</v>
      </c>
      <c r="C52" s="335">
        <v>17</v>
      </c>
      <c r="D52" s="335">
        <v>690831.37515214505</v>
      </c>
      <c r="E52" s="335">
        <v>33</v>
      </c>
      <c r="F52" s="335">
        <v>1344211.92878718</v>
      </c>
    </row>
    <row r="53" spans="1:6">
      <c r="A53" s="1212" t="s">
        <v>44</v>
      </c>
      <c r="B53" s="1212" t="s">
        <v>45</v>
      </c>
      <c r="C53" s="335">
        <v>1400</v>
      </c>
      <c r="D53" s="335">
        <v>36275224.985658497</v>
      </c>
      <c r="E53" s="335">
        <v>2218</v>
      </c>
      <c r="F53" s="335">
        <v>11680261.954109199</v>
      </c>
    </row>
    <row r="54" spans="1:6">
      <c r="A54" s="1212" t="s">
        <v>46</v>
      </c>
      <c r="B54" s="1212" t="s">
        <v>47</v>
      </c>
      <c r="C54" s="335">
        <v>0</v>
      </c>
      <c r="D54" s="335">
        <v>0</v>
      </c>
      <c r="E54" s="335">
        <v>2</v>
      </c>
      <c r="F54" s="335">
        <v>8394637</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483</v>
      </c>
      <c r="D57" s="335">
        <v>57708338.155958302</v>
      </c>
      <c r="E57" s="335">
        <v>731</v>
      </c>
      <c r="F57" s="335">
        <v>31282908.9459082</v>
      </c>
    </row>
    <row r="58" spans="1:6">
      <c r="A58" s="1212" t="s">
        <v>49</v>
      </c>
      <c r="B58" s="1212" t="s">
        <v>51</v>
      </c>
      <c r="C58" s="335">
        <v>332</v>
      </c>
      <c r="D58" s="335">
        <v>47469824.049875997</v>
      </c>
      <c r="E58" s="335">
        <v>429</v>
      </c>
      <c r="F58" s="335">
        <v>29932998.049075302</v>
      </c>
    </row>
    <row r="59" spans="1:6">
      <c r="A59" s="1212" t="s">
        <v>49</v>
      </c>
      <c r="B59" s="1212" t="s">
        <v>52</v>
      </c>
      <c r="C59" s="335">
        <v>1273</v>
      </c>
      <c r="D59" s="335">
        <v>56730855.128713697</v>
      </c>
      <c r="E59" s="335">
        <v>2086</v>
      </c>
      <c r="F59" s="335">
        <v>77572779.366189107</v>
      </c>
    </row>
    <row r="60" spans="1:6">
      <c r="A60" s="1212" t="s">
        <v>49</v>
      </c>
      <c r="B60" s="1212" t="s">
        <v>53</v>
      </c>
      <c r="C60" s="335">
        <v>966</v>
      </c>
      <c r="D60" s="335">
        <v>85347797.967699796</v>
      </c>
      <c r="E60" s="335">
        <v>1141</v>
      </c>
      <c r="F60" s="335">
        <v>48499052.807636604</v>
      </c>
    </row>
    <row r="61" spans="1:6">
      <c r="A61" s="1212" t="s">
        <v>49</v>
      </c>
      <c r="B61" s="1212" t="s">
        <v>54</v>
      </c>
      <c r="C61" s="335">
        <v>1783</v>
      </c>
      <c r="D61" s="335">
        <v>135457176.185213</v>
      </c>
      <c r="E61" s="335">
        <v>3528</v>
      </c>
      <c r="F61" s="335">
        <v>111931716.76628099</v>
      </c>
    </row>
    <row r="62" spans="1:6">
      <c r="A62" s="1212" t="s">
        <v>49</v>
      </c>
      <c r="B62" s="1212" t="s">
        <v>55</v>
      </c>
      <c r="C62" s="335">
        <v>110</v>
      </c>
      <c r="D62" s="335">
        <v>23605895.071060501</v>
      </c>
      <c r="E62" s="335">
        <v>150</v>
      </c>
      <c r="F62" s="335">
        <v>7665929.30965563</v>
      </c>
    </row>
    <row r="63" spans="1:6">
      <c r="A63" s="1212" t="s">
        <v>49</v>
      </c>
      <c r="B63" s="1212" t="s">
        <v>29</v>
      </c>
      <c r="C63" s="335">
        <v>412</v>
      </c>
      <c r="D63" s="335">
        <v>42205434.986433797</v>
      </c>
      <c r="E63" s="335">
        <v>345</v>
      </c>
      <c r="F63" s="335">
        <v>19249387.196986601</v>
      </c>
    </row>
    <row r="64" spans="1:6">
      <c r="A64" s="1212" t="s">
        <v>56</v>
      </c>
      <c r="B64" s="1212" t="s">
        <v>57</v>
      </c>
      <c r="C64" s="335">
        <v>0</v>
      </c>
      <c r="D64" s="335">
        <v>0</v>
      </c>
      <c r="E64" s="335">
        <v>0</v>
      </c>
      <c r="F64" s="335">
        <v>0</v>
      </c>
    </row>
    <row r="65" spans="1:6">
      <c r="A65" s="1212" t="s">
        <v>56</v>
      </c>
      <c r="B65" s="1212" t="s">
        <v>29</v>
      </c>
      <c r="C65" s="335">
        <v>17</v>
      </c>
      <c r="D65" s="335">
        <v>1831003.7840217201</v>
      </c>
      <c r="E65" s="335">
        <v>14</v>
      </c>
      <c r="F65" s="335">
        <v>1436468.5094729599</v>
      </c>
    </row>
    <row r="66" spans="1:6">
      <c r="A66" s="1212" t="s">
        <v>56</v>
      </c>
      <c r="B66" s="1212" t="s">
        <v>58</v>
      </c>
      <c r="C66" s="335">
        <v>6</v>
      </c>
      <c r="D66" s="335">
        <v>75782.237501709693</v>
      </c>
      <c r="E66" s="335">
        <v>9</v>
      </c>
      <c r="F66" s="335">
        <v>87252.347680000894</v>
      </c>
    </row>
    <row r="67" spans="1:6">
      <c r="A67" s="1213" t="s">
        <v>56</v>
      </c>
      <c r="B67" s="1213" t="s">
        <v>59</v>
      </c>
      <c r="C67" s="335">
        <v>0</v>
      </c>
      <c r="D67" s="335">
        <v>0</v>
      </c>
      <c r="E67" s="335">
        <v>0</v>
      </c>
      <c r="F67" s="335">
        <v>0</v>
      </c>
    </row>
    <row r="68" spans="1:6">
      <c r="A68" s="1208" t="s">
        <v>56</v>
      </c>
      <c r="B68" s="1208" t="s">
        <v>60</v>
      </c>
      <c r="C68" s="335">
        <v>15</v>
      </c>
      <c r="D68" s="335">
        <v>505257.91199791903</v>
      </c>
      <c r="E68" s="335">
        <v>69</v>
      </c>
      <c r="F68" s="335">
        <v>1595703.90296925</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547319182</v>
      </c>
      <c r="E73" s="335">
        <v>578366420.49628794</v>
      </c>
    </row>
    <row r="74" spans="1:6">
      <c r="A74" s="1212" t="s">
        <v>64</v>
      </c>
      <c r="B74" s="1212" t="s">
        <v>727</v>
      </c>
      <c r="C74" s="1212" t="s">
        <v>728</v>
      </c>
      <c r="D74" s="335">
        <v>55801486.119294867</v>
      </c>
      <c r="E74" s="335">
        <v>56381732.594612494</v>
      </c>
    </row>
    <row r="75" spans="1:6">
      <c r="A75" s="1212" t="s">
        <v>65</v>
      </c>
      <c r="B75" s="1212" t="s">
        <v>725</v>
      </c>
      <c r="C75" s="1212" t="s">
        <v>729</v>
      </c>
      <c r="D75" s="335">
        <v>144545746</v>
      </c>
      <c r="E75" s="335">
        <v>156209294.93094966</v>
      </c>
    </row>
    <row r="76" spans="1:6">
      <c r="A76" s="1212" t="s">
        <v>65</v>
      </c>
      <c r="B76" s="1212" t="s">
        <v>727</v>
      </c>
      <c r="C76" s="1212" t="s">
        <v>730</v>
      </c>
      <c r="D76" s="335">
        <v>5855660.1192948632</v>
      </c>
      <c r="E76" s="335">
        <v>5961095.4834503606</v>
      </c>
    </row>
    <row r="77" spans="1:6">
      <c r="A77" s="1212" t="s">
        <v>66</v>
      </c>
      <c r="B77" s="1212" t="s">
        <v>725</v>
      </c>
      <c r="C77" s="1212" t="s">
        <v>731</v>
      </c>
      <c r="D77" s="335">
        <v>82436381</v>
      </c>
      <c r="E77" s="335">
        <v>97773621.040989205</v>
      </c>
    </row>
    <row r="78" spans="1:6">
      <c r="A78" s="1208" t="s">
        <v>66</v>
      </c>
      <c r="B78" s="1208" t="s">
        <v>727</v>
      </c>
      <c r="C78" s="1208" t="s">
        <v>732</v>
      </c>
      <c r="D78" s="1208">
        <v>13269797</v>
      </c>
      <c r="E78" s="1208">
        <v>15216620.008963902</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6249243.7614102727</v>
      </c>
      <c r="C83" s="335">
        <v>6286526.8349179998</v>
      </c>
    </row>
    <row r="84" spans="1:6">
      <c r="A84" s="1208" t="s">
        <v>337</v>
      </c>
      <c r="B84" s="338">
        <v>228117.9270337699</v>
      </c>
      <c r="C84" s="338">
        <v>234443.89398521619</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61829.192977079925</v>
      </c>
    </row>
    <row r="91" spans="1:6">
      <c r="A91" s="1212" t="s">
        <v>68</v>
      </c>
      <c r="B91" s="335">
        <v>11390.137425102579</v>
      </c>
    </row>
    <row r="92" spans="1:6">
      <c r="A92" s="1208" t="s">
        <v>69</v>
      </c>
      <c r="B92" s="338">
        <v>17661.352978264415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33975</v>
      </c>
    </row>
    <row r="98" spans="1:6">
      <c r="A98" s="1212" t="s">
        <v>72</v>
      </c>
      <c r="B98" s="335">
        <v>8</v>
      </c>
    </row>
    <row r="99" spans="1:6">
      <c r="A99" s="1212" t="s">
        <v>73</v>
      </c>
      <c r="B99" s="335">
        <v>191</v>
      </c>
    </row>
    <row r="100" spans="1:6">
      <c r="A100" s="1212" t="s">
        <v>74</v>
      </c>
      <c r="B100" s="335">
        <v>3941</v>
      </c>
    </row>
    <row r="101" spans="1:6">
      <c r="A101" s="1212" t="s">
        <v>75</v>
      </c>
      <c r="B101" s="335">
        <v>356</v>
      </c>
    </row>
    <row r="102" spans="1:6">
      <c r="A102" s="1212" t="s">
        <v>76</v>
      </c>
      <c r="B102" s="335">
        <v>1147</v>
      </c>
    </row>
    <row r="103" spans="1:6">
      <c r="A103" s="1212" t="s">
        <v>77</v>
      </c>
      <c r="B103" s="335">
        <v>613</v>
      </c>
    </row>
    <row r="104" spans="1:6">
      <c r="A104" s="1212" t="s">
        <v>78</v>
      </c>
      <c r="B104" s="335">
        <v>8219</v>
      </c>
    </row>
    <row r="105" spans="1:6">
      <c r="A105" s="1208" t="s">
        <v>79</v>
      </c>
      <c r="B105" s="1208">
        <v>33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3</v>
      </c>
    </row>
    <row r="111" spans="1:6">
      <c r="A111" s="1226" t="s">
        <v>671</v>
      </c>
      <c r="B111" s="1227">
        <v>1</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68</v>
      </c>
      <c r="C123" s="335">
        <v>68</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398</v>
      </c>
    </row>
    <row r="130" spans="1:6">
      <c r="A130" s="1212" t="s">
        <v>295</v>
      </c>
      <c r="B130" s="335">
        <v>8</v>
      </c>
    </row>
    <row r="131" spans="1:6">
      <c r="A131" s="1212" t="s">
        <v>296</v>
      </c>
      <c r="B131" s="335">
        <v>16</v>
      </c>
    </row>
    <row r="132" spans="1:6">
      <c r="A132" s="1208" t="s">
        <v>297</v>
      </c>
      <c r="B132" s="338">
        <v>14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655159.05463748018</v>
      </c>
      <c r="C3" s="43" t="s">
        <v>170</v>
      </c>
      <c r="D3" s="43"/>
      <c r="E3" s="156"/>
      <c r="F3" s="43"/>
      <c r="G3" s="43"/>
      <c r="H3" s="43"/>
      <c r="I3" s="43"/>
      <c r="J3" s="43"/>
      <c r="K3" s="96"/>
    </row>
    <row r="4" spans="1:11">
      <c r="A4" s="366" t="s">
        <v>171</v>
      </c>
      <c r="B4" s="49">
        <f>IF(ISERROR('SEAP template'!B69),0,'SEAP template'!B69)</f>
        <v>90905.808380446921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5.8547011813759555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0.19034434652359239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12.108870247195473</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51.964285714285715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0.23302293259207782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8394.6370000000006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8394.6370000000006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0.19034434652359239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1597.8716940677702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190019.6012668178</v>
      </c>
      <c r="C5" s="17">
        <f>IF(ISERROR('Eigen informatie GS &amp; warmtenet'!B57),0,'Eigen informatie GS &amp; warmtenet'!B57)</f>
        <v>0</v>
      </c>
      <c r="D5" s="30">
        <f>(SUM(HH_hh_gas_kWh,HH_rest_gas_kWh)/1000)*0.902</f>
        <v>681451.35783511982</v>
      </c>
      <c r="E5" s="17">
        <f>B46*B57</f>
        <v>8014.9848109671002</v>
      </c>
      <c r="F5" s="17">
        <f>B51*B62</f>
        <v>0</v>
      </c>
      <c r="G5" s="18"/>
      <c r="H5" s="17"/>
      <c r="I5" s="17"/>
      <c r="J5" s="17">
        <f>B50*B61+C50*C61</f>
        <v>0</v>
      </c>
      <c r="K5" s="17"/>
      <c r="L5" s="17"/>
      <c r="M5" s="17"/>
      <c r="N5" s="17">
        <f>B48*B59+C48*C59</f>
        <v>56004.943241462854</v>
      </c>
      <c r="O5" s="17">
        <f>B69*B70*B71</f>
        <v>730.07666666666671</v>
      </c>
      <c r="P5" s="17">
        <f>B77*B78*B79/1000-B77*B78*B79/1000/B80</f>
        <v>1582.5333333333333</v>
      </c>
    </row>
    <row r="6" spans="1:16">
      <c r="A6" s="16" t="s">
        <v>634</v>
      </c>
      <c r="B6" s="831">
        <f>kWh_PV_kleiner_dan_10kW</f>
        <v>11390.137425102579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201409.73869192039</v>
      </c>
      <c r="C8" s="21">
        <f>C5</f>
        <v>0</v>
      </c>
      <c r="D8" s="21">
        <f>D5</f>
        <v>681451.35783511982</v>
      </c>
      <c r="E8" s="21">
        <f>E5</f>
        <v>8014.9848109671002</v>
      </c>
      <c r="F8" s="21">
        <f>F5</f>
        <v>0</v>
      </c>
      <c r="G8" s="21"/>
      <c r="H8" s="21"/>
      <c r="I8" s="21"/>
      <c r="J8" s="21">
        <f>J5</f>
        <v>0</v>
      </c>
      <c r="K8" s="21"/>
      <c r="L8" s="21">
        <f>L5</f>
        <v>0</v>
      </c>
      <c r="M8" s="21">
        <f>M5</f>
        <v>0</v>
      </c>
      <c r="N8" s="21">
        <f>N5</f>
        <v>56004.943241462854</v>
      </c>
      <c r="O8" s="21">
        <f>O5</f>
        <v>730.07666666666671</v>
      </c>
      <c r="P8" s="21">
        <f>P5</f>
        <v>1582.5333333333333</v>
      </c>
    </row>
    <row r="9" spans="1:16">
      <c r="B9" s="19"/>
      <c r="C9" s="19"/>
      <c r="D9" s="261"/>
      <c r="E9" s="19"/>
      <c r="F9" s="19"/>
      <c r="G9" s="19"/>
      <c r="H9" s="19"/>
      <c r="I9" s="19"/>
      <c r="J9" s="19"/>
      <c r="K9" s="19"/>
      <c r="L9" s="19"/>
      <c r="M9" s="19"/>
      <c r="N9" s="19"/>
      <c r="O9" s="19"/>
      <c r="P9" s="19"/>
    </row>
    <row r="10" spans="1:16">
      <c r="A10" s="24" t="s">
        <v>214</v>
      </c>
      <c r="B10" s="25">
        <f ca="1">'EF ele_warmte'!B12</f>
        <v>0.19034434652359239</v>
      </c>
      <c r="C10" s="25">
        <f ca="1">'EF ele_warmte'!B22</f>
        <v>0.23302293259207782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38337.205094801087</v>
      </c>
      <c r="C12" s="23">
        <f ca="1">C10*C8</f>
        <v>0</v>
      </c>
      <c r="D12" s="23">
        <f>D8*D10</f>
        <v>137653.17428269421</v>
      </c>
      <c r="E12" s="23">
        <f>E10*E8</f>
        <v>1819.4015520895318</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33975</v>
      </c>
      <c r="C18" s="168" t="s">
        <v>111</v>
      </c>
      <c r="D18" s="230"/>
      <c r="E18" s="15"/>
    </row>
    <row r="19" spans="1:7">
      <c r="A19" s="173" t="s">
        <v>72</v>
      </c>
      <c r="B19" s="37">
        <f>aantalw2001_ander</f>
        <v>8</v>
      </c>
      <c r="C19" s="168" t="s">
        <v>111</v>
      </c>
      <c r="D19" s="231"/>
      <c r="E19" s="15"/>
    </row>
    <row r="20" spans="1:7">
      <c r="A20" s="173" t="s">
        <v>73</v>
      </c>
      <c r="B20" s="37">
        <f>aantalw2001_propaan</f>
        <v>191</v>
      </c>
      <c r="C20" s="169">
        <f>IF(ISERROR(B20/SUM($B$20,$B$21,$B$22)*100),0,B20/SUM($B$20,$B$21,$B$22)*100)</f>
        <v>4.2557932263814617</v>
      </c>
      <c r="D20" s="231"/>
      <c r="E20" s="15"/>
    </row>
    <row r="21" spans="1:7">
      <c r="A21" s="173" t="s">
        <v>74</v>
      </c>
      <c r="B21" s="37">
        <f>aantalw2001_elektriciteit</f>
        <v>3941</v>
      </c>
      <c r="C21" s="169">
        <f>IF(ISERROR(B21/SUM($B$20,$B$21,$B$22)*100),0,B21/SUM($B$20,$B$21,$B$22)*100)</f>
        <v>87.811942959001783</v>
      </c>
      <c r="D21" s="231"/>
      <c r="E21" s="15"/>
    </row>
    <row r="22" spans="1:7">
      <c r="A22" s="173" t="s">
        <v>75</v>
      </c>
      <c r="B22" s="37">
        <f>aantalw2001_hout</f>
        <v>356</v>
      </c>
      <c r="C22" s="169">
        <f>IF(ISERROR(B22/SUM($B$20,$B$21,$B$22)*100),0,B22/SUM($B$20,$B$21,$B$22)*100)</f>
        <v>7.9322638146167552</v>
      </c>
      <c r="D22" s="231"/>
      <c r="E22" s="15"/>
    </row>
    <row r="23" spans="1:7">
      <c r="A23" s="173" t="s">
        <v>76</v>
      </c>
      <c r="B23" s="37">
        <f>aantalw2001_niet_gespec</f>
        <v>1147</v>
      </c>
      <c r="C23" s="168" t="s">
        <v>111</v>
      </c>
      <c r="D23" s="230"/>
      <c r="E23" s="15"/>
    </row>
    <row r="24" spans="1:7">
      <c r="A24" s="173" t="s">
        <v>77</v>
      </c>
      <c r="B24" s="37">
        <f>aantalw2001_steenkool</f>
        <v>613</v>
      </c>
      <c r="C24" s="168" t="s">
        <v>111</v>
      </c>
      <c r="D24" s="231"/>
      <c r="E24" s="15"/>
    </row>
    <row r="25" spans="1:7">
      <c r="A25" s="173" t="s">
        <v>78</v>
      </c>
      <c r="B25" s="37">
        <f>aantalw2001_stookolie</f>
        <v>8219</v>
      </c>
      <c r="C25" s="168" t="s">
        <v>111</v>
      </c>
      <c r="D25" s="230"/>
      <c r="E25" s="52"/>
    </row>
    <row r="26" spans="1:7">
      <c r="A26" s="173" t="s">
        <v>79</v>
      </c>
      <c r="B26" s="37">
        <f>aantalw2001_WP</f>
        <v>33</v>
      </c>
      <c r="C26" s="168" t="s">
        <v>111</v>
      </c>
      <c r="D26" s="230"/>
      <c r="E26" s="15"/>
    </row>
    <row r="27" spans="1:7" s="15" customFormat="1">
      <c r="A27" s="173"/>
      <c r="B27" s="29"/>
      <c r="C27" s="36"/>
      <c r="D27" s="230"/>
    </row>
    <row r="28" spans="1:7" s="15" customFormat="1">
      <c r="A28" s="232" t="s">
        <v>745</v>
      </c>
      <c r="B28" s="37">
        <f>aantalHuishoudens2011</f>
        <v>52776</v>
      </c>
      <c r="C28" s="36"/>
      <c r="D28" s="230"/>
    </row>
    <row r="29" spans="1:7" s="15" customFormat="1">
      <c r="A29" s="232" t="s">
        <v>746</v>
      </c>
      <c r="B29" s="37">
        <f>SUM(HH_hh_gas_aantal,HH_rest_gas_aantal)</f>
        <v>43655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43655</v>
      </c>
      <c r="C32" s="169">
        <f>IF(ISERROR(B32/SUM($B$32,$B$34,$B$35,$B$36,$B$38,$B$39)*100),0,B32/SUM($B$32,$B$34,$B$35,$B$36,$B$38,$B$39)*100)</f>
        <v>82.847816598030093</v>
      </c>
      <c r="D32" s="235"/>
      <c r="G32" s="15"/>
    </row>
    <row r="33" spans="1:7">
      <c r="A33" s="173" t="s">
        <v>72</v>
      </c>
      <c r="B33" s="34" t="s">
        <v>111</v>
      </c>
      <c r="C33" s="169"/>
      <c r="D33" s="235"/>
      <c r="G33" s="15"/>
    </row>
    <row r="34" spans="1:7">
      <c r="A34" s="173" t="s">
        <v>73</v>
      </c>
      <c r="B34" s="33">
        <f>IF((($B$28-$B$32-$B$39-$B$77-$B$38)*C20/100)&lt;0,0,($B$28-$B$32-$B$39-$B$77-$B$38)*C20/100)</f>
        <v>384.63859180035649</v>
      </c>
      <c r="C34" s="169">
        <f>IF(ISERROR(B34/SUM($B$32,$B$34,$B$35,$B$36,$B$38,$B$39)*100),0,B34/SUM($B$32,$B$34,$B$35,$B$36,$B$38,$B$39)*100)</f>
        <v>0.72996145939756041</v>
      </c>
      <c r="D34" s="235"/>
      <c r="G34" s="15"/>
    </row>
    <row r="35" spans="1:7">
      <c r="A35" s="173" t="s">
        <v>74</v>
      </c>
      <c r="B35" s="33">
        <f>IF((($B$28-$B$32-$B$39-$B$77-$B$38)*C21/100)&lt;0,0,($B$28-$B$32-$B$39-$B$77-$B$38)*C21/100)</f>
        <v>7936.4434046345814</v>
      </c>
      <c r="C35" s="169">
        <f>IF(ISERROR(B35/SUM($B$32,$B$34,$B$35,$B$36,$B$38,$B$39)*100),0,B35/SUM($B$32,$B$34,$B$35,$B$36,$B$38,$B$39)*100)</f>
        <v>15.061665505161182</v>
      </c>
      <c r="D35" s="235"/>
      <c r="G35" s="15"/>
    </row>
    <row r="36" spans="1:7">
      <c r="A36" s="173" t="s">
        <v>75</v>
      </c>
      <c r="B36" s="33">
        <f>IF((($B$28-$B$32-$B$39-$B$77-$B$38)*C22/100)&lt;0,0,($B$28-$B$32-$B$39-$B$77-$B$38)*C22/100)</f>
        <v>716.91800356506235</v>
      </c>
      <c r="C36" s="169">
        <f>IF(ISERROR(B36/SUM($B$32,$B$34,$B$35,$B$36,$B$38,$B$39)*100),0,B36/SUM($B$32,$B$34,$B$35,$B$36,$B$38,$B$39)*100)</f>
        <v>1.3605564374111596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43655</v>
      </c>
      <c r="C44" s="34" t="s">
        <v>111</v>
      </c>
      <c r="D44" s="176"/>
    </row>
    <row r="45" spans="1:7">
      <c r="A45" s="173" t="s">
        <v>72</v>
      </c>
      <c r="B45" s="33" t="str">
        <f t="shared" si="0"/>
        <v>-</v>
      </c>
      <c r="C45" s="34" t="s">
        <v>111</v>
      </c>
      <c r="D45" s="176"/>
    </row>
    <row r="46" spans="1:7">
      <c r="A46" s="173" t="s">
        <v>73</v>
      </c>
      <c r="B46" s="33">
        <f t="shared" si="0"/>
        <v>384.63859180035649</v>
      </c>
      <c r="C46" s="34" t="s">
        <v>111</v>
      </c>
      <c r="D46" s="176"/>
    </row>
    <row r="47" spans="1:7">
      <c r="A47" s="173" t="s">
        <v>74</v>
      </c>
      <c r="B47" s="33">
        <f t="shared" si="0"/>
        <v>7936.4434046345814</v>
      </c>
      <c r="C47" s="34" t="s">
        <v>111</v>
      </c>
      <c r="D47" s="176"/>
    </row>
    <row r="48" spans="1:7">
      <c r="A48" s="173" t="s">
        <v>75</v>
      </c>
      <c r="B48" s="33">
        <f t="shared" si="0"/>
        <v>716.91800356506235</v>
      </c>
      <c r="C48" s="33">
        <f>B48*10</f>
        <v>7169.1800356506237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467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326134.77244173241</v>
      </c>
      <c r="C5" s="17">
        <f>IF(ISERROR('Eigen informatie GS &amp; warmtenet'!B58),0,'Eigen informatie GS &amp; warmtenet'!B58)</f>
        <v>0</v>
      </c>
      <c r="D5" s="30">
        <f>SUM(D6:D12)</f>
        <v>404569.84003354947</v>
      </c>
      <c r="E5" s="17">
        <f>SUM(E6:E12)</f>
        <v>4701.3681515960989</v>
      </c>
      <c r="F5" s="17">
        <f>SUM(F6:F12)</f>
        <v>65245.633006832242</v>
      </c>
      <c r="G5" s="18"/>
      <c r="H5" s="17"/>
      <c r="I5" s="17"/>
      <c r="J5" s="17">
        <f>SUM(J6:J12)</f>
        <v>0</v>
      </c>
      <c r="K5" s="17"/>
      <c r="L5" s="17"/>
      <c r="M5" s="17"/>
      <c r="N5" s="17">
        <f>SUM(N6:N12)</f>
        <v>23918.628542694994</v>
      </c>
      <c r="O5" s="17">
        <f>B38*B39*B40</f>
        <v>12.506666666666668</v>
      </c>
      <c r="P5" s="17">
        <f>B46*B47*B48/1000-B46*B47*B48/1000/B49</f>
        <v>305.06666666666666</v>
      </c>
      <c r="R5" s="32"/>
    </row>
    <row r="6" spans="1:18">
      <c r="A6" s="32" t="s">
        <v>54</v>
      </c>
      <c r="B6" s="37">
        <f>B26</f>
        <v>111931.716766281</v>
      </c>
      <c r="C6" s="33"/>
      <c r="D6" s="37">
        <f>IF(ISERROR(TER_kantoor_gas_kWh/1000),0,TER_kantoor_gas_kWh/1000)*0.902</f>
        <v>122182.37291906212</v>
      </c>
      <c r="E6" s="33">
        <f>$C$26*'E Balans VL '!I12/100/3.6*1000000</f>
        <v>434.87841696216202</v>
      </c>
      <c r="F6" s="33">
        <f>$C$26*('E Balans VL '!L12+'E Balans VL '!N12)/100/3.6*1000000</f>
        <v>17023.795622730428</v>
      </c>
      <c r="G6" s="34"/>
      <c r="H6" s="33"/>
      <c r="I6" s="33"/>
      <c r="J6" s="33">
        <f>$C$26*('E Balans VL '!D12+'E Balans VL '!E12)/100/3.6*1000000</f>
        <v>0</v>
      </c>
      <c r="K6" s="33"/>
      <c r="L6" s="33"/>
      <c r="M6" s="33"/>
      <c r="N6" s="33">
        <f>$C$26*'E Balans VL '!Y12/100/3.6*1000000</f>
        <v>61.687785027664546</v>
      </c>
      <c r="O6" s="33"/>
      <c r="P6" s="33"/>
      <c r="R6" s="32"/>
    </row>
    <row r="7" spans="1:18">
      <c r="A7" s="32" t="s">
        <v>53</v>
      </c>
      <c r="B7" s="37">
        <f t="shared" ref="B7:B12" si="0">B27</f>
        <v>48499.052807636603</v>
      </c>
      <c r="C7" s="33"/>
      <c r="D7" s="37">
        <f>IF(ISERROR(TER_horeca_gas_kWh/1000),0,TER_horeca_gas_kWh/1000)*0.902</f>
        <v>76983.713766865214</v>
      </c>
      <c r="E7" s="33">
        <f>$C$27*'E Balans VL '!I9/100/3.6*1000000</f>
        <v>2731.9646111525685</v>
      </c>
      <c r="F7" s="33">
        <f>$C$27*('E Balans VL '!L9+'E Balans VL '!N9)/100/3.6*1000000</f>
        <v>13984.223250704454</v>
      </c>
      <c r="G7" s="34"/>
      <c r="H7" s="33"/>
      <c r="I7" s="33"/>
      <c r="J7" s="33">
        <f>$C$27*('E Balans VL '!D9+'E Balans VL '!E9)/100/3.6*1000000</f>
        <v>0</v>
      </c>
      <c r="K7" s="33"/>
      <c r="L7" s="33"/>
      <c r="M7" s="33"/>
      <c r="N7" s="33">
        <f>$C$27*'E Balans VL '!Y9/100/3.6*1000000</f>
        <v>13.390336455397836</v>
      </c>
      <c r="O7" s="33"/>
      <c r="P7" s="33"/>
      <c r="R7" s="32"/>
    </row>
    <row r="8" spans="1:18">
      <c r="A8" s="6" t="s">
        <v>52</v>
      </c>
      <c r="B8" s="37">
        <f t="shared" si="0"/>
        <v>77572.779366189105</v>
      </c>
      <c r="C8" s="33"/>
      <c r="D8" s="37">
        <f>IF(ISERROR(TER_handel_gas_kWh/1000),0,TER_handel_gas_kWh/1000)*0.902</f>
        <v>51171.231326099754</v>
      </c>
      <c r="E8" s="33">
        <f>$C$28*'E Balans VL '!I13/100/3.6*1000000</f>
        <v>1118.0869289273392</v>
      </c>
      <c r="F8" s="33">
        <f>$C$28*('E Balans VL '!L13+'E Balans VL '!N13)/100/3.6*1000000</f>
        <v>13476.198324034691</v>
      </c>
      <c r="G8" s="34"/>
      <c r="H8" s="33"/>
      <c r="I8" s="33"/>
      <c r="J8" s="33">
        <f>$C$28*('E Balans VL '!D13+'E Balans VL '!E13)/100/3.6*1000000</f>
        <v>0</v>
      </c>
      <c r="K8" s="33"/>
      <c r="L8" s="33"/>
      <c r="M8" s="33"/>
      <c r="N8" s="33">
        <f>$C$28*'E Balans VL '!Y13/100/3.6*1000000</f>
        <v>232.41668256079589</v>
      </c>
      <c r="O8" s="33"/>
      <c r="P8" s="33"/>
      <c r="R8" s="32"/>
    </row>
    <row r="9" spans="1:18">
      <c r="A9" s="32" t="s">
        <v>51</v>
      </c>
      <c r="B9" s="37">
        <f t="shared" si="0"/>
        <v>29932.998049075301</v>
      </c>
      <c r="C9" s="33"/>
      <c r="D9" s="37">
        <f>IF(ISERROR(TER_gezond_gas_kWh/1000),0,TER_gezond_gas_kWh/1000)*0.902</f>
        <v>42817.781292988155</v>
      </c>
      <c r="E9" s="33">
        <f>$C$29*'E Balans VL '!I10/100/3.6*1000000</f>
        <v>31.976200264590432</v>
      </c>
      <c r="F9" s="33">
        <f>$C$29*('E Balans VL '!L10+'E Balans VL '!N10)/100/3.6*1000000</f>
        <v>4882.9816797515268</v>
      </c>
      <c r="G9" s="34"/>
      <c r="H9" s="33"/>
      <c r="I9" s="33"/>
      <c r="J9" s="33">
        <f>$C$29*('E Balans VL '!D10+'E Balans VL '!E10)/100/3.6*1000000</f>
        <v>0</v>
      </c>
      <c r="K9" s="33"/>
      <c r="L9" s="33"/>
      <c r="M9" s="33"/>
      <c r="N9" s="33">
        <f>$C$29*'E Balans VL '!Y10/100/3.6*1000000</f>
        <v>308.14313548728325</v>
      </c>
      <c r="O9" s="33"/>
      <c r="P9" s="33"/>
      <c r="R9" s="32"/>
    </row>
    <row r="10" spans="1:18">
      <c r="A10" s="32" t="s">
        <v>50</v>
      </c>
      <c r="B10" s="37">
        <f t="shared" si="0"/>
        <v>31282.908945908199</v>
      </c>
      <c r="C10" s="33"/>
      <c r="D10" s="37">
        <f>IF(ISERROR(TER_ander_gas_kWh/1000),0,TER_ander_gas_kWh/1000)*0.902</f>
        <v>52052.921016674387</v>
      </c>
      <c r="E10" s="33">
        <f>$C$30*'E Balans VL '!I14/100/3.6*1000000</f>
        <v>143.86533975854161</v>
      </c>
      <c r="F10" s="33">
        <f>$C$30*('E Balans VL '!L14+'E Balans VL '!N14)/100/3.6*1000000</f>
        <v>9376.4745627243974</v>
      </c>
      <c r="G10" s="34"/>
      <c r="H10" s="33"/>
      <c r="I10" s="33"/>
      <c r="J10" s="33">
        <f>$C$30*('E Balans VL '!D14+'E Balans VL '!E14)/100/3.6*1000000</f>
        <v>0</v>
      </c>
      <c r="K10" s="33"/>
      <c r="L10" s="33"/>
      <c r="M10" s="33"/>
      <c r="N10" s="33">
        <f>$C$30*'E Balans VL '!Y14/100/3.6*1000000</f>
        <v>21774.969635218346</v>
      </c>
      <c r="O10" s="33"/>
      <c r="P10" s="33"/>
      <c r="R10" s="32"/>
    </row>
    <row r="11" spans="1:18">
      <c r="A11" s="32" t="s">
        <v>55</v>
      </c>
      <c r="B11" s="37">
        <f t="shared" si="0"/>
        <v>7665.9293096556303</v>
      </c>
      <c r="C11" s="33"/>
      <c r="D11" s="37">
        <f>IF(ISERROR(TER_onderwijs_gas_kWh/1000),0,TER_onderwijs_gas_kWh/1000)*0.902</f>
        <v>21292.517354096573</v>
      </c>
      <c r="E11" s="33">
        <f>$C$31*'E Balans VL '!I11/100/3.6*1000000</f>
        <v>7.1111575717030568</v>
      </c>
      <c r="F11" s="33">
        <f>$C$31*('E Balans VL '!L11+'E Balans VL '!N11)/100/3.6*1000000</f>
        <v>2692.8647777641413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19249.387196986601</v>
      </c>
      <c r="C12" s="33"/>
      <c r="D12" s="37">
        <f>IF(ISERROR(TER_rest_gas_kWh/1000),0,TER_rest_gas_kWh/1000)*0.902</f>
        <v>38069.302357763292</v>
      </c>
      <c r="E12" s="33">
        <f>$C$32*'E Balans VL '!I8/100/3.6*1000000</f>
        <v>233.48549695919394</v>
      </c>
      <c r="F12" s="33">
        <f>$C$32*('E Balans VL '!L8+'E Balans VL '!N8)/100/3.6*1000000</f>
        <v>3809.0947891226047</v>
      </c>
      <c r="G12" s="34"/>
      <c r="H12" s="33"/>
      <c r="I12" s="33"/>
      <c r="J12" s="33">
        <f>$C$32*('E Balans VL '!D8+'E Balans VL '!E8)/100/3.6*1000000</f>
        <v>0</v>
      </c>
      <c r="K12" s="33"/>
      <c r="L12" s="33"/>
      <c r="M12" s="33"/>
      <c r="N12" s="33">
        <f>$C$32*'E Balans VL '!Y8/100/3.6*1000000</f>
        <v>1528.0209679455072</v>
      </c>
      <c r="O12" s="33"/>
      <c r="P12" s="33"/>
      <c r="R12" s="32"/>
    </row>
    <row r="13" spans="1:18">
      <c r="A13" s="16" t="s">
        <v>497</v>
      </c>
      <c r="B13" s="249">
        <f ca="1">'lokale energieproductie'!N90+'lokale energieproductie'!N59</f>
        <v>4.5</v>
      </c>
      <c r="C13" s="249">
        <f ca="1">'lokale energieproductie'!O90+'lokale energieproductie'!O59</f>
        <v>22.5</v>
      </c>
      <c r="D13" s="312">
        <f ca="1">('lokale energieproductie'!P59+'lokale energieproductie'!P90)*(-1)</f>
        <v>-30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326139.27244173241</v>
      </c>
      <c r="C16" s="21">
        <f t="shared" ca="1" si="1"/>
        <v>22.5</v>
      </c>
      <c r="D16" s="21">
        <f t="shared" ca="1" si="1"/>
        <v>404539.84003354947</v>
      </c>
      <c r="E16" s="21">
        <f t="shared" si="1"/>
        <v>4701.3681515960989</v>
      </c>
      <c r="F16" s="21">
        <f t="shared" ca="1" si="1"/>
        <v>65245.633006832242</v>
      </c>
      <c r="G16" s="21">
        <f t="shared" si="1"/>
        <v>0</v>
      </c>
      <c r="H16" s="21">
        <f t="shared" si="1"/>
        <v>0</v>
      </c>
      <c r="I16" s="21">
        <f t="shared" si="1"/>
        <v>0</v>
      </c>
      <c r="J16" s="21">
        <f t="shared" si="1"/>
        <v>0</v>
      </c>
      <c r="K16" s="21">
        <f t="shared" si="1"/>
        <v>0</v>
      </c>
      <c r="L16" s="21">
        <f t="shared" ca="1" si="1"/>
        <v>0</v>
      </c>
      <c r="M16" s="21">
        <f t="shared" si="1"/>
        <v>0</v>
      </c>
      <c r="N16" s="21">
        <f t="shared" ca="1" si="1"/>
        <v>23918.628542694994</v>
      </c>
      <c r="O16" s="21">
        <f>O5</f>
        <v>12.506666666666668</v>
      </c>
      <c r="P16" s="21">
        <f>P5</f>
        <v>305.06666666666666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0.19034434652359239</v>
      </c>
      <c r="C18" s="25">
        <f ca="1">'EF ele_warmte'!B22</f>
        <v>0.23302293259207782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62078.766688601419</v>
      </c>
      <c r="C20" s="23">
        <f t="shared" ref="C20:P20" ca="1" si="2">C16*C18</f>
        <v>5.2430159833217509</v>
      </c>
      <c r="D20" s="23">
        <f t="shared" ca="1" si="2"/>
        <v>81717.04768677699</v>
      </c>
      <c r="E20" s="23">
        <f t="shared" si="2"/>
        <v>1067.2105704123144</v>
      </c>
      <c r="F20" s="23">
        <f t="shared" ca="1" si="2"/>
        <v>17420.584012824209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111931.716766281</v>
      </c>
      <c r="C26" s="39">
        <f>IF(ISERROR(B26*3.6/1000000/'E Balans VL '!Z12*100),0,B26*3.6/1000000/'E Balans VL '!Z12*100)</f>
        <v>2.3774851078807036</v>
      </c>
      <c r="D26" s="239" t="s">
        <v>692</v>
      </c>
      <c r="F26" s="6"/>
    </row>
    <row r="27" spans="1:18">
      <c r="A27" s="233" t="s">
        <v>53</v>
      </c>
      <c r="B27" s="33">
        <f>IF(ISERROR(TER_horeca_ele_kWh/1000),0,TER_horeca_ele_kWh/1000)</f>
        <v>48499.052807636603</v>
      </c>
      <c r="C27" s="39">
        <f>IF(ISERROR(B27*3.6/1000000/'E Balans VL '!Z9*100),0,B27*3.6/1000000/'E Balans VL '!Z9*100)</f>
        <v>3.7710967188226157</v>
      </c>
      <c r="D27" s="239" t="s">
        <v>692</v>
      </c>
      <c r="F27" s="6"/>
    </row>
    <row r="28" spans="1:18">
      <c r="A28" s="173" t="s">
        <v>52</v>
      </c>
      <c r="B28" s="33">
        <f>IF(ISERROR(TER_handel_ele_kWh/1000),0,TER_handel_ele_kWh/1000)</f>
        <v>77572.779366189105</v>
      </c>
      <c r="C28" s="39">
        <f>IF(ISERROR(B28*3.6/1000000/'E Balans VL '!Z13*100),0,B28*3.6/1000000/'E Balans VL '!Z13*100)</f>
        <v>2.2194485116953788</v>
      </c>
      <c r="D28" s="239" t="s">
        <v>692</v>
      </c>
      <c r="F28" s="6"/>
    </row>
    <row r="29" spans="1:18">
      <c r="A29" s="233" t="s">
        <v>51</v>
      </c>
      <c r="B29" s="33">
        <f>IF(ISERROR(TER_gezond_ele_kWh/1000),0,TER_gezond_ele_kWh/1000)</f>
        <v>29932.998049075301</v>
      </c>
      <c r="C29" s="39">
        <f>IF(ISERROR(B29*3.6/1000000/'E Balans VL '!Z10*100),0,B29*3.6/1000000/'E Balans VL '!Z10*100)</f>
        <v>3.263392346804153</v>
      </c>
      <c r="D29" s="239" t="s">
        <v>692</v>
      </c>
      <c r="F29" s="6"/>
    </row>
    <row r="30" spans="1:18">
      <c r="A30" s="233" t="s">
        <v>50</v>
      </c>
      <c r="B30" s="33">
        <f>IF(ISERROR(TER_ander_ele_kWh/1000),0,TER_ander_ele_kWh/1000)</f>
        <v>31282.908945908199</v>
      </c>
      <c r="C30" s="39">
        <f>IF(ISERROR(B30*3.6/1000000/'E Balans VL '!Z14*100),0,B30*3.6/1000000/'E Balans VL '!Z14*100)</f>
        <v>2.2892123130648421</v>
      </c>
      <c r="D30" s="239" t="s">
        <v>692</v>
      </c>
      <c r="F30" s="6"/>
    </row>
    <row r="31" spans="1:18">
      <c r="A31" s="233" t="s">
        <v>55</v>
      </c>
      <c r="B31" s="33">
        <f>IF(ISERROR(TER_onderwijs_ele_kWh/1000),0,TER_onderwijs_ele_kWh/1000)</f>
        <v>7665.9293096556303</v>
      </c>
      <c r="C31" s="39">
        <f>IF(ISERROR(B31*3.6/1000000/'E Balans VL '!Z11*100),0,B31*3.6/1000000/'E Balans VL '!Z11*100)</f>
        <v>1.5397075944064667</v>
      </c>
      <c r="D31" s="239" t="s">
        <v>692</v>
      </c>
    </row>
    <row r="32" spans="1:18">
      <c r="A32" s="233" t="s">
        <v>260</v>
      </c>
      <c r="B32" s="33">
        <f>IF(ISERROR(TER_rest_ele_kWh/1000),0,TER_rest_ele_kWh/1000)</f>
        <v>19249.387196986601</v>
      </c>
      <c r="C32" s="39">
        <f>IF(ISERROR(B32*3.6/1000000/'E Balans VL '!Z8*100),0,B32*3.6/1000000/'E Balans VL '!Z8*100)</f>
        <v>0.15687082379589681</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8</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16</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109553.19323995235</v>
      </c>
      <c r="C5" s="17">
        <f>IF(ISERROR('Eigen informatie GS &amp; warmtenet'!B59),0,'Eigen informatie GS &amp; warmtenet'!B59)</f>
        <v>0</v>
      </c>
      <c r="D5" s="30">
        <f>SUM(D6:D15)</f>
        <v>186802.79025488469</v>
      </c>
      <c r="E5" s="17">
        <f>SUM(E6:E15)</f>
        <v>9357.406174126907</v>
      </c>
      <c r="F5" s="17">
        <f>SUM(F6:F15)</f>
        <v>57665.085629977337</v>
      </c>
      <c r="G5" s="18"/>
      <c r="H5" s="17"/>
      <c r="I5" s="17"/>
      <c r="J5" s="17">
        <f>SUM(J6:J15)</f>
        <v>162.39857498436712</v>
      </c>
      <c r="K5" s="17"/>
      <c r="L5" s="17"/>
      <c r="M5" s="17"/>
      <c r="N5" s="17">
        <f>SUM(N6:N15)</f>
        <v>31249.564888033921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4957.1849143723803</v>
      </c>
      <c r="C8" s="33"/>
      <c r="D8" s="37">
        <f>IF( ISERROR(IND_metaal_Gas_kWH/1000),0,IND_metaal_Gas_kWH/1000)*0.902</f>
        <v>25568.554648617417</v>
      </c>
      <c r="E8" s="33">
        <f>C30*'E Balans VL '!I18/100/3.6*1000000</f>
        <v>142.38895773026465</v>
      </c>
      <c r="F8" s="33">
        <f>C30*'E Balans VL '!L18/100/3.6*1000000+C30*'E Balans VL '!N18/100/3.6*1000000</f>
        <v>1271.4225901691254</v>
      </c>
      <c r="G8" s="34"/>
      <c r="H8" s="33"/>
      <c r="I8" s="33"/>
      <c r="J8" s="40">
        <f>C30*'E Balans VL '!D18/100/3.6*1000000+C30*'E Balans VL '!E18/100/3.6*1000000</f>
        <v>0</v>
      </c>
      <c r="K8" s="33"/>
      <c r="L8" s="33"/>
      <c r="M8" s="33"/>
      <c r="N8" s="33">
        <f>C30*'E Balans VL '!Y18/100/3.6*1000000</f>
        <v>134.59768947326401</v>
      </c>
      <c r="O8" s="33"/>
      <c r="P8" s="33"/>
      <c r="R8" s="32"/>
    </row>
    <row r="9" spans="1:18">
      <c r="A9" s="6" t="s">
        <v>33</v>
      </c>
      <c r="B9" s="37">
        <f t="shared" si="0"/>
        <v>15525.3492994687</v>
      </c>
      <c r="C9" s="33"/>
      <c r="D9" s="37">
        <f>IF( ISERROR(IND_andere_gas_kWh/1000),0,IND_andere_gas_kWh/1000)*0.902</f>
        <v>12015.141745723806</v>
      </c>
      <c r="E9" s="33">
        <f>C31*'E Balans VL '!I19/100/3.6*1000000</f>
        <v>4202.3303329750161</v>
      </c>
      <c r="F9" s="33">
        <f>C31*'E Balans VL '!L19/100/3.6*1000000+C31*'E Balans VL '!N19/100/3.6*1000000</f>
        <v>10341.525558593083</v>
      </c>
      <c r="G9" s="34"/>
      <c r="H9" s="33"/>
      <c r="I9" s="33"/>
      <c r="J9" s="40">
        <f>C31*'E Balans VL '!D19/100/3.6*1000000+C31*'E Balans VL '!E19/100/3.6*1000000</f>
        <v>0</v>
      </c>
      <c r="K9" s="33"/>
      <c r="L9" s="33"/>
      <c r="M9" s="33"/>
      <c r="N9" s="33">
        <f>C31*'E Balans VL '!Y19/100/3.6*1000000</f>
        <v>5068.7686481457486</v>
      </c>
      <c r="O9" s="33"/>
      <c r="P9" s="33"/>
      <c r="R9" s="32"/>
    </row>
    <row r="10" spans="1:18">
      <c r="A10" s="6" t="s">
        <v>41</v>
      </c>
      <c r="B10" s="37">
        <f t="shared" si="0"/>
        <v>20873.077715736603</v>
      </c>
      <c r="C10" s="33"/>
      <c r="D10" s="37">
        <f>IF( ISERROR(IND_voed_gas_kWh/1000),0,IND_voed_gas_kWh/1000)*0.902</f>
        <v>14070.6831360456</v>
      </c>
      <c r="E10" s="33">
        <f>C32*'E Balans VL '!I20/100/3.6*1000000</f>
        <v>1702.4561731436845</v>
      </c>
      <c r="F10" s="33">
        <f>C32*'E Balans VL '!L20/100/3.6*1000000+C32*'E Balans VL '!N20/100/3.6*1000000</f>
        <v>31123.652645708353</v>
      </c>
      <c r="G10" s="34"/>
      <c r="H10" s="33"/>
      <c r="I10" s="33"/>
      <c r="J10" s="40">
        <f>C32*'E Balans VL '!D20/100/3.6*1000000+C32*'E Balans VL '!E20/100/3.6*1000000</f>
        <v>0.2761254816617576</v>
      </c>
      <c r="K10" s="33"/>
      <c r="L10" s="33"/>
      <c r="M10" s="33"/>
      <c r="N10" s="33">
        <f>C32*'E Balans VL '!Y20/100/3.6*1000000</f>
        <v>6131.7737013894402</v>
      </c>
      <c r="O10" s="33"/>
      <c r="P10" s="33"/>
      <c r="R10" s="32"/>
    </row>
    <row r="11" spans="1:18">
      <c r="A11" s="6" t="s">
        <v>40</v>
      </c>
      <c r="B11" s="37">
        <f t="shared" si="0"/>
        <v>338.07185209230397</v>
      </c>
      <c r="C11" s="33"/>
      <c r="D11" s="37">
        <f>IF( ISERROR(IND_textiel_gas_kWh/1000),0,IND_textiel_gas_kWh/1000)*0.902</f>
        <v>324.15998796830416</v>
      </c>
      <c r="E11" s="33">
        <f>C33*'E Balans VL '!I21/100/3.6*1000000</f>
        <v>6.7012757936662018E-2</v>
      </c>
      <c r="F11" s="33">
        <f>C33*'E Balans VL '!L21/100/3.6*1000000+C33*'E Balans VL '!N21/100/3.6*1000000</f>
        <v>12.451594197551202</v>
      </c>
      <c r="G11" s="34"/>
      <c r="H11" s="33"/>
      <c r="I11" s="33"/>
      <c r="J11" s="40">
        <f>C33*'E Balans VL '!D21/100/3.6*1000000+C33*'E Balans VL '!E21/100/3.6*1000000</f>
        <v>0</v>
      </c>
      <c r="K11" s="33"/>
      <c r="L11" s="33"/>
      <c r="M11" s="33"/>
      <c r="N11" s="33">
        <f>C33*'E Balans VL '!Y21/100/3.6*1000000</f>
        <v>1.5719487687465665</v>
      </c>
      <c r="O11" s="33"/>
      <c r="P11" s="33"/>
      <c r="R11" s="32"/>
    </row>
    <row r="12" spans="1:18">
      <c r="A12" s="6" t="s">
        <v>37</v>
      </c>
      <c r="B12" s="37">
        <f t="shared" si="0"/>
        <v>2470.7195938069203</v>
      </c>
      <c r="C12" s="33"/>
      <c r="D12" s="37">
        <f>IF( ISERROR(IND_min_gas_kWh/1000),0,IND_min_gas_kWh/1000)*0.902</f>
        <v>57.08262347732866</v>
      </c>
      <c r="E12" s="33">
        <f>C34*'E Balans VL '!I22/100/3.6*1000000</f>
        <v>19.246367288871447</v>
      </c>
      <c r="F12" s="33">
        <f>C34*'E Balans VL '!L22/100/3.6*1000000+C34*'E Balans VL '!N22/100/3.6*1000000</f>
        <v>931.80360042769098</v>
      </c>
      <c r="G12" s="34"/>
      <c r="H12" s="33"/>
      <c r="I12" s="33"/>
      <c r="J12" s="40">
        <f>C34*'E Balans VL '!D22/100/3.6*1000000+C34*'E Balans VL '!E22/100/3.6*1000000</f>
        <v>13.588741743691104</v>
      </c>
      <c r="K12" s="33"/>
      <c r="L12" s="33"/>
      <c r="M12" s="33"/>
      <c r="N12" s="33">
        <f>C34*'E Balans VL '!Y22/100/3.6*1000000</f>
        <v>0</v>
      </c>
      <c r="O12" s="33"/>
      <c r="P12" s="33"/>
      <c r="R12" s="32"/>
    </row>
    <row r="13" spans="1:18">
      <c r="A13" s="6" t="s">
        <v>39</v>
      </c>
      <c r="B13" s="37">
        <f t="shared" si="0"/>
        <v>3955.8173424574097</v>
      </c>
      <c r="C13" s="33"/>
      <c r="D13" s="37">
        <f>IF( ISERROR(IND_papier_gas_kWh/1000),0,IND_papier_gas_kWh/1000)*0.902</f>
        <v>1715.8127993736393</v>
      </c>
      <c r="E13" s="33">
        <f>C35*'E Balans VL '!I23/100/3.6*1000000</f>
        <v>41.444393281941629</v>
      </c>
      <c r="F13" s="33">
        <f>C35*'E Balans VL '!L23/100/3.6*1000000+C35*'E Balans VL '!N23/100/3.6*1000000</f>
        <v>295.18379124710316</v>
      </c>
      <c r="G13" s="34"/>
      <c r="H13" s="33"/>
      <c r="I13" s="33"/>
      <c r="J13" s="40">
        <f>C35*'E Balans VL '!D23/100/3.6*1000000+C35*'E Balans VL '!E23/100/3.6*1000000</f>
        <v>0</v>
      </c>
      <c r="K13" s="33"/>
      <c r="L13" s="33"/>
      <c r="M13" s="33"/>
      <c r="N13" s="33">
        <f>C35*'E Balans VL '!Y23/100/3.6*1000000</f>
        <v>8455.1466738339113</v>
      </c>
      <c r="O13" s="33"/>
      <c r="P13" s="33"/>
      <c r="R13" s="32"/>
    </row>
    <row r="14" spans="1:18">
      <c r="A14" s="6" t="s">
        <v>34</v>
      </c>
      <c r="B14" s="37">
        <f t="shared" si="0"/>
        <v>3481.3285896358202</v>
      </c>
      <c r="C14" s="33"/>
      <c r="D14" s="37">
        <f>IF( ISERROR(IND_chemie_gas_kWh/1000),0,IND_chemie_gas_kWh/1000)*0.902</f>
        <v>6079.9758332113288</v>
      </c>
      <c r="E14" s="33">
        <f>C36*'E Balans VL '!I24/100/3.6*1000000</f>
        <v>16.457057764396556</v>
      </c>
      <c r="F14" s="33">
        <f>C36*'E Balans VL '!L24/100/3.6*1000000+C36*'E Balans VL '!N24/100/3.6*1000000</f>
        <v>65.795241702512726</v>
      </c>
      <c r="G14" s="34"/>
      <c r="H14" s="33"/>
      <c r="I14" s="33"/>
      <c r="J14" s="40">
        <f>C36*'E Balans VL '!D24/100/3.6*1000000+C36*'E Balans VL '!E24/100/3.6*1000000</f>
        <v>0</v>
      </c>
      <c r="K14" s="33"/>
      <c r="L14" s="33"/>
      <c r="M14" s="33"/>
      <c r="N14" s="33">
        <f>C36*'E Balans VL '!Y24/100/3.6*1000000</f>
        <v>84.514880713275133</v>
      </c>
      <c r="O14" s="33"/>
      <c r="P14" s="33"/>
      <c r="R14" s="32"/>
    </row>
    <row r="15" spans="1:18">
      <c r="A15" s="6" t="s">
        <v>270</v>
      </c>
      <c r="B15" s="37">
        <f t="shared" si="0"/>
        <v>57951.643932382205</v>
      </c>
      <c r="C15" s="33"/>
      <c r="D15" s="37">
        <f>IF( ISERROR(IND_rest_gas_kWh/1000),0,IND_rest_gas_kWh/1000)*0.902</f>
        <v>126971.37948046725</v>
      </c>
      <c r="E15" s="33">
        <f>C37*'E Balans VL '!I15/100/3.6*1000000</f>
        <v>3233.0158791847953</v>
      </c>
      <c r="F15" s="33">
        <f>C37*'E Balans VL '!L15/100/3.6*1000000+C37*'E Balans VL '!N15/100/3.6*1000000</f>
        <v>13623.250607931921</v>
      </c>
      <c r="G15" s="34"/>
      <c r="H15" s="33"/>
      <c r="I15" s="33"/>
      <c r="J15" s="40">
        <f>C37*'E Balans VL '!D15/100/3.6*1000000+C37*'E Balans VL '!E15/100/3.6*1000000</f>
        <v>148.53370775901425</v>
      </c>
      <c r="K15" s="33"/>
      <c r="L15" s="33"/>
      <c r="M15" s="33"/>
      <c r="N15" s="33">
        <f>C37*'E Balans VL '!Y15/100/3.6*1000000</f>
        <v>11373.191345709534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109553.19323995235</v>
      </c>
      <c r="C18" s="21">
        <f>C5+C16</f>
        <v>0</v>
      </c>
      <c r="D18" s="21">
        <f>MAX((D5+D16),0)</f>
        <v>186802.79025488469</v>
      </c>
      <c r="E18" s="21">
        <f>MAX((E5+E16),0)</f>
        <v>9357.406174126907</v>
      </c>
      <c r="F18" s="21">
        <f>MAX((F5+F16),0)</f>
        <v>57665.085629977337</v>
      </c>
      <c r="G18" s="21"/>
      <c r="H18" s="21"/>
      <c r="I18" s="21"/>
      <c r="J18" s="21">
        <f>MAX((J5+J16),0)</f>
        <v>162.39857498436712</v>
      </c>
      <c r="K18" s="21"/>
      <c r="L18" s="21">
        <f>MAX((L5+L16),0)</f>
        <v>0</v>
      </c>
      <c r="M18" s="21"/>
      <c r="N18" s="21">
        <f>MAX((N5+N16),0)</f>
        <v>31249.564888033921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0.19034434652359239</v>
      </c>
      <c r="C20" s="25">
        <f ca="1">'EF ele_warmte'!B22</f>
        <v>0.23302293259207782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20852.83097683157</v>
      </c>
      <c r="C22" s="23">
        <f ca="1">C18*C20</f>
        <v>0</v>
      </c>
      <c r="D22" s="23">
        <f>D18*D20</f>
        <v>37734.163631486706</v>
      </c>
      <c r="E22" s="23">
        <f>E18*E20</f>
        <v>2124.1312015268081</v>
      </c>
      <c r="F22" s="23">
        <f>F18*F20</f>
        <v>15396.577863203949</v>
      </c>
      <c r="G22" s="23"/>
      <c r="H22" s="23"/>
      <c r="I22" s="23"/>
      <c r="J22" s="23">
        <f>J18*J20</f>
        <v>57.489095544465954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4957.1849143723803</v>
      </c>
      <c r="C30" s="39">
        <f>IF(ISERROR(B30*3.6/1000000/'E Balans VL '!Z18*100),0,B30*3.6/1000000/'E Balans VL '!Z18*100)</f>
        <v>0.48777434122916058</v>
      </c>
      <c r="D30" s="239" t="s">
        <v>692</v>
      </c>
    </row>
    <row r="31" spans="1:18">
      <c r="A31" s="6" t="s">
        <v>33</v>
      </c>
      <c r="B31" s="37">
        <f>IF( ISERROR(IND_ander_ele_kWh/1000),0,IND_ander_ele_kWh/1000)</f>
        <v>15525.3492994687</v>
      </c>
      <c r="C31" s="39">
        <f>IF(ISERROR(B31*3.6/1000000/'E Balans VL '!Z19*100),0,B31*3.6/1000000/'E Balans VL '!Z19*100)</f>
        <v>0.67611657754272059</v>
      </c>
      <c r="D31" s="239" t="s">
        <v>692</v>
      </c>
    </row>
    <row r="32" spans="1:18">
      <c r="A32" s="173" t="s">
        <v>41</v>
      </c>
      <c r="B32" s="37">
        <f>IF( ISERROR(IND_voed_ele_kWh/1000),0,IND_voed_ele_kWh/1000)</f>
        <v>20873.077715736603</v>
      </c>
      <c r="C32" s="39">
        <f>IF(ISERROR(B32*3.6/1000000/'E Balans VL '!Z20*100),0,B32*3.6/1000000/'E Balans VL '!Z20*100)</f>
        <v>3.9603654740330216</v>
      </c>
      <c r="D32" s="239" t="s">
        <v>692</v>
      </c>
    </row>
    <row r="33" spans="1:5">
      <c r="A33" s="173" t="s">
        <v>40</v>
      </c>
      <c r="B33" s="37">
        <f>IF( ISERROR(IND_textiel_ele_kWh/1000),0,IND_textiel_ele_kWh/1000)</f>
        <v>338.07185209230397</v>
      </c>
      <c r="C33" s="39">
        <f>IF(ISERROR(B33*3.6/1000000/'E Balans VL '!Z21*100),0,B33*3.6/1000000/'E Balans VL '!Z21*100)</f>
        <v>1.9302188305776791E-2</v>
      </c>
      <c r="D33" s="239" t="s">
        <v>692</v>
      </c>
    </row>
    <row r="34" spans="1:5">
      <c r="A34" s="173" t="s">
        <v>37</v>
      </c>
      <c r="B34" s="37">
        <f>IF( ISERROR(IND_min_ele_kWh/1000),0,IND_min_ele_kWh/1000)</f>
        <v>2470.7195938069203</v>
      </c>
      <c r="C34" s="39">
        <f>IF(ISERROR(B34*3.6/1000000/'E Balans VL '!Z22*100),0,B34*3.6/1000000/'E Balans VL '!Z22*100)</f>
        <v>0.34740798508208942</v>
      </c>
      <c r="D34" s="239" t="s">
        <v>692</v>
      </c>
    </row>
    <row r="35" spans="1:5">
      <c r="A35" s="173" t="s">
        <v>39</v>
      </c>
      <c r="B35" s="37">
        <f>IF( ISERROR(IND_papier_ele_kWh/1000),0,IND_papier_ele_kWh/1000)</f>
        <v>3955.8173424574097</v>
      </c>
      <c r="C35" s="39">
        <f>IF(ISERROR(B35*3.6/1000000/'E Balans VL '!Z22*100),0,B35*3.6/1000000/'E Balans VL '!Z22*100)</f>
        <v>0.55622764142911107</v>
      </c>
      <c r="D35" s="239" t="s">
        <v>692</v>
      </c>
    </row>
    <row r="36" spans="1:5">
      <c r="A36" s="173" t="s">
        <v>34</v>
      </c>
      <c r="B36" s="37">
        <f>IF( ISERROR(IND_chemie_ele_kWh/1000),0,IND_chemie_ele_kWh/1000)</f>
        <v>3481.3285896358202</v>
      </c>
      <c r="C36" s="39">
        <f>IF(ISERROR(B36*3.6/1000000/'E Balans VL '!Z24*100),0,B36*3.6/1000000/'E Balans VL '!Z24*100)</f>
        <v>0.10145620222756208</v>
      </c>
      <c r="D36" s="239" t="s">
        <v>692</v>
      </c>
    </row>
    <row r="37" spans="1:5">
      <c r="A37" s="173" t="s">
        <v>270</v>
      </c>
      <c r="B37" s="37">
        <f>IF( ISERROR(IND_rest_ele_kWh/1000),0,IND_rest_ele_kWh/1000)</f>
        <v>57951.643932382205</v>
      </c>
      <c r="C37" s="39">
        <f>IF(ISERROR(B37*3.6/1000000/'E Balans VL '!Z15*100),0,B37*3.6/1000000/'E Balans VL '!Z15*100)</f>
        <v>0.44658859578983762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8815.8176642216204</v>
      </c>
      <c r="C5" s="17">
        <f>'Eigen informatie GS &amp; warmtenet'!B60</f>
        <v>0</v>
      </c>
      <c r="D5" s="30">
        <f>IF(ISERROR(SUM(LB_lb_gas_kWh,LB_rest_gas_kWh,onbekend_gas_kWh)/1000),0,SUM(LB_lb_gas_kWh,LB_rest_gas_kWh,onbekend_gas_kWh)/1000)*0.902</f>
        <v>49043.277379310777</v>
      </c>
      <c r="E5" s="17">
        <f>B17*'E Balans VL '!I25/3.6*1000000/100</f>
        <v>111.09065965147245</v>
      </c>
      <c r="F5" s="17">
        <f>B17*('E Balans VL '!L25/3.6*1000000+'E Balans VL '!N25/3.6*1000000)/100</f>
        <v>30416.779435852422</v>
      </c>
      <c r="G5" s="18"/>
      <c r="H5" s="17"/>
      <c r="I5" s="17"/>
      <c r="J5" s="17">
        <f>('E Balans VL '!D25+'E Balans VL '!E25)/3.6*1000000*landbouw!B17/100</f>
        <v>1325.79876202063</v>
      </c>
      <c r="K5" s="17"/>
      <c r="L5" s="17">
        <f>L6*(-1)</f>
        <v>0</v>
      </c>
      <c r="M5" s="17"/>
      <c r="N5" s="17">
        <f>N6*(-1)</f>
        <v>0</v>
      </c>
      <c r="O5" s="17"/>
      <c r="P5" s="17"/>
      <c r="R5" s="32"/>
    </row>
    <row r="6" spans="1:18">
      <c r="A6" s="16" t="s">
        <v>497</v>
      </c>
      <c r="B6" s="17" t="s">
        <v>211</v>
      </c>
      <c r="C6" s="17">
        <f>'lokale energieproductie'!O91+'lokale energieproductie'!O60</f>
        <v>29.464285714285715</v>
      </c>
      <c r="D6" s="312">
        <f>('lokale energieproductie'!P60+'lokale energieproductie'!P91)*(-1)</f>
        <v>-58.928571428571431</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8815.8176642216204</v>
      </c>
      <c r="C8" s="21">
        <f>C5+C6</f>
        <v>29.464285714285715</v>
      </c>
      <c r="D8" s="21">
        <f>MAX((D5+D6),0)</f>
        <v>48984.348807882205</v>
      </c>
      <c r="E8" s="21">
        <f>MAX((E5+E6),0)</f>
        <v>111.09065965147245</v>
      </c>
      <c r="F8" s="21">
        <f>MAX((F5+F6),0)</f>
        <v>30416.779435852422</v>
      </c>
      <c r="G8" s="21"/>
      <c r="H8" s="21"/>
      <c r="I8" s="21"/>
      <c r="J8" s="21">
        <f>MAX((J5+J6),0)</f>
        <v>1325.79876202063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0.19034434652359239</v>
      </c>
      <c r="C10" s="31">
        <f ca="1">'EF ele_warmte'!B22</f>
        <v>0.23302293259207782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1678.041052367407</v>
      </c>
      <c r="C12" s="23">
        <f ca="1">C8*C10</f>
        <v>6.8658542638737217</v>
      </c>
      <c r="D12" s="23">
        <f>D8*D10</f>
        <v>9894.8384591922058</v>
      </c>
      <c r="E12" s="23">
        <f>E8*E10</f>
        <v>25.217579740884247</v>
      </c>
      <c r="F12" s="23">
        <f>F8*F10</f>
        <v>8121.2801093725975</v>
      </c>
      <c r="G12" s="23"/>
      <c r="H12" s="23"/>
      <c r="I12" s="23"/>
      <c r="J12" s="23">
        <f>J8*J10</f>
        <v>469.33276175530301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1.2295287057147943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591.3650745659794</v>
      </c>
      <c r="C26" s="249">
        <f>B26*'GWP N2O_CH4'!B5</f>
        <v>12418.666565885567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182.32323221810327</v>
      </c>
      <c r="C27" s="249">
        <f>B27*'GWP N2O_CH4'!B5</f>
        <v>3828.7878765801688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9.0376695199089383</v>
      </c>
      <c r="C28" s="249">
        <f>B28*'GWP N2O_CH4'!B4</f>
        <v>2801.677551171771</v>
      </c>
      <c r="D28" s="50"/>
    </row>
    <row r="29" spans="1:4">
      <c r="A29" s="41" t="s">
        <v>277</v>
      </c>
      <c r="B29" s="249">
        <f>B34*'ha_N2O bodem landbouw'!B4</f>
        <v>27.197945894827978</v>
      </c>
      <c r="C29" s="249">
        <f>B29*'GWP N2O_CH4'!B4</f>
        <v>8431.3632273966723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6.7910553204780216E-3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1.5220766469379042E-4</v>
      </c>
      <c r="C5" s="448" t="s">
        <v>211</v>
      </c>
      <c r="D5" s="433">
        <f>SUM(D6:D11)</f>
        <v>2.4801684399350274E-4</v>
      </c>
      <c r="E5" s="433">
        <f>SUM(E6:E11)</f>
        <v>7.7990420736620686E-3</v>
      </c>
      <c r="F5" s="446" t="s">
        <v>211</v>
      </c>
      <c r="G5" s="433">
        <f>SUM(G6:G11)</f>
        <v>2.081384594738247</v>
      </c>
      <c r="H5" s="433">
        <f>SUM(H6:H11)</f>
        <v>0.37416364796746804</v>
      </c>
      <c r="I5" s="448" t="s">
        <v>211</v>
      </c>
      <c r="J5" s="448" t="s">
        <v>211</v>
      </c>
      <c r="K5" s="448" t="s">
        <v>211</v>
      </c>
      <c r="L5" s="448" t="s">
        <v>211</v>
      </c>
      <c r="M5" s="433">
        <f>SUM(M6:M11)</f>
        <v>0.10991237346560535</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1.0758883339862165E-4</v>
      </c>
      <c r="C6" s="949"/>
      <c r="D6" s="949">
        <f>vkm_2011_GW_PW*SUMIFS(TableVerdeelsleutelVkm[CNG],TableVerdeelsleutelVkm[Voertuigtype],"Lichte voertuigen")*SUMIFS(TableECFTransport[EnergieConsumptieFactor (PJ per km)],TableECFTransport[Index],CONCATENATE($A6,"_CNG_CNG"))</f>
        <v>1.5236683038259187E-4</v>
      </c>
      <c r="E6" s="949">
        <f>vkm_2011_GW_PW*SUMIFS(TableVerdeelsleutelVkm[LPG],TableVerdeelsleutelVkm[Voertuigtype],"Lichte voertuigen")*SUMIFS(TableECFTransport[EnergieConsumptieFactor (PJ per km)],TableECFTransport[Index],CONCATENATE($A6,"_LPG_LPG"))</f>
        <v>4.7853405374691203E-3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0.86005672696555668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0.23110506688107896</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4.8692475082078607E-2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0.52675198744822271</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1.876740757174055E-4</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2.3770125583191963E-2</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2.8413965189463212E-5</v>
      </c>
      <c r="C8" s="949"/>
      <c r="D8" s="436">
        <f>vkm_2011_NGW_PW*SUMIFS(TableVerdeelsleutelVkm[CNG],TableVerdeelsleutelVkm[Voertuigtype],"Lichte voertuigen")*SUMIFS(TableECFTransport[EnergieConsumptieFactor (PJ per km)],TableECFTransport[Index],CONCATENATE($A8,"_CNG_CNG"))</f>
        <v>7.1687768564054175E-5</v>
      </c>
      <c r="E8" s="436">
        <f>vkm_2011_NGW_PW*SUMIFS(TableVerdeelsleutelVkm[LPG],TableVerdeelsleutelVkm[Voertuigtype],"Lichte voertuigen")*SUMIFS(TableECFTransport[EnergieConsumptieFactor (PJ per km)],TableECFTransport[Index],CONCATENATE($A8,"_LPG_LPG"))</f>
        <v>2.0737659553649369E-3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0.35152343873576875</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0.10491730785301961</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2.0349484998175349E-2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7.051193001714344E-2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2.3773077525720853E-5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3.1818522584428602E-3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1.620486610570557E-5</v>
      </c>
      <c r="C10" s="949"/>
      <c r="D10" s="436">
        <f>vkm_2011_SW_PW*SUMIFS(TableVerdeelsleutelVkm[CNG],TableVerdeelsleutelVkm[Voertuigtype],"Lichte voertuigen")*SUMIFS(TableECFTransport[EnergieConsumptieFactor (PJ per km)],TableECFTransport[Index],CONCATENATE($A10,"_CNG_CNG"))</f>
        <v>2.3962245046856713E-5</v>
      </c>
      <c r="E10" s="436">
        <f>vkm_2011_SW_PW*SUMIFS(TableVerdeelsleutelVkm[LPG],TableVerdeelsleutelVkm[Voertuigtype],"Lichte voertuigen")*SUMIFS(TableECFTransport[EnergieConsumptieFactor (PJ per km)],TableECFTransport[Index],CONCATENATE($A10,"_LPG_LPG"))</f>
        <v>9.399355808280117E-4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0.15299388014621584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3.7883894131308965E-2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8.5236504850715739E-3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0.11954663142533915</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4.5931948817434951E-5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5.3947850586449865E-3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42.27990685938623</v>
      </c>
      <c r="C14" s="21"/>
      <c r="D14" s="21">
        <f t="shared" ref="D14:M14" si="0">((D5)*10^9/3600)+D12</f>
        <v>68.893567775972983</v>
      </c>
      <c r="E14" s="21">
        <f t="shared" si="0"/>
        <v>2166.4005760172413</v>
      </c>
      <c r="F14" s="21"/>
      <c r="G14" s="21">
        <f t="shared" si="0"/>
        <v>578162.38742729079</v>
      </c>
      <c r="H14" s="21">
        <f t="shared" si="0"/>
        <v>103934.34665763001</v>
      </c>
      <c r="I14" s="21"/>
      <c r="J14" s="21"/>
      <c r="K14" s="21"/>
      <c r="L14" s="21"/>
      <c r="M14" s="21">
        <f t="shared" si="0"/>
        <v>30531.214851557041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0.19034434652359239</v>
      </c>
      <c r="C16" s="56">
        <f ca="1">'EF ele_warmte'!B22</f>
        <v>0.23302293259207782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8.0477412422282235</v>
      </c>
      <c r="C18" s="23"/>
      <c r="D18" s="23">
        <f t="shared" ref="D18:M18" si="1">D14*D16</f>
        <v>13.916500690746544</v>
      </c>
      <c r="E18" s="23">
        <f t="shared" si="1"/>
        <v>491.77293075591376</v>
      </c>
      <c r="F18" s="23"/>
      <c r="G18" s="23">
        <f t="shared" si="1"/>
        <v>154369.35744308666</v>
      </c>
      <c r="H18" s="23">
        <f t="shared" si="1"/>
        <v>25879.652317749875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2.8948164940585399E-3</v>
      </c>
      <c r="C50" s="323">
        <f t="shared" ref="C50:P50" si="2">SUM(C51:C52)</f>
        <v>0</v>
      </c>
      <c r="D50" s="323">
        <f t="shared" si="2"/>
        <v>0</v>
      </c>
      <c r="E50" s="323">
        <f t="shared" si="2"/>
        <v>0</v>
      </c>
      <c r="F50" s="323">
        <f t="shared" si="2"/>
        <v>0</v>
      </c>
      <c r="G50" s="323">
        <f t="shared" si="2"/>
        <v>8.1530436615664698E-2</v>
      </c>
      <c r="H50" s="323">
        <f t="shared" si="2"/>
        <v>0</v>
      </c>
      <c r="I50" s="323">
        <f t="shared" si="2"/>
        <v>0</v>
      </c>
      <c r="J50" s="323">
        <f t="shared" si="2"/>
        <v>0</v>
      </c>
      <c r="K50" s="323">
        <f t="shared" si="2"/>
        <v>0</v>
      </c>
      <c r="L50" s="323">
        <f t="shared" si="2"/>
        <v>0</v>
      </c>
      <c r="M50" s="323">
        <f t="shared" si="2"/>
        <v>3.6258579329288645E-3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8.1530436615664698E-2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3.6258579329288645E-3</v>
      </c>
      <c r="N51" s="325"/>
      <c r="O51" s="325"/>
      <c r="P51" s="328"/>
    </row>
    <row r="52" spans="1:18">
      <c r="A52" s="4" t="s">
        <v>330</v>
      </c>
      <c r="B52" s="329">
        <f>vkm_2011_tram*SUMIFS(TableECFTransport[EnergieConsumptieFactor (PJ per km)],TableECFTransport[Index],"Tram_gemiddeld_Electric_Electric")</f>
        <v>2.8948164940585399E-3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804.11569279403886</v>
      </c>
      <c r="C54" s="21">
        <f t="shared" ref="C54:P54" si="3">(C50)*10^9/3600</f>
        <v>0</v>
      </c>
      <c r="D54" s="21">
        <f t="shared" si="3"/>
        <v>0</v>
      </c>
      <c r="E54" s="21">
        <f t="shared" si="3"/>
        <v>0</v>
      </c>
      <c r="F54" s="21">
        <f t="shared" si="3"/>
        <v>0</v>
      </c>
      <c r="G54" s="21">
        <f t="shared" si="3"/>
        <v>22647.343504351302</v>
      </c>
      <c r="H54" s="21">
        <f t="shared" si="3"/>
        <v>0</v>
      </c>
      <c r="I54" s="21">
        <f t="shared" si="3"/>
        <v>0</v>
      </c>
      <c r="J54" s="21">
        <f t="shared" si="3"/>
        <v>0</v>
      </c>
      <c r="K54" s="21">
        <f t="shared" si="3"/>
        <v>0</v>
      </c>
      <c r="L54" s="21">
        <f t="shared" si="3"/>
        <v>0</v>
      </c>
      <c r="M54" s="21">
        <f t="shared" si="3"/>
        <v>1007.1827591469067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0.19034434652359239</v>
      </c>
      <c r="C56" s="56">
        <f ca="1">'EF ele_warmte'!B22</f>
        <v>0.23302293259207782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153.05887607424711</v>
      </c>
      <c r="C58" s="23">
        <f t="shared" ref="C58:P58" ca="1" si="4">C54*C56</f>
        <v>0</v>
      </c>
      <c r="D58" s="23">
        <f t="shared" si="4"/>
        <v>0</v>
      </c>
      <c r="E58" s="23">
        <f t="shared" si="4"/>
        <v>0</v>
      </c>
      <c r="F58" s="23">
        <f t="shared" si="4"/>
        <v>0</v>
      </c>
      <c r="G58" s="23">
        <f t="shared" si="4"/>
        <v>6046.8407156617977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61829.192977079925</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29051.490403366995</v>
      </c>
      <c r="C6" s="1142"/>
      <c r="D6" s="1145"/>
      <c r="E6" s="1145"/>
      <c r="F6" s="1148"/>
      <c r="G6" s="1151"/>
      <c r="H6" s="1139"/>
      <c r="I6" s="1145"/>
      <c r="J6" s="1145"/>
      <c r="K6" s="1145"/>
      <c r="L6" s="1175"/>
      <c r="M6" s="561"/>
      <c r="N6" s="1187"/>
      <c r="O6" s="1188"/>
      <c r="Q6" s="559"/>
      <c r="R6" s="1172"/>
      <c r="S6" s="1172"/>
    </row>
    <row r="7" spans="1:19" s="549" customFormat="1">
      <c r="A7" s="562" t="s">
        <v>252</v>
      </c>
      <c r="B7" s="563">
        <f>N57</f>
        <v>25.125</v>
      </c>
      <c r="C7" s="564">
        <f>B100</f>
        <v>28.983669214732451</v>
      </c>
      <c r="D7" s="565"/>
      <c r="E7" s="565">
        <f>E100</f>
        <v>0</v>
      </c>
      <c r="F7" s="566"/>
      <c r="G7" s="567"/>
      <c r="H7" s="565">
        <f>I100</f>
        <v>0</v>
      </c>
      <c r="I7" s="565">
        <f>G100+F100</f>
        <v>0</v>
      </c>
      <c r="J7" s="565">
        <f>H100+D100+C100</f>
        <v>0</v>
      </c>
      <c r="K7" s="565"/>
      <c r="L7" s="568"/>
      <c r="M7" s="569">
        <f>C7*$C$11+D7*$D$11+E7*$E$11+F7*$F$11+G7*$G$11+H7*$H$11+I7*$I$11+J7*$J$11</f>
        <v>5.8547011813759555</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90905.808380446921</v>
      </c>
      <c r="C9" s="580">
        <f t="shared" ref="C9:L9" si="0">SUM(C7:C8)</f>
        <v>28.983669214732451</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5.8547011813759555</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51.964285714285715</v>
      </c>
      <c r="C16" s="596">
        <f>B101</f>
        <v>59.944902213838972</v>
      </c>
      <c r="D16" s="597"/>
      <c r="E16" s="597">
        <f>E101</f>
        <v>0</v>
      </c>
      <c r="F16" s="598"/>
      <c r="G16" s="599"/>
      <c r="H16" s="596">
        <f>I101</f>
        <v>0</v>
      </c>
      <c r="I16" s="597">
        <f>G101+F101</f>
        <v>0</v>
      </c>
      <c r="J16" s="597">
        <f>H101+D101+C101</f>
        <v>0</v>
      </c>
      <c r="K16" s="597"/>
      <c r="L16" s="600"/>
      <c r="M16" s="601">
        <f>C16*$C$21+E16*$E$21+H16*$H$21+I16*$I$21+J16*$J$21+D16*$D$21+F16*$F$21+G16*$G$21+K16*$K$21+L16*$L$21</f>
        <v>12.108870247195473</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51.964285714285715</v>
      </c>
      <c r="C19" s="579">
        <f>SUM(C16:C18)</f>
        <v>59.944902213838972</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12.108870247195473</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31005</v>
      </c>
      <c r="C27" s="839">
        <v>8200</v>
      </c>
      <c r="D27" s="658" t="s">
        <v>840</v>
      </c>
      <c r="E27" s="657" t="s">
        <v>841</v>
      </c>
      <c r="F27" s="657" t="s">
        <v>842</v>
      </c>
      <c r="G27" s="657" t="s">
        <v>843</v>
      </c>
      <c r="H27" s="657" t="s">
        <v>843</v>
      </c>
      <c r="I27" s="657" t="s">
        <v>841</v>
      </c>
      <c r="J27" s="838">
        <v>40515</v>
      </c>
      <c r="K27" s="838">
        <v>40634</v>
      </c>
      <c r="L27" s="657" t="s">
        <v>844</v>
      </c>
      <c r="M27" s="657">
        <v>1</v>
      </c>
      <c r="N27" s="657">
        <v>4.5</v>
      </c>
      <c r="O27" s="657">
        <v>22.5</v>
      </c>
      <c r="P27" s="657">
        <v>30</v>
      </c>
      <c r="Q27" s="657">
        <v>0</v>
      </c>
      <c r="R27" s="657">
        <v>0</v>
      </c>
      <c r="S27" s="657">
        <v>0</v>
      </c>
      <c r="T27" s="657">
        <v>0</v>
      </c>
      <c r="U27" s="657">
        <v>0</v>
      </c>
      <c r="V27" s="657">
        <v>0</v>
      </c>
      <c r="W27" s="657">
        <v>0</v>
      </c>
      <c r="X27" s="657">
        <v>1600</v>
      </c>
      <c r="Y27" s="657" t="s">
        <v>50</v>
      </c>
      <c r="Z27" s="659" t="s">
        <v>156</v>
      </c>
    </row>
    <row r="28" spans="1:26" s="611" customFormat="1" ht="25.5">
      <c r="A28" s="610"/>
      <c r="B28" s="839">
        <v>31005</v>
      </c>
      <c r="C28" s="839">
        <v>8000</v>
      </c>
      <c r="D28" s="658" t="s">
        <v>845</v>
      </c>
      <c r="E28" s="657" t="s">
        <v>846</v>
      </c>
      <c r="F28" s="657" t="s">
        <v>847</v>
      </c>
      <c r="G28" s="657" t="s">
        <v>848</v>
      </c>
      <c r="H28" s="657" t="s">
        <v>849</v>
      </c>
      <c r="I28" s="657" t="s">
        <v>846</v>
      </c>
      <c r="J28" s="838">
        <v>41207</v>
      </c>
      <c r="K28" s="838">
        <v>41306</v>
      </c>
      <c r="L28" s="657" t="s">
        <v>844</v>
      </c>
      <c r="M28" s="657">
        <v>5.5</v>
      </c>
      <c r="N28" s="657">
        <v>20.625</v>
      </c>
      <c r="O28" s="657">
        <v>29.464285714285715</v>
      </c>
      <c r="P28" s="657">
        <v>58.928571428571431</v>
      </c>
      <c r="Q28" s="657">
        <v>0</v>
      </c>
      <c r="R28" s="657">
        <v>0</v>
      </c>
      <c r="S28" s="657">
        <v>0</v>
      </c>
      <c r="T28" s="657">
        <v>0</v>
      </c>
      <c r="U28" s="657">
        <v>0</v>
      </c>
      <c r="V28" s="657">
        <v>0</v>
      </c>
      <c r="W28" s="657">
        <v>0</v>
      </c>
      <c r="X28" s="657">
        <v>10</v>
      </c>
      <c r="Y28" s="657" t="s">
        <v>112</v>
      </c>
      <c r="Z28" s="659" t="s">
        <v>112</v>
      </c>
    </row>
    <row r="29" spans="1:26" s="611" customFormat="1" ht="12.75">
      <c r="A29" s="610"/>
      <c r="B29" s="839">
        <v>31005</v>
      </c>
      <c r="C29" s="839">
        <v>8000</v>
      </c>
      <c r="D29" s="658" t="s">
        <v>850</v>
      </c>
      <c r="E29" s="657" t="s">
        <v>851</v>
      </c>
      <c r="F29" s="657" t="s">
        <v>852</v>
      </c>
      <c r="G29" s="657" t="s">
        <v>843</v>
      </c>
      <c r="H29" s="657" t="s">
        <v>843</v>
      </c>
      <c r="I29" s="657" t="s">
        <v>851</v>
      </c>
      <c r="J29" s="838">
        <v>41624</v>
      </c>
      <c r="K29" s="838">
        <v>41619</v>
      </c>
      <c r="L29" s="657" t="s">
        <v>844</v>
      </c>
      <c r="M29" s="657">
        <v>1</v>
      </c>
      <c r="N29" s="657">
        <v>0</v>
      </c>
      <c r="O29" s="657">
        <v>0</v>
      </c>
      <c r="P29" s="657">
        <v>0</v>
      </c>
      <c r="Q29" s="657">
        <v>0</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7.5</v>
      </c>
      <c r="N57" s="615">
        <f>SUM(N27:N56)</f>
        <v>25.125</v>
      </c>
      <c r="O57" s="615">
        <f t="shared" ref="O57:W57" si="2">SUM(O27:O56)</f>
        <v>51.964285714285715</v>
      </c>
      <c r="P57" s="615">
        <f t="shared" si="2"/>
        <v>88.928571428571431</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v>
      </c>
      <c r="N59" s="615">
        <f ca="1">SUMIF($Z$27:AB56,"tertiair",N27:N56)</f>
        <v>4.5</v>
      </c>
      <c r="O59" s="615">
        <f ca="1">SUMIF($Z$27:AC56,"tertiair",O27:O56)</f>
        <v>22.5</v>
      </c>
      <c r="P59" s="615">
        <f ca="1">SUMIF($Z$27:AD56,"tertiair",P27:P56)</f>
        <v>30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6.5</v>
      </c>
      <c r="N60" s="620">
        <f t="shared" ref="N60:W60" si="4">SUMIF($Z$27:$Z$56,"landbouw",N27:N56)</f>
        <v>20.625</v>
      </c>
      <c r="O60" s="620">
        <f t="shared" si="4"/>
        <v>29.464285714285715</v>
      </c>
      <c r="P60" s="620">
        <f t="shared" si="4"/>
        <v>58.928571428571431</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0.67407922168172341</v>
      </c>
      <c r="C97" s="640">
        <f>IF(ISERROR(N57/(O57+N57)),0,N57/(N57+O57))</f>
        <v>0.32592077831827654</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28.983669214732451</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59.944902213838972</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2018-06-27T09:30:37Z</dcterms:modified>
</cp:coreProperties>
</file>