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P8" i="48" s="1"/>
  <c r="P25" s="1"/>
  <c r="L16" i="16"/>
  <c r="L18" s="1"/>
  <c r="L8" i="4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J15"/>
  <c r="J23" s="1"/>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L7" i="48"/>
  <c r="L24" s="1"/>
  <c r="H14" i="22"/>
  <c r="I19" i="14" s="1"/>
  <c r="I20" s="1"/>
  <c r="I23" s="1"/>
  <c r="E7" i="48"/>
  <c r="E24" s="1"/>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N46" s="1"/>
  <c r="N53" s="1"/>
  <c r="M9" i="48"/>
  <c r="N19" i="14"/>
  <c r="P14" i="48"/>
  <c r="F10" i="14"/>
  <c r="B8" i="4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5"/>
  <c r="J22" s="1"/>
  <c r="J20" i="15"/>
  <c r="K36" i="14" s="1"/>
  <c r="E5" i="48"/>
  <c r="E22" s="1"/>
  <c r="J9" i="18"/>
  <c r="M7"/>
  <c r="M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Q4" i="48"/>
  <c r="N22"/>
  <c r="R11" i="14"/>
  <c r="J21" i="48"/>
  <c r="R10" i="14"/>
  <c r="C17" i="19" l="1"/>
  <c r="C19" s="1"/>
  <c r="D35" i="14" s="1"/>
  <c r="C20" i="16"/>
  <c r="C22" s="1"/>
  <c r="D39" i="14" s="1"/>
  <c r="C18" i="15"/>
  <c r="C20" s="1"/>
  <c r="D36" i="14" s="1"/>
  <c r="C10" i="13"/>
  <c r="C16" i="48" s="1"/>
  <c r="C30" s="1"/>
  <c r="C16" i="22"/>
  <c r="C10" i="17"/>
  <c r="C12" s="1"/>
  <c r="D48" i="14" s="1"/>
  <c r="C56" i="22"/>
  <c r="C58" s="1"/>
  <c r="D44" i="14" s="1"/>
  <c r="D46" s="1"/>
  <c r="C17" i="49"/>
  <c r="C29" i="20"/>
  <c r="Q5" i="48"/>
  <c r="O13" i="14"/>
  <c r="O15" s="1"/>
  <c r="K13"/>
  <c r="K15" s="1"/>
  <c r="K23" s="1"/>
  <c r="N22" i="16"/>
  <c r="O39" i="14" s="1"/>
  <c r="O41" s="1"/>
  <c r="O53" s="1"/>
  <c r="F8" i="48"/>
  <c r="Q8" s="1"/>
  <c r="Q14" s="1"/>
  <c r="N25"/>
  <c r="N14"/>
  <c r="E25"/>
  <c r="E31" s="1"/>
  <c r="E14"/>
  <c r="N31"/>
  <c r="H55" i="14"/>
  <c r="E55"/>
  <c r="C78"/>
  <c r="C81" s="1"/>
  <c r="J14" i="48"/>
  <c r="J31"/>
  <c r="R19" i="14"/>
  <c r="R20" s="1"/>
  <c r="H14" i="48"/>
  <c r="G31"/>
  <c r="H26"/>
  <c r="H31" s="1"/>
  <c r="F55" i="14"/>
  <c r="G53"/>
  <c r="G55" s="1"/>
  <c r="O69" s="1"/>
  <c r="B9" i="6" s="1"/>
  <c r="B12" s="1"/>
  <c r="M53" i="14"/>
  <c r="M55" s="1"/>
  <c r="C12" i="13"/>
  <c r="D37" i="14" s="1"/>
  <c r="D41" s="1"/>
  <c r="C23" i="48"/>
  <c r="C24"/>
  <c r="C21"/>
  <c r="C26"/>
  <c r="K55" i="14"/>
  <c r="F25" i="48"/>
  <c r="F31" s="1"/>
  <c r="R13" i="14" l="1"/>
  <c r="R15" s="1"/>
  <c r="C27" i="48"/>
  <c r="C31" s="1"/>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<sst xmlns="http://schemas.openxmlformats.org/spreadsheetml/2006/main" count="1979" uniqueCount="849">
  <si>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</si>
  <si>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</si>
  <si>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</si>
  <si>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</si>
  <si>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</si>
  <si>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</si>
  <si>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</si>
  <si>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</si>
  <si>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</si>
  <si>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</si>
  <si>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</si>
  <si>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</si>
  <si>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</si>
  <si>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</si>
  <si>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</si>
  <si>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</si>
  <si>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</si>
  <si>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</si>
  <si>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</si>
  <si>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</si>
  <si>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</si>
  <si>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</si>
  <si>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</si>
  <si>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</si>
  <si>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</si>
  <si>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</si>
  <si>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</si>
  <si>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</si>
  <si>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</si>
  <si>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</si>
  <si>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</si>
  <si>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</si>
  <si>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</si>
  <si>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</si>
  <si>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</si>
  <si>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</si>
  <si>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</si>
  <si>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</si>
  <si>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</si>
  <si>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</si>
  <si>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</si>
  <si>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</si>
  <si>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</si>
  <si>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</si>
  <si>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</si>
  <si>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</si>
  <si>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</si>
  <si>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</si>
  <si>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</si>
  <si>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</si>
  <si>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</si>
  <si>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</si>
  <si>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</si>
  <si>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</si>
  <si>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</si>
  <si>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</si>
  <si>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</si>
  <si>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</si>
  <si>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</si>
  <si>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</si>
  <si>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</si>
  <si>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</si>
  <si>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</si>
  <si>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</si>
  <si>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</si>
  <si>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</si>
  <si>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</si>
  <si>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</si>
  <si>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</si>
  <si>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</si>
  <si>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</si>
  <si>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</si>
  <si>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</si>
  <si>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</si>
  <si>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</si>
  <si>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</si>
  <si>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</si>
  <si>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</si>
  <si>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</si>
  <si>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</si>
  <si>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</si>
  <si>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</si>
  <si>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</si>
  <si>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</si>
  <si>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</si>
  <si>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</si>
  <si>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</si>
  <si>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</si>
  <si>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</si>
  <si>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</si>
  <si>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</si>
  <si>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</si>
  <si>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</si>
  <si>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</si>
  <si>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</si>
  <si>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</si>
  <si>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</si>
  <si>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</si>
  <si>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</si>
  <si>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</si>
  <si>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</si>
  <si>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</si>
  <si>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</si>
  <si>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</si>
  <si>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</si>
  <si>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</si>
  <si>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</si>
  <si>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</si>
  <si>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</si>
  <si>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</si>
  <si>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</si>
  <si>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</si>
  <si>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</si>
  <si>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</si>
  <si>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</si>
  <si>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</si>
  <si>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</si>
  <si>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</si>
  <si>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</si>
  <si>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</si>
  <si>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</si>
  <si>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</si>
  <si>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</si>
  <si>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</si>
  <si>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</si>
  <si>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</si>
  <si>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</si>
  <si>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</si>
  <si>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</si>
  <si>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</si>
  <si>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</si>
  <si>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</si>
  <si>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</si>
  <si>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</si>
  <si>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</si>
  <si>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</si>
  <si>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</si>
  <si>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</si>
  <si>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</si>
  <si>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</si>
  <si>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</si>
  <si>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</si>
  <si>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</si>
  <si>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</si>
  <si>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</si>
  <si>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</si>
  <si>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</si>
  <si>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</si>
  <si>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</si>
  <si>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</si>
  <si>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</si>
  <si>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</si>
  <si>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</si>
  <si>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</si>
  <si>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</si>
  <si>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</si>
  <si>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</si>
  <si>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</si>
  <si>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</si>
  <si>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</si>
  <si>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</si>
  <si>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</si>
  <si>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</si>
  <si>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</si>
  <si>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</si>
  <si>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</si>
  <si>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</si>
  <si>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</si>
  <si>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</si>
  <si>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</si>
  <si>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</si>
  <si>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</si>
  <si>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</si>
  <si>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</si>
  <si>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</si>
  <si>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</si>
  <si>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</si>
  <si>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</si>
  <si>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</si>
  <si>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</si>
  <si>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</si>
  <si>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</si>
  <si>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</si>
  <si>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</si>
  <si>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</si>
  <si>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</si>
  <si>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</si>
  <si>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</si>
  <si>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</si>
  <si>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</si>
  <si>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</si>
  <si>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</si>
  <si>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</si>
  <si>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</si>
  <si>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</si>
  <si>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</si>
  <si>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</si>
  <si>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</si>
  <si>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</si>
  <si>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</si>
  <si>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</si>
  <si>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</si>
  <si>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</si>
  <si>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</si>
  <si>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</si>
  <si>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</si>
  <si>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</si>
  <si>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</si>
  <si>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</si>
  <si>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</si>
  <si>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</si>
  <si>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</si>
  <si>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</si>
  <si>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</si>
  <si>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</si>
  <si>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</si>
  <si>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</si>
  <si>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</si>
  <si>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</si>
  <si>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</si>
  <si>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</si>
  <si>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</si>
  <si>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</si>
  <si>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</si>
  <si>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</si>
  <si>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</si>
  <si>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</si>
  <si>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</si>
  <si>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</si>
  <si>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</si>
  <si>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</si>
  <si>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</si>
  <si>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</si>
  <si>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</si>
  <si>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</si>
  <si>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</si>
  <si>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</si>
  <si>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</si>
  <si>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</si>
  <si>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</si>
  <si>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</si>
  <si>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</si>
  <si>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</si>
  <si>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</si>
  <si>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</si>
  <si>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</si>
  <si>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</si>
  <si>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</si>
  <si>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</si>
  <si>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</si>
  <si>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</si>
  <si>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</si>
  <si>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</si>
  <si>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</si>
  <si>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</si>
  <si>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</si>
  <si>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</si>
  <si>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</si>
  <si>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</si>
  <si>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</si>
  <si>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</si>
  <si>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</si>
  <si>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</si>
  <si>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</si>
  <si>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</si>
  <si>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</si>
  <si>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</si>
  <si>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</si>
  <si>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</si>
  <si>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</si>
  <si>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</si>
  <si>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</si>
  <si>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</si>
  <si>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</si>
  <si>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</si>
  <si>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</si>
  <si>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</si>
  <si>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</si>
  <si>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</si>
  <si>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</si>
  <si>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</si>
  <si>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</si>
  <si>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</si>
  <si>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</si>
  <si>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</si>
  <si>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</si>
  <si>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</si>
  <si>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</si>
  <si>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</si>
  <si>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</si>
  <si>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</si>
  <si>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</si>
  <si>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</si>
  <si>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</si>
  <si>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</si>
  <si>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</si>
  <si>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</si>
  <si>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</si>
  <si>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</si>
  <si>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</si>
  <si>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</si>
  <si>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</si>
  <si>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</si>
  <si>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</si>
  <si>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</si>
  <si>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</si>
  <si>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</si>
  <si>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</si>
  <si>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</si>
  <si>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</si>
  <si>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</si>
  <si>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</si>
  <si>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</si>
  <si>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</si>
  <si>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</si>
  <si>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</si>
  <si>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</si>
  <si>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</si>
  <si>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</si>
  <si>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</si>
  <si>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</si>
  <si>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</si>
  <si>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</si>
  <si>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</si>
  <si>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</si>
  <si>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</si>
  <si>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</si>
  <si>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</si>
  <si>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</si>
  <si>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</si>
  <si>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</si>
  <si>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</si>
  <si>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</si>
  <si>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</si>
  <si>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</si>
  <si>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</si>
  <si>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</si>
  <si>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</si>
  <si>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</si>
  <si>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</si>
  <si>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</si>
  <si>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</si>
  <si>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</si>
  <si>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</si>
  <si>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</si>
  <si>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</si>
  <si>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</si>
  <si>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</si>
  <si>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</si>
  <si>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</si>
  <si>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</si>
  <si>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</si>
  <si>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</si>
  <si>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</si>
  <si>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</si>
  <si>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</si>
  <si>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</si>
  <si>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</si>
  <si>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</si>
  <si>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</si>
  <si>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</si>
  <si>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</si>
  <si>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</si>
  <si>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</si>
  <si>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</si>
  <si>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</si>
  <si>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</si>
  <si>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</si>
  <si>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</si>
  <si>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</si>
  <si>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</si>
  <si>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</si>
  <si>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</si>
  <si>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</si>
  <si>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</si>
  <si>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</si>
  <si>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</si>
  <si>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</si>
  <si>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</si>
  <si>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</si>
  <si>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</si>
  <si>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</si>
  <si>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</si>
  <si>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</si>
  <si>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</si>
  <si>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</si>
  <si>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</si>
  <si>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</si>
  <si>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</si>
  <si>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</si>
  <si>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</si>
  <si>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</si>
  <si>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</si>
  <si>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</si>
  <si>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</si>
  <si>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</si>
  <si>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</si>
  <si>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</si>
  <si>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</si>
  <si>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</si>
  <si>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</si>
  <si>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</si>
  <si>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</si>
  <si>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</si>
  <si>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</si>
  <si>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</si>
  <si>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</si>
  <si>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</si>
  <si>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</si>
  <si>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</si>
  <si>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</si>
  <si>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</si>
  <si>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</si>
  <si>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</si>
  <si>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</si>
  <si>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</si>
  <si>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</si>
  <si>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</si>
  <si>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</si>
  <si>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</si>
  <si>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</si>
  <si>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</si>
  <si>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</si>
  <si>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</si>
  <si>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</si>
  <si>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</si>
  <si>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</si>
  <si>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</si>
  <si>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</si>
  <si>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</si>
  <si>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</si>
  <si>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</si>
  <si>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</si>
  <si>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</si>
  <si>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</si>
  <si>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</si>
  <si>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</si>
  <si>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</si>
  <si>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</si>
  <si>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</si>
  <si>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</si>
  <si>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</si>
  <si>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</si>
  <si>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</si>
  <si>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</si>
  <si>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</si>
  <si>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</si>
  <si>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</si>
  <si>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</si>
  <si>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</si>
  <si>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</si>
  <si>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</si>
  <si>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</si>
  <si>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</si>
  <si>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</si>
  <si>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</si>
  <si>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</si>
  <si>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</si>
  <si>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</si>
  <si>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</si>
  <si>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</si>
  <si>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</si>
  <si>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</si>
  <si>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</si>
  <si>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</si>
  <si>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</si>
  <si>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</si>
  <si>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</si>
  <si>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</si>
  <si>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</si>
  <si>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</si>
  <si>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</si>
  <si>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</si>
  <si>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</si>
  <si>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</si>
  <si>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</si>
  <si>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</si>
  <si>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</si>
  <si>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</si>
  <si>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</si>
  <si>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</si>
  <si>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</si>
  <si>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</si>
  <si>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</si>
  <si>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</si>
  <si>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</si>
  <si>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</si>
  <si>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</si>
  <si>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</si>
  <si>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</si>
  <si>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</si>
  <si>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</si>
  <si>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</si>
  <si>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</si>
  <si>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</si>
  <si>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</si>
  <si>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</si>
  <si>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</si>
  <si>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</si>
  <si>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</si>
  <si>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</si>
  <si>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</si>
  <si>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</si>
  <si>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</si>
  <si>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</si>
  <si>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</si>
  <si>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</si>
  <si>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</si>
  <si>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</si>
  <si>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</si>
  <si>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</si>
  <si>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</si>
  <si>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</si>
  <si>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</si>
  <si>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</si>
  <si>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</si>
  <si>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</si>
  <si>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</si>
  <si>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</si>
  <si>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</si>
  <si>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</si>
  <si>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</si>
  <si>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</si>
  <si>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</si>
  <si>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</si>
  <si>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</si>
  <si>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</si>
  <si>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</si>
  <si>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</si>
  <si>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</si>
  <si>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</si>
  <si>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</si>
  <si>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</si>
  <si>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</si>
  <si>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</si>
  <si>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</si>
  <si>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</si>
  <si>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</si>
  <si>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</si>
  <si>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</si>
  <si>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</si>
  <si>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</si>
  <si>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</si>
  <si>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</si>
  <si>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</si>
  <si>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</si>
  <si>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</si>
  <si>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</si>
  <si>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</si>
  <si>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</si>
  <si>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</si>
  <si>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</si>
  <si>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</si>
  <si>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</si>
  <si>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</si>
  <si>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</si>
  <si>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</si>
  <si>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</si>
  <si>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</si>
  <si>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</si>
  <si>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</si>
  <si>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</si>
  <si>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</si>
  <si>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</si>
  <si>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</si>
  <si>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</si>
  <si>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</si>
  <si>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</si>
  <si>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</si>
  <si>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</si>
  <si>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</si>
  <si>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</si>
  <si>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</si>
  <si>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</si>
  <si>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</si>
  <si>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</si>
  <si>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</si>
  <si>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</si>
  <si>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</si>
  <si>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</si>
  <si>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</si>
  <si>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</si>
  <si>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</si>
  <si>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</si>
  <si>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</si>
  <si>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</si>
  <si>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</si>
  <si>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</si>
  <si>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</si>
  <si>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</si>
  <si>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</si>
  <si>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</si>
  <si>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</si>
  <si>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</si>
  <si>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</si>
  <si>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</si>
  <si>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</si>
  <si>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</si>
  <si>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</si>
  <si>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</si>
  <si>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</si>
  <si>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</si>
  <si>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</si>
  <si>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</si>
  <si>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</si>
  <si>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</si>
  <si>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</si>
  <si>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</si>
  <si>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</si>
  <si>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</si>
  <si>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</si>
  <si>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</si>
  <si>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</si>
  <si>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</si>
  <si>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</si>
  <si>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</si>
  <si>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</si>
  <si>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</si>
  <si>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</si>
  <si>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</si>
  <si>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</si>
  <si>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</si>
  <si>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</si>
  <si>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</si>
  <si>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</si>
  <si>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</si>
  <si>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</si>
  <si>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</si>
  <si>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</si>
  <si>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</si>
  <si>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</si>
  <si>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</si>
  <si>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</si>
  <si>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</si>
  <si>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</si>
  <si>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</si>
  <si>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</si>
  <si>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</si>
  <si>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</si>
  <si>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</si>
  <si>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</si>
  <si>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</si>
  <si>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</si>
  <si>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</si>
  <si>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</si>
  <si>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</si>
  <si>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</si>
  <si>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</si>
  <si>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</si>
  <si>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</si>
  <si>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</si>
  <si>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</si>
  <si>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</si>
  <si>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</si>
  <si>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</si>
  <si>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</si>
  <si>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</si>
  <si>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</si>
  <si>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</si>
  <si>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</si>
  <si>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</si>
  <si>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</si>
  <si>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</si>
  <si>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</si>
  <si>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</si>
  <si>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</si>
  <si>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</si>
  <si>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</si>
  <si>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</si>
  <si>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</si>
  <si>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</si>
  <si>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</si>
  <si>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</si>
  <si>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</si>
  <si>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</si>
  <si>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</si>
  <si>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</si>
  <si>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</si>
  <si>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</si>
  <si>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</si>
  <si>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</si>
  <si>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</si>
  <si>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</si>
  <si>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</si>
  <si>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</si>
  <si>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</si>
  <si>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</si>
  <si>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</si>
  <si>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</si>
  <si>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</si>
  <si>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</si>
  <si>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</si>
  <si>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</si>
  <si>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</si>
  <si>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</si>
  <si>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</si>
  <si>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</si>
  <si>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</si>
  <si>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</si>
  <si>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</si>
  <si>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</si>
  <si>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</si>
  <si>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</si>
  <si>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</si>
  <si>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</si>
  <si>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</si>
  <si>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</si>
  <si>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</si>
  <si>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</si>
  <si>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</si>
  <si>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</si>
  <si>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</si>
  <si>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</si>
  <si>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</si>
  <si>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</si>
  <si>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</si>
  <si>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</si>
  <si>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</si>
  <si>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</si>
  <si>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</si>
  <si>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</si>
  <si>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</si>
  <si>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</si>
  <si>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</si>
  <si>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</si>
  <si>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</si>
  <si>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</si>
  <si>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</si>
  <si>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</si>
  <si>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</si>
  <si>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</si>
  <si>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</si>
  <si>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</si>
  <si>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</si>
  <si>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</si>
  <si>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</si>
  <si>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</si>
  <si>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</si>
  <si>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</si>
  <si>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</si>
  <si>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</si>
  <si>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</si>
  <si>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</si>
  <si>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</si>
  <si>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</si>
  <si>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</si>
  <si>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</si>
  <si>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</si>
  <si>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</si>
  <si>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</si>
  <si>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</si>
  <si>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</si>
  <si>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</si>
  <si>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</si>
  <si>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</si>
  <si>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</si>
  <si>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</si>
  <si>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</si>
  <si>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</si>
  <si>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</si>
  <si>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</si>
  <si>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</si>
  <si>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</si>
  <si>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</si>
  <si>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</si>
  <si>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</si>
  <si>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</si>
  <si>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</si>
  <si>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</si>
  <si>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</si>
  <si>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</si>
  <si>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</si>
  <si>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</si>
  <si>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</si>
  <si>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</si>
  <si>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</si>
  <si>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</si>
  <si>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</si>
  <si>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</si>
  <si>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</si>
  <si>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</si>
  <si>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</si>
  <si>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</si>
  <si>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</si>
  <si>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</si>
  <si>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</si>
  <si>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</si>
  <si>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</si>
  <si>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</si>
  <si>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</si>
  <si>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</si>
  <si>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</si>
  <si>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</si>
  <si>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</si>
  <si>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</si>
  <si>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</si>
  <si>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</si>
  <si>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</si>
  <si>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</si>
  <si>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</si>
  <si>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</si>
  <si>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</si>
  <si>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</si>
  <si>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</si>
  <si>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</si>
  <si>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</si>
  <si>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</si>
  <si>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</si>
  <si>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</si>
  <si>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</si>
  <si>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</si>
  <si>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</si>
  <si>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</si>
  <si>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</si>
  <si>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</si>
  <si>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</si>
  <si>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</si>
  <si>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</si>
  <si>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</si>
  <si>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</si>
  <si>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</si>
  <si>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</si>
  <si>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</si>
  <si>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</si>
  <si>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</si>
  <si>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</si>
  <si>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</si>
  <si>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</si>
  <si>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</si>
  <si>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</si>
  <si>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</si>
  <si>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</si>
  <si>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</si>
  <si>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31003</t>
  </si>
  <si>
    <t>BEERNEM</t>
  </si>
  <si>
    <t>Cultuurgrond (ha)</t>
  </si>
  <si>
    <t>Paarden&amp;pony's 200 - 600 kg</t>
  </si>
  <si>
    <t>Paarden&amp;pony's &lt; 200 kg</t>
  </si>
  <si>
    <t>op basis van VEA (maart 2018) en Inventaris Hernieuwbare Energiebronnen (juni 2018)</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</si>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</sst>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146732.01829399096</c:v>
                </c:pt>
                <c:pt idx="1">
                  <c:v>77768.534028920709</c:v>
                </c:pt>
                <c:pt idx="2">
                  <c:v>1138.1990000000001</c:v>
                </c:pt>
                <c:pt idx="3">
                  <c:v>38918.285201965402</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146732.01829399096</c:v>
                </c:pt>
                <c:pt idx="1">
                  <c:v>77768.534028920709</c:v>
                </c:pt>
                <c:pt idx="2">
                  <c:v>1138.1990000000001</c:v>
                </c:pt>
                <c:pt idx="3">
                  <c:v>38918.285201965402</c:v>
                </c:pt>
                <c:pt idx="4">
                  <c:v>50551.837185660428</c:v>
                </c:pt>
                <c:pt idx="5">
                  <c:v>249679.49405325259</c:v>
                </c:pt>
                <c:pt idx="6">
                  <c:v>1066.2959830472166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24892.75523616988</c:v>
                </c:pt>
                <c:pt idx="1">
                  <c:v>14522.83177426952</c:v>
                </c:pt>
                <c:pt idx="2">
                  <c:v>191.74555890007142</c:v>
                </c:pt>
                <c:pt idx="3">
                  <c:v>5625.9904649764476</c:v>
                </c:pt>
                <c:pt idx="4">
                  <c:v>9633.4651968865619</c:v>
                </c:pt>
                <c:pt idx="5">
                  <c:v>63224.831028954359</c:v>
                </c:pt>
                <c:pt idx="6">
                  <c:v>272.57878231897399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24892.75523616988</c:v>
                </c:pt>
                <c:pt idx="1">
                  <c:v>14522.83177426952</c:v>
                </c:pt>
                <c:pt idx="2">
                  <c:v>191.74555890007142</c:v>
                </c:pt>
                <c:pt idx="3">
                  <c:v>5625.9904649764476</c:v>
                </c:pt>
                <c:pt idx="4">
                  <c:v>9633.4651968865619</c:v>
                </c:pt>
                <c:pt idx="5">
                  <c:v>63224.831028954359</c:v>
                </c:pt>
                <c:pt idx="6">
                  <c:v>272.57878231897399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31003</v>
      </c>
      <c r="B6" s="398"/>
      <c r="C6" s="399"/>
    </row>
    <row r="7" spans="1:7" s="396" customFormat="1" ht="15.75" customHeight="1">
      <c r="A7" s="400" t="str">
        <f>txtMunicipality</f>
        <v>BEERNEM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31003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6021</v>
      </c>
      <c r="C9" s="338">
        <v>6296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4682</v>
      </c>
    </row>
    <row r="15" spans="1:6">
      <c r="A15" s="1212" t="s">
        <v>184</v>
      </c>
      <c r="B15" s="335">
        <v>90</v>
      </c>
    </row>
    <row r="16" spans="1:6">
      <c r="A16" s="1212" t="s">
        <v>6</v>
      </c>
      <c r="B16" s="335">
        <v>3845</v>
      </c>
    </row>
    <row r="17" spans="1:6">
      <c r="A17" s="1212" t="s">
        <v>7</v>
      </c>
      <c r="B17" s="335">
        <v>1350</v>
      </c>
    </row>
    <row r="18" spans="1:6">
      <c r="A18" s="1212" t="s">
        <v>8</v>
      </c>
      <c r="B18" s="335">
        <v>3224</v>
      </c>
    </row>
    <row r="19" spans="1:6">
      <c r="A19" s="1212" t="s">
        <v>9</v>
      </c>
      <c r="B19" s="335">
        <v>3291</v>
      </c>
    </row>
    <row r="20" spans="1:6">
      <c r="A20" s="1212" t="s">
        <v>10</v>
      </c>
      <c r="B20" s="335">
        <v>1917</v>
      </c>
    </row>
    <row r="21" spans="1:6">
      <c r="A21" s="1212" t="s">
        <v>11</v>
      </c>
      <c r="B21" s="335">
        <v>18496</v>
      </c>
    </row>
    <row r="22" spans="1:6">
      <c r="A22" s="1212" t="s">
        <v>12</v>
      </c>
      <c r="B22" s="335">
        <v>41045</v>
      </c>
    </row>
    <row r="23" spans="1:6">
      <c r="A23" s="1212" t="s">
        <v>13</v>
      </c>
      <c r="B23" s="335">
        <v>669</v>
      </c>
    </row>
    <row r="24" spans="1:6">
      <c r="A24" s="1212" t="s">
        <v>14</v>
      </c>
      <c r="B24" s="335">
        <v>26</v>
      </c>
    </row>
    <row r="25" spans="1:6">
      <c r="A25" s="1212" t="s">
        <v>15</v>
      </c>
      <c r="B25" s="335">
        <v>4205</v>
      </c>
    </row>
    <row r="26" spans="1:6">
      <c r="A26" s="1212" t="s">
        <v>16</v>
      </c>
      <c r="B26" s="335">
        <v>644</v>
      </c>
    </row>
    <row r="27" spans="1:6">
      <c r="A27" s="1212" t="s">
        <v>17</v>
      </c>
      <c r="B27" s="335">
        <v>3</v>
      </c>
    </row>
    <row r="28" spans="1:6" s="341" customFormat="1">
      <c r="A28" s="1213" t="s">
        <v>18</v>
      </c>
      <c r="B28" s="1213">
        <v>89212</v>
      </c>
    </row>
    <row r="29" spans="1:6">
      <c r="A29" s="1213" t="s">
        <v>836</v>
      </c>
      <c r="B29" s="1213">
        <v>264</v>
      </c>
      <c r="C29" s="341"/>
      <c r="D29" s="341"/>
      <c r="E29" s="341"/>
      <c r="F29" s="341"/>
    </row>
    <row r="30" spans="1:6">
      <c r="A30" s="1208" t="s">
        <v>837</v>
      </c>
      <c r="B30" s="1208">
        <v>45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3694.4548419693001</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3218</v>
      </c>
      <c r="D39" s="335">
        <v>56923303.883019403</v>
      </c>
      <c r="E39" s="335">
        <v>5652</v>
      </c>
      <c r="F39" s="335">
        <v>27074760.621629599</v>
      </c>
    </row>
    <row r="40" spans="1:6">
      <c r="A40" s="1212" t="s">
        <v>30</v>
      </c>
      <c r="B40" s="1212" t="s">
        <v>29</v>
      </c>
      <c r="C40" s="335">
        <v>0</v>
      </c>
      <c r="D40" s="335">
        <v>0</v>
      </c>
      <c r="E40" s="335">
        <v>0</v>
      </c>
      <c r="F40" s="335">
        <v>0</v>
      </c>
    </row>
    <row r="41" spans="1:6">
      <c r="A41" s="1212" t="s">
        <v>32</v>
      </c>
      <c r="B41" s="1212" t="s">
        <v>33</v>
      </c>
      <c r="C41" s="335">
        <v>74</v>
      </c>
      <c r="D41" s="335">
        <v>1259572.96432274</v>
      </c>
      <c r="E41" s="335">
        <v>164</v>
      </c>
      <c r="F41" s="335">
        <v>4972487.7064246899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5</v>
      </c>
      <c r="D44" s="335">
        <v>316714.50574819499</v>
      </c>
      <c r="E44" s="335">
        <v>19</v>
      </c>
      <c r="F44" s="335">
        <v>1088437.4216722799</v>
      </c>
    </row>
    <row r="45" spans="1:6">
      <c r="A45" s="1212" t="s">
        <v>32</v>
      </c>
      <c r="B45" s="1212" t="s">
        <v>37</v>
      </c>
      <c r="C45" s="335">
        <v>0</v>
      </c>
      <c r="D45" s="335">
        <v>0</v>
      </c>
      <c r="E45" s="335">
        <v>5</v>
      </c>
      <c r="F45" s="335">
        <v>26272.996652187201</v>
      </c>
    </row>
    <row r="46" spans="1:6">
      <c r="A46" s="1212" t="s">
        <v>32</v>
      </c>
      <c r="B46" s="1212" t="s">
        <v>38</v>
      </c>
      <c r="C46" s="335">
        <v>0</v>
      </c>
      <c r="D46" s="335">
        <v>0</v>
      </c>
      <c r="E46" s="335">
        <v>0</v>
      </c>
      <c r="F46" s="335">
        <v>0</v>
      </c>
    </row>
    <row r="47" spans="1:6">
      <c r="A47" s="1212" t="s">
        <v>32</v>
      </c>
      <c r="B47" s="1212" t="s">
        <v>39</v>
      </c>
      <c r="C47" s="335">
        <v>0</v>
      </c>
      <c r="D47" s="335">
        <v>0</v>
      </c>
      <c r="E47" s="335">
        <v>4</v>
      </c>
      <c r="F47" s="335">
        <v>229378.74101076499</v>
      </c>
    </row>
    <row r="48" spans="1:6">
      <c r="A48" s="1212" t="s">
        <v>32</v>
      </c>
      <c r="B48" s="1212" t="s">
        <v>29</v>
      </c>
      <c r="C48" s="335">
        <v>31</v>
      </c>
      <c r="D48" s="335">
        <v>18585045.100566398</v>
      </c>
      <c r="E48" s="335">
        <v>39</v>
      </c>
      <c r="F48" s="335">
        <v>4066574.07093427</v>
      </c>
    </row>
    <row r="49" spans="1:6">
      <c r="A49" s="1212" t="s">
        <v>32</v>
      </c>
      <c r="B49" s="1212" t="s">
        <v>40</v>
      </c>
      <c r="C49" s="335">
        <v>0</v>
      </c>
      <c r="D49" s="335">
        <v>0</v>
      </c>
      <c r="E49" s="335">
        <v>3</v>
      </c>
      <c r="F49" s="335">
        <v>21459.961240156801</v>
      </c>
    </row>
    <row r="50" spans="1:6">
      <c r="A50" s="1212" t="s">
        <v>32</v>
      </c>
      <c r="B50" s="1212" t="s">
        <v>41</v>
      </c>
      <c r="C50" s="335">
        <v>8</v>
      </c>
      <c r="D50" s="335">
        <v>677806.53356466501</v>
      </c>
      <c r="E50" s="335">
        <v>21</v>
      </c>
      <c r="F50" s="335">
        <v>4261917.9351220597</v>
      </c>
    </row>
    <row r="51" spans="1:6">
      <c r="A51" s="1212" t="s">
        <v>42</v>
      </c>
      <c r="B51" s="1212" t="s">
        <v>43</v>
      </c>
      <c r="C51" s="335">
        <v>14</v>
      </c>
      <c r="D51" s="335">
        <v>349317.63805602898</v>
      </c>
      <c r="E51" s="335">
        <v>208</v>
      </c>
      <c r="F51" s="335">
        <v>4459623.2690655403</v>
      </c>
    </row>
    <row r="52" spans="1:6">
      <c r="A52" s="1212" t="s">
        <v>42</v>
      </c>
      <c r="B52" s="1212" t="s">
        <v>29</v>
      </c>
      <c r="C52" s="335">
        <v>3</v>
      </c>
      <c r="D52" s="335">
        <v>65017.972097727201</v>
      </c>
      <c r="E52" s="335">
        <v>4</v>
      </c>
      <c r="F52" s="335">
        <v>47383.995421578402</v>
      </c>
    </row>
    <row r="53" spans="1:6">
      <c r="A53" s="1212" t="s">
        <v>44</v>
      </c>
      <c r="B53" s="1212" t="s">
        <v>45</v>
      </c>
      <c r="C53" s="335">
        <v>80</v>
      </c>
      <c r="D53" s="335">
        <v>2121044.3898816202</v>
      </c>
      <c r="E53" s="335">
        <v>163</v>
      </c>
      <c r="F53" s="335">
        <v>1121053.86763321</v>
      </c>
    </row>
    <row r="54" spans="1:6">
      <c r="A54" s="1212" t="s">
        <v>46</v>
      </c>
      <c r="B54" s="1212" t="s">
        <v>47</v>
      </c>
      <c r="C54" s="335">
        <v>0</v>
      </c>
      <c r="D54" s="335">
        <v>0</v>
      </c>
      <c r="E54" s="335">
        <v>1</v>
      </c>
      <c r="F54" s="335">
        <v>1138199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27</v>
      </c>
      <c r="D57" s="335">
        <v>24042633.071840201</v>
      </c>
      <c r="E57" s="335">
        <v>101</v>
      </c>
      <c r="F57" s="335">
        <v>5095251.3784467401</v>
      </c>
    </row>
    <row r="58" spans="1:6">
      <c r="A58" s="1212" t="s">
        <v>49</v>
      </c>
      <c r="B58" s="1212" t="s">
        <v>51</v>
      </c>
      <c r="C58" s="335">
        <v>32</v>
      </c>
      <c r="D58" s="335">
        <v>3026202.9660447701</v>
      </c>
      <c r="E58" s="335">
        <v>58</v>
      </c>
      <c r="F58" s="335">
        <v>945352.55863043899</v>
      </c>
    </row>
    <row r="59" spans="1:6">
      <c r="A59" s="1212" t="s">
        <v>49</v>
      </c>
      <c r="B59" s="1212" t="s">
        <v>52</v>
      </c>
      <c r="C59" s="335">
        <v>47</v>
      </c>
      <c r="D59" s="335">
        <v>2276425.9158576401</v>
      </c>
      <c r="E59" s="335">
        <v>153</v>
      </c>
      <c r="F59" s="335">
        <v>5546184.79138654</v>
      </c>
    </row>
    <row r="60" spans="1:6">
      <c r="A60" s="1212" t="s">
        <v>49</v>
      </c>
      <c r="B60" s="1212" t="s">
        <v>53</v>
      </c>
      <c r="C60" s="335">
        <v>32</v>
      </c>
      <c r="D60" s="335">
        <v>17279442.242940199</v>
      </c>
      <c r="E60" s="335">
        <v>59</v>
      </c>
      <c r="F60" s="335">
        <v>1739135.30437573</v>
      </c>
    </row>
    <row r="61" spans="1:6">
      <c r="A61" s="1212" t="s">
        <v>49</v>
      </c>
      <c r="B61" s="1212" t="s">
        <v>54</v>
      </c>
      <c r="C61" s="335">
        <v>63</v>
      </c>
      <c r="D61" s="335">
        <v>3862492.07475683</v>
      </c>
      <c r="E61" s="335">
        <v>184</v>
      </c>
      <c r="F61" s="335">
        <v>2717797.78718718</v>
      </c>
    </row>
    <row r="62" spans="1:6">
      <c r="A62" s="1212" t="s">
        <v>49</v>
      </c>
      <c r="B62" s="1212" t="s">
        <v>55</v>
      </c>
      <c r="C62" s="335">
        <v>5</v>
      </c>
      <c r="D62" s="335">
        <v>473962.21258883103</v>
      </c>
      <c r="E62" s="335">
        <v>11</v>
      </c>
      <c r="F62" s="335">
        <v>164851.332358374</v>
      </c>
    </row>
    <row r="63" spans="1:6">
      <c r="A63" s="1212" t="s">
        <v>49</v>
      </c>
      <c r="B63" s="1212" t="s">
        <v>29</v>
      </c>
      <c r="C63" s="335">
        <v>90</v>
      </c>
      <c r="D63" s="335">
        <v>3279303.27879189</v>
      </c>
      <c r="E63" s="335">
        <v>104</v>
      </c>
      <c r="F63" s="335">
        <v>3995349.8811530001</v>
      </c>
    </row>
    <row r="64" spans="1:6">
      <c r="A64" s="1212" t="s">
        <v>56</v>
      </c>
      <c r="B64" s="1212" t="s">
        <v>57</v>
      </c>
      <c r="C64" s="335">
        <v>0</v>
      </c>
      <c r="D64" s="335">
        <v>0</v>
      </c>
      <c r="E64" s="335">
        <v>0</v>
      </c>
      <c r="F64" s="335">
        <v>0</v>
      </c>
    </row>
    <row r="65" spans="1:6">
      <c r="A65" s="1212" t="s">
        <v>56</v>
      </c>
      <c r="B65" s="1212" t="s">
        <v>29</v>
      </c>
      <c r="C65" s="335">
        <v>1</v>
      </c>
      <c r="D65" s="335">
        <v>11854.863279819599</v>
      </c>
      <c r="E65" s="335">
        <v>2</v>
      </c>
      <c r="F65" s="335">
        <v>9369.4082485041999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131725.05171384101</v>
      </c>
      <c r="E68" s="335">
        <v>13</v>
      </c>
      <c r="F68" s="335">
        <v>135307.49063832601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55807950</v>
      </c>
      <c r="E73" s="335">
        <v>61174193.821100205</v>
      </c>
    </row>
    <row r="74" spans="1:6">
      <c r="A74" s="1212" t="s">
        <v>64</v>
      </c>
      <c r="B74" s="1212" t="s">
        <v>727</v>
      </c>
      <c r="C74" s="1212" t="s">
        <v>728</v>
      </c>
      <c r="D74" s="335">
        <v>4985133.6583657078</v>
      </c>
      <c r="E74" s="335">
        <v>5357249.4102705019</v>
      </c>
    </row>
    <row r="75" spans="1:6">
      <c r="A75" s="1212" t="s">
        <v>65</v>
      </c>
      <c r="B75" s="1212" t="s">
        <v>725</v>
      </c>
      <c r="C75" s="1212" t="s">
        <v>729</v>
      </c>
      <c r="D75" s="335">
        <v>25342193</v>
      </c>
      <c r="E75" s="335">
        <v>28242453.161697369</v>
      </c>
    </row>
    <row r="76" spans="1:6">
      <c r="A76" s="1212" t="s">
        <v>65</v>
      </c>
      <c r="B76" s="1212" t="s">
        <v>727</v>
      </c>
      <c r="C76" s="1212" t="s">
        <v>730</v>
      </c>
      <c r="D76" s="335">
        <v>2567795.6583657078</v>
      </c>
      <c r="E76" s="335">
        <v>2746189.9428228862</v>
      </c>
    </row>
    <row r="77" spans="1:6">
      <c r="A77" s="1212" t="s">
        <v>66</v>
      </c>
      <c r="B77" s="1212" t="s">
        <v>725</v>
      </c>
      <c r="C77" s="1212" t="s">
        <v>731</v>
      </c>
      <c r="D77" s="335">
        <v>151174711</v>
      </c>
      <c r="E77" s="335">
        <v>167326892.57970315</v>
      </c>
    </row>
    <row r="78" spans="1:6">
      <c r="A78" s="1208" t="s">
        <v>66</v>
      </c>
      <c r="B78" s="1208" t="s">
        <v>727</v>
      </c>
      <c r="C78" s="1208" t="s">
        <v>732</v>
      </c>
      <c r="D78" s="1208">
        <v>26451007</v>
      </c>
      <c r="E78" s="1208">
        <v>28569659.349357504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281702.6832685846</v>
      </c>
      <c r="C83" s="335">
        <v>283383.32531882467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3673.6690550875396</v>
      </c>
    </row>
    <row r="92" spans="1:6">
      <c r="A92" s="1208" t="s">
        <v>69</v>
      </c>
      <c r="B92" s="338">
        <v>2182.581150868959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1822</v>
      </c>
    </row>
    <row r="98" spans="1:6">
      <c r="A98" s="1212" t="s">
        <v>72</v>
      </c>
      <c r="B98" s="335">
        <v>0</v>
      </c>
    </row>
    <row r="99" spans="1:6">
      <c r="A99" s="1212" t="s">
        <v>73</v>
      </c>
      <c r="B99" s="335">
        <v>231</v>
      </c>
    </row>
    <row r="100" spans="1:6">
      <c r="A100" s="1212" t="s">
        <v>74</v>
      </c>
      <c r="B100" s="335">
        <v>578</v>
      </c>
    </row>
    <row r="101" spans="1:6">
      <c r="A101" s="1212" t="s">
        <v>75</v>
      </c>
      <c r="B101" s="335">
        <v>208</v>
      </c>
    </row>
    <row r="102" spans="1:6">
      <c r="A102" s="1212" t="s">
        <v>76</v>
      </c>
      <c r="B102" s="335">
        <v>118</v>
      </c>
    </row>
    <row r="103" spans="1:6">
      <c r="A103" s="1212" t="s">
        <v>77</v>
      </c>
      <c r="B103" s="335">
        <v>262</v>
      </c>
    </row>
    <row r="104" spans="1:6">
      <c r="A104" s="1212" t="s">
        <v>78</v>
      </c>
      <c r="B104" s="335">
        <v>2094</v>
      </c>
    </row>
    <row r="105" spans="1:6">
      <c r="A105" s="1208" t="s">
        <v>79</v>
      </c>
      <c r="B105" s="1208">
        <v>10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29</v>
      </c>
      <c r="C123" s="335">
        <v>29</v>
      </c>
    </row>
    <row r="124" spans="1:6">
      <c r="A124" s="1208" t="s">
        <v>89</v>
      </c>
      <c r="B124" s="335">
        <v>3</v>
      </c>
      <c r="C124" s="335">
        <v>3</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222</v>
      </c>
    </row>
    <row r="130" spans="1:6">
      <c r="A130" s="1212" t="s">
        <v>295</v>
      </c>
      <c r="B130" s="335">
        <v>1</v>
      </c>
    </row>
    <row r="131" spans="1:6">
      <c r="A131" s="1212" t="s">
        <v>296</v>
      </c>
      <c r="B131" s="335">
        <v>4</v>
      </c>
    </row>
    <row r="132" spans="1:6">
      <c r="A132" s="1208" t="s">
        <v>297</v>
      </c>
      <c r="B132" s="338">
        <v>21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71276.773661579457</v>
      </c>
      <c r="C3" s="43" t="s">
        <v>170</v>
      </c>
      <c r="D3" s="43"/>
      <c r="E3" s="156"/>
      <c r="F3" s="43"/>
      <c r="G3" s="43"/>
      <c r="H3" s="43"/>
      <c r="I3" s="43"/>
      <c r="J3" s="43"/>
      <c r="K3" s="96"/>
    </row>
    <row r="4" spans="1:11">
      <c r="A4" s="366" t="s">
        <v>171</v>
      </c>
      <c r="B4" s="49">
        <f>IF(ISERROR('SEAP template'!B69),0,'SEAP template'!B69)</f>
        <v>16943.875205956498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0.16846400225274438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15839.464285714286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1138.1990000000001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1138.1990000000001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0.16846400225274438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191.74555890007142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27074.760621629601</v>
      </c>
      <c r="C5" s="17">
        <f>IF(ISERROR('Eigen informatie GS &amp; warmtenet'!B57),0,'Eigen informatie GS &amp; warmtenet'!B57)</f>
        <v>0</v>
      </c>
      <c r="D5" s="30">
        <f>(SUM(HH_hh_gas_kWh,HH_rest_gas_kWh)/1000)*0.902</f>
        <v>51344.820102483507</v>
      </c>
      <c r="E5" s="17">
        <f>B46*B57</f>
        <v>8472.1552523261344</v>
      </c>
      <c r="F5" s="17">
        <f>B51*B62</f>
        <v>21180.290111930903</v>
      </c>
      <c r="G5" s="18"/>
      <c r="H5" s="17"/>
      <c r="I5" s="17"/>
      <c r="J5" s="17">
        <f>B50*B61+C50*C61</f>
        <v>4979.6083247960505</v>
      </c>
      <c r="K5" s="17"/>
      <c r="L5" s="17"/>
      <c r="M5" s="17"/>
      <c r="N5" s="17">
        <f>B48*B59+C48*C59</f>
        <v>28599.094825737244</v>
      </c>
      <c r="O5" s="17">
        <f>B69*B70*B71</f>
        <v>397.08666666666664</v>
      </c>
      <c r="P5" s="17">
        <f>B77*B78*B79/1000-B77*B78*B79/1000/B80</f>
        <v>1010.5333333333333</v>
      </c>
    </row>
    <row r="6" spans="1:16">
      <c r="A6" s="16" t="s">
        <v>634</v>
      </c>
      <c r="B6" s="831">
        <f>kWh_PV_kleiner_dan_10kW</f>
        <v>3673.6690550875396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30748.42967671714</v>
      </c>
      <c r="C8" s="21">
        <f>C5</f>
        <v>0</v>
      </c>
      <c r="D8" s="21">
        <f>D5</f>
        <v>51344.820102483507</v>
      </c>
      <c r="E8" s="21">
        <f>E5</f>
        <v>8472.1552523261344</v>
      </c>
      <c r="F8" s="21">
        <f>F5</f>
        <v>21180.290111930903</v>
      </c>
      <c r="G8" s="21"/>
      <c r="H8" s="21"/>
      <c r="I8" s="21"/>
      <c r="J8" s="21">
        <f>J5</f>
        <v>4979.6083247960505</v>
      </c>
      <c r="K8" s="21"/>
      <c r="L8" s="21">
        <f>L5</f>
        <v>0</v>
      </c>
      <c r="M8" s="21">
        <f>M5</f>
        <v>0</v>
      </c>
      <c r="N8" s="21">
        <f>N5</f>
        <v>28599.094825737244</v>
      </c>
      <c r="O8" s="21">
        <f>O5</f>
        <v>397.08666666666664</v>
      </c>
      <c r="P8" s="21">
        <f>P5</f>
        <v>1010.5333333333333</v>
      </c>
    </row>
    <row r="9" spans="1:16">
      <c r="B9" s="19"/>
      <c r="C9" s="19"/>
      <c r="D9" s="261"/>
      <c r="E9" s="19"/>
      <c r="F9" s="19"/>
      <c r="G9" s="19"/>
      <c r="H9" s="19"/>
      <c r="I9" s="19"/>
      <c r="J9" s="19"/>
      <c r="K9" s="19"/>
      <c r="L9" s="19"/>
      <c r="M9" s="19"/>
      <c r="N9" s="19"/>
      <c r="O9" s="19"/>
      <c r="P9" s="19"/>
    </row>
    <row r="10" spans="1:16">
      <c r="A10" s="24" t="s">
        <v>214</v>
      </c>
      <c r="B10" s="25">
        <f ca="1">'EF ele_warmte'!B12</f>
        <v>0.16846400225274438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5180.0035263268283</v>
      </c>
      <c r="C12" s="23">
        <f ca="1">C10*C8</f>
        <v>0</v>
      </c>
      <c r="D12" s="23">
        <f>D8*D10</f>
        <v>10371.65366070167</v>
      </c>
      <c r="E12" s="23">
        <f>E10*E8</f>
        <v>1923.1792422780325</v>
      </c>
      <c r="F12" s="23">
        <f>F10*F8</f>
        <v>5655.1374598855509</v>
      </c>
      <c r="G12" s="23"/>
      <c r="H12" s="23"/>
      <c r="I12" s="23"/>
      <c r="J12" s="23">
        <f>J10*J8</f>
        <v>1762.7813469778018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1822</v>
      </c>
      <c r="C18" s="168" t="s">
        <v>111</v>
      </c>
      <c r="D18" s="230"/>
      <c r="E18" s="15"/>
    </row>
    <row r="19" spans="1:7">
      <c r="A19" s="173" t="s">
        <v>72</v>
      </c>
      <c r="B19" s="37">
        <f>aantalw2001_ander</f>
        <v>0</v>
      </c>
      <c r="C19" s="168" t="s">
        <v>111</v>
      </c>
      <c r="D19" s="231"/>
      <c r="E19" s="15"/>
    </row>
    <row r="20" spans="1:7">
      <c r="A20" s="173" t="s">
        <v>73</v>
      </c>
      <c r="B20" s="37">
        <f>aantalw2001_propaan</f>
        <v>231</v>
      </c>
      <c r="C20" s="169">
        <f>IF(ISERROR(B20/SUM($B$20,$B$21,$B$22)*100),0,B20/SUM($B$20,$B$21,$B$22)*100)</f>
        <v>22.713864306784661</v>
      </c>
      <c r="D20" s="231"/>
      <c r="E20" s="15"/>
    </row>
    <row r="21" spans="1:7">
      <c r="A21" s="173" t="s">
        <v>74</v>
      </c>
      <c r="B21" s="37">
        <f>aantalw2001_elektriciteit</f>
        <v>578</v>
      </c>
      <c r="C21" s="169">
        <f>IF(ISERROR(B21/SUM($B$20,$B$21,$B$22)*100),0,B21/SUM($B$20,$B$21,$B$22)*100)</f>
        <v>56.83382497541789</v>
      </c>
      <c r="D21" s="231"/>
      <c r="E21" s="15"/>
    </row>
    <row r="22" spans="1:7">
      <c r="A22" s="173" t="s">
        <v>75</v>
      </c>
      <c r="B22" s="37">
        <f>aantalw2001_hout</f>
        <v>208</v>
      </c>
      <c r="C22" s="169">
        <f>IF(ISERROR(B22/SUM($B$20,$B$21,$B$22)*100),0,B22/SUM($B$20,$B$21,$B$22)*100)</f>
        <v>20.452310717797442</v>
      </c>
      <c r="D22" s="231"/>
      <c r="E22" s="15"/>
    </row>
    <row r="23" spans="1:7">
      <c r="A23" s="173" t="s">
        <v>76</v>
      </c>
      <c r="B23" s="37">
        <f>aantalw2001_niet_gespec</f>
        <v>118</v>
      </c>
      <c r="C23" s="168" t="s">
        <v>111</v>
      </c>
      <c r="D23" s="230"/>
      <c r="E23" s="15"/>
    </row>
    <row r="24" spans="1:7">
      <c r="A24" s="173" t="s">
        <v>77</v>
      </c>
      <c r="B24" s="37">
        <f>aantalw2001_steenkool</f>
        <v>262</v>
      </c>
      <c r="C24" s="168" t="s">
        <v>111</v>
      </c>
      <c r="D24" s="231"/>
      <c r="E24" s="15"/>
    </row>
    <row r="25" spans="1:7">
      <c r="A25" s="173" t="s">
        <v>78</v>
      </c>
      <c r="B25" s="37">
        <f>aantalw2001_stookolie</f>
        <v>2094</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6021</v>
      </c>
      <c r="C28" s="36"/>
      <c r="D28" s="230"/>
    </row>
    <row r="29" spans="1:7" s="15" customFormat="1">
      <c r="A29" s="232" t="s">
        <v>746</v>
      </c>
      <c r="B29" s="37">
        <f>SUM(HH_hh_gas_aantal,HH_rest_gas_aantal)</f>
        <v>3218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3218</v>
      </c>
      <c r="C32" s="169">
        <f>IF(ISERROR(B32/SUM($B$32,$B$34,$B$35,$B$36,$B$38,$B$39)*100),0,B32/SUM($B$32,$B$34,$B$35,$B$36,$B$38,$B$39)*100)</f>
        <v>53.92091152815015</v>
      </c>
      <c r="D32" s="235"/>
      <c r="G32" s="15"/>
    </row>
    <row r="33" spans="1:7">
      <c r="A33" s="173" t="s">
        <v>72</v>
      </c>
      <c r="B33" s="34" t="s">
        <v>111</v>
      </c>
      <c r="C33" s="169"/>
      <c r="D33" s="235"/>
      <c r="G33" s="15"/>
    </row>
    <row r="34" spans="1:7">
      <c r="A34" s="173" t="s">
        <v>73</v>
      </c>
      <c r="B34" s="33">
        <f>IF((($B$28-$B$32-$B$39-$B$77-$B$38)*C20/100)&lt;0,0,($B$28-$B$32-$B$39-$B$77-$B$38)*C20/100)</f>
        <v>406.57817109144543</v>
      </c>
      <c r="C34" s="169">
        <f>IF(ISERROR(B34/SUM($B$32,$B$34,$B$35,$B$36,$B$38,$B$39)*100),0,B34/SUM($B$32,$B$34,$B$35,$B$36,$B$38,$B$39)*100)</f>
        <v>6.8126369150711383</v>
      </c>
      <c r="D34" s="235"/>
      <c r="G34" s="15"/>
    </row>
    <row r="35" spans="1:7">
      <c r="A35" s="173" t="s">
        <v>74</v>
      </c>
      <c r="B35" s="33">
        <f>IF((($B$28-$B$32-$B$39-$B$77-$B$38)*C21/100)&lt;0,0,($B$28-$B$32-$B$39-$B$77-$B$38)*C21/100)</f>
        <v>1017.3254670599803</v>
      </c>
      <c r="C35" s="169">
        <f>IF(ISERROR(B35/SUM($B$32,$B$34,$B$35,$B$36,$B$38,$B$39)*100),0,B35/SUM($B$32,$B$34,$B$35,$B$36,$B$38,$B$39)*100)</f>
        <v>17.046338255026484</v>
      </c>
      <c r="D35" s="235"/>
      <c r="G35" s="15"/>
    </row>
    <row r="36" spans="1:7">
      <c r="A36" s="173" t="s">
        <v>75</v>
      </c>
      <c r="B36" s="33">
        <f>IF((($B$28-$B$32-$B$39-$B$77-$B$38)*C22/100)&lt;0,0,($B$28-$B$32-$B$39-$B$77-$B$38)*C22/100)</f>
        <v>366.09636184857425</v>
      </c>
      <c r="C36" s="169">
        <f>IF(ISERROR(B36/SUM($B$32,$B$34,$B$35,$B$36,$B$38,$B$39)*100),0,B36/SUM($B$32,$B$34,$B$35,$B$36,$B$38,$B$39)*100)</f>
        <v>6.1343224170337525</v>
      </c>
      <c r="D36" s="235"/>
      <c r="G36" s="15"/>
    </row>
    <row r="37" spans="1:7">
      <c r="A37" s="173" t="s">
        <v>76</v>
      </c>
      <c r="B37" s="34" t="s">
        <v>111</v>
      </c>
      <c r="C37" s="169"/>
      <c r="D37" s="175"/>
      <c r="G37" s="15"/>
    </row>
    <row r="38" spans="1:7">
      <c r="A38" s="173" t="s">
        <v>77</v>
      </c>
      <c r="B38" s="33">
        <f>IF((B24-(B29-B18)*0.1)&lt;0,0,B24-(B29-B18)*0.1)</f>
        <v>122.4</v>
      </c>
      <c r="C38" s="169">
        <f>IF(ISERROR(B38/SUM($B$32,$B$34,$B$35,$B$36,$B$38,$B$39)*100),0,B38/SUM($B$32,$B$34,$B$35,$B$36,$B$38,$B$39)*100)</f>
        <v>2.0509383378016093</v>
      </c>
      <c r="D38" s="236"/>
      <c r="G38" s="15"/>
    </row>
    <row r="39" spans="1:7">
      <c r="A39" s="173" t="s">
        <v>78</v>
      </c>
      <c r="B39" s="33">
        <f>IF((B25-(B29-B18))&lt;0,0,B25-(B29-B18)*0.9)</f>
        <v>837.59999999999991</v>
      </c>
      <c r="C39" s="169">
        <f>IF(ISERROR(B39/SUM($B$32,$B$34,$B$35,$B$36,$B$38,$B$39)*100),0,B39/SUM($B$32,$B$34,$B$35,$B$36,$B$38,$B$39)*100)</f>
        <v>14.034852546916893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3218</v>
      </c>
      <c r="C44" s="34" t="s">
        <v>111</v>
      </c>
      <c r="D44" s="176"/>
    </row>
    <row r="45" spans="1:7">
      <c r="A45" s="173" t="s">
        <v>72</v>
      </c>
      <c r="B45" s="33" t="str">
        <f t="shared" si="0"/>
        <v>-</v>
      </c>
      <c r="C45" s="34" t="s">
        <v>111</v>
      </c>
      <c r="D45" s="176"/>
    </row>
    <row r="46" spans="1:7">
      <c r="A46" s="173" t="s">
        <v>73</v>
      </c>
      <c r="B46" s="33">
        <f t="shared" si="0"/>
        <v>406.57817109144543</v>
      </c>
      <c r="C46" s="34" t="s">
        <v>111</v>
      </c>
      <c r="D46" s="176"/>
    </row>
    <row r="47" spans="1:7">
      <c r="A47" s="173" t="s">
        <v>74</v>
      </c>
      <c r="B47" s="33">
        <f t="shared" si="0"/>
        <v>1017.3254670599803</v>
      </c>
      <c r="C47" s="34" t="s">
        <v>111</v>
      </c>
      <c r="D47" s="176"/>
    </row>
    <row r="48" spans="1:7">
      <c r="A48" s="173" t="s">
        <v>75</v>
      </c>
      <c r="B48" s="33">
        <f t="shared" si="0"/>
        <v>366.09636184857425</v>
      </c>
      <c r="C48" s="33">
        <f>B48*10</f>
        <v>3660.9636184857427</v>
      </c>
      <c r="D48" s="236"/>
    </row>
    <row r="49" spans="1:6">
      <c r="A49" s="173" t="s">
        <v>76</v>
      </c>
      <c r="B49" s="33" t="str">
        <f t="shared" si="0"/>
        <v>-</v>
      </c>
      <c r="C49" s="34" t="s">
        <v>111</v>
      </c>
      <c r="D49" s="236"/>
    </row>
    <row r="50" spans="1:6">
      <c r="A50" s="173" t="s">
        <v>77</v>
      </c>
      <c r="B50" s="33">
        <f t="shared" si="0"/>
        <v>122.4</v>
      </c>
      <c r="C50" s="33">
        <f>B50*2</f>
        <v>244.8</v>
      </c>
      <c r="D50" s="236"/>
    </row>
    <row r="51" spans="1:6">
      <c r="A51" s="173" t="s">
        <v>78</v>
      </c>
      <c r="B51" s="33">
        <f t="shared" si="0"/>
        <v>837.59999999999991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254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20203.923033538002</v>
      </c>
      <c r="C5" s="17">
        <f>IF(ISERROR('Eigen informatie GS &amp; warmtenet'!B58),0,'Eigen informatie GS &amp; warmtenet'!B58)</f>
        <v>0</v>
      </c>
      <c r="D5" s="30">
        <f>SUM(D6:D12)</f>
        <v>48924.896510063962</v>
      </c>
      <c r="E5" s="17">
        <f>SUM(E6:E12)</f>
        <v>261.5212123176567</v>
      </c>
      <c r="F5" s="17">
        <f>SUM(F6:F12)</f>
        <v>4408.2532906526994</v>
      </c>
      <c r="G5" s="18"/>
      <c r="H5" s="17"/>
      <c r="I5" s="17"/>
      <c r="J5" s="17">
        <f>SUM(J6:J12)</f>
        <v>0</v>
      </c>
      <c r="K5" s="17"/>
      <c r="L5" s="17"/>
      <c r="M5" s="17"/>
      <c r="N5" s="17">
        <f>SUM(N6:N12)</f>
        <v>3892.1099823483878</v>
      </c>
      <c r="O5" s="17">
        <f>B38*B39*B40</f>
        <v>1.5633333333333335</v>
      </c>
      <c r="P5" s="17">
        <f>B46*B47*B48/1000-B46*B47*B48/1000/B49</f>
        <v>76.266666666666666</v>
      </c>
      <c r="R5" s="32"/>
    </row>
    <row r="6" spans="1:18">
      <c r="A6" s="32" t="s">
        <v>54</v>
      </c>
      <c r="B6" s="37">
        <f>B26</f>
        <v>2717.7977871871799</v>
      </c>
      <c r="C6" s="33"/>
      <c r="D6" s="37">
        <f>IF(ISERROR(TER_kantoor_gas_kWh/1000),0,TER_kantoor_gas_kWh/1000)*0.902</f>
        <v>3483.9678514306606</v>
      </c>
      <c r="E6" s="33">
        <f>$C$26*'E Balans VL '!I12/100/3.6*1000000</f>
        <v>10.559219794538826</v>
      </c>
      <c r="F6" s="33">
        <f>$C$26*('E Balans VL '!L12+'E Balans VL '!N12)/100/3.6*1000000</f>
        <v>413.35231344295238</v>
      </c>
      <c r="G6" s="34"/>
      <c r="H6" s="33"/>
      <c r="I6" s="33"/>
      <c r="J6" s="33">
        <f>$C$26*('E Balans VL '!D12+'E Balans VL '!E12)/100/3.6*1000000</f>
        <v>0</v>
      </c>
      <c r="K6" s="33"/>
      <c r="L6" s="33"/>
      <c r="M6" s="33"/>
      <c r="N6" s="33">
        <f>$C$26*'E Balans VL '!Y12/100/3.6*1000000</f>
        <v>1.4978321648968986</v>
      </c>
      <c r="O6" s="33"/>
      <c r="P6" s="33"/>
      <c r="R6" s="32"/>
    </row>
    <row r="7" spans="1:18">
      <c r="A7" s="32" t="s">
        <v>53</v>
      </c>
      <c r="B7" s="37">
        <f t="shared" ref="B7:B12" si="0">B27</f>
        <v>1739.1353043757299</v>
      </c>
      <c r="C7" s="33"/>
      <c r="D7" s="37">
        <f>IF(ISERROR(TER_horeca_gas_kWh/1000),0,TER_horeca_gas_kWh/1000)*0.902</f>
        <v>15586.056903132061</v>
      </c>
      <c r="E7" s="33">
        <f>$C$27*'E Balans VL '!I9/100/3.6*1000000</f>
        <v>97.965956663228241</v>
      </c>
      <c r="F7" s="33">
        <f>$C$27*('E Balans VL '!L9+'E Balans VL '!N9)/100/3.6*1000000</f>
        <v>501.46250187679095</v>
      </c>
      <c r="G7" s="34"/>
      <c r="H7" s="33"/>
      <c r="I7" s="33"/>
      <c r="J7" s="33">
        <f>$C$27*('E Balans VL '!D9+'E Balans VL '!E9)/100/3.6*1000000</f>
        <v>0</v>
      </c>
      <c r="K7" s="33"/>
      <c r="L7" s="33"/>
      <c r="M7" s="33"/>
      <c r="N7" s="33">
        <f>$C$27*'E Balans VL '!Y9/100/3.6*1000000</f>
        <v>0.48016622014079652</v>
      </c>
      <c r="O7" s="33"/>
      <c r="P7" s="33"/>
      <c r="R7" s="32"/>
    </row>
    <row r="8" spans="1:18">
      <c r="A8" s="6" t="s">
        <v>52</v>
      </c>
      <c r="B8" s="37">
        <f t="shared" si="0"/>
        <v>5546.1847913865404</v>
      </c>
      <c r="C8" s="33"/>
      <c r="D8" s="37">
        <f>IF(ISERROR(TER_handel_gas_kWh/1000),0,TER_handel_gas_kWh/1000)*0.902</f>
        <v>2053.3361761035912</v>
      </c>
      <c r="E8" s="33">
        <f>$C$28*'E Balans VL '!I13/100/3.6*1000000</f>
        <v>79.939339177109758</v>
      </c>
      <c r="F8" s="33">
        <f>$C$28*('E Balans VL '!L13+'E Balans VL '!N13)/100/3.6*1000000</f>
        <v>963.50146019193471</v>
      </c>
      <c r="G8" s="34"/>
      <c r="H8" s="33"/>
      <c r="I8" s="33"/>
      <c r="J8" s="33">
        <f>$C$28*('E Balans VL '!D13+'E Balans VL '!E13)/100/3.6*1000000</f>
        <v>0</v>
      </c>
      <c r="K8" s="33"/>
      <c r="L8" s="33"/>
      <c r="M8" s="33"/>
      <c r="N8" s="33">
        <f>$C$28*'E Balans VL '!Y13/100/3.6*1000000</f>
        <v>16.616987049003875</v>
      </c>
      <c r="O8" s="33"/>
      <c r="P8" s="33"/>
      <c r="R8" s="32"/>
    </row>
    <row r="9" spans="1:18">
      <c r="A9" s="32" t="s">
        <v>51</v>
      </c>
      <c r="B9" s="37">
        <f t="shared" si="0"/>
        <v>945.35255863043903</v>
      </c>
      <c r="C9" s="33"/>
      <c r="D9" s="37">
        <f>IF(ISERROR(TER_gezond_gas_kWh/1000),0,TER_gezond_gas_kWh/1000)*0.902</f>
        <v>2729.6350753723827</v>
      </c>
      <c r="E9" s="33">
        <f>$C$29*'E Balans VL '!I10/100/3.6*1000000</f>
        <v>1.009881559002197</v>
      </c>
      <c r="F9" s="33">
        <f>$C$29*('E Balans VL '!L10+'E Balans VL '!N10)/100/3.6*1000000</f>
        <v>154.21573265499438</v>
      </c>
      <c r="G9" s="34"/>
      <c r="H9" s="33"/>
      <c r="I9" s="33"/>
      <c r="J9" s="33">
        <f>$C$29*('E Balans VL '!D10+'E Balans VL '!E10)/100/3.6*1000000</f>
        <v>0</v>
      </c>
      <c r="K9" s="33"/>
      <c r="L9" s="33"/>
      <c r="M9" s="33"/>
      <c r="N9" s="33">
        <f>$C$29*'E Balans VL '!Y10/100/3.6*1000000</f>
        <v>9.7318651836917596</v>
      </c>
      <c r="O9" s="33"/>
      <c r="P9" s="33"/>
      <c r="R9" s="32"/>
    </row>
    <row r="10" spans="1:18">
      <c r="A10" s="32" t="s">
        <v>50</v>
      </c>
      <c r="B10" s="37">
        <f t="shared" si="0"/>
        <v>5095.2513784467401</v>
      </c>
      <c r="C10" s="33"/>
      <c r="D10" s="37">
        <f>IF(ISERROR(TER_ander_gas_kWh/1000),0,TER_ander_gas_kWh/1000)*0.902</f>
        <v>21686.455030799862</v>
      </c>
      <c r="E10" s="33">
        <f>$C$30*'E Balans VL '!I14/100/3.6*1000000</f>
        <v>23.432286044207469</v>
      </c>
      <c r="F10" s="33">
        <f>$C$30*('E Balans VL '!L14+'E Balans VL '!N14)/100/3.6*1000000</f>
        <v>1527.2075567940851</v>
      </c>
      <c r="G10" s="34"/>
      <c r="H10" s="33"/>
      <c r="I10" s="33"/>
      <c r="J10" s="33">
        <f>$C$30*('E Balans VL '!D14+'E Balans VL '!E14)/100/3.6*1000000</f>
        <v>0</v>
      </c>
      <c r="K10" s="33"/>
      <c r="L10" s="33"/>
      <c r="M10" s="33"/>
      <c r="N10" s="33">
        <f>$C$30*'E Balans VL '!Y14/100/3.6*1000000</f>
        <v>3546.6313008590682</v>
      </c>
      <c r="O10" s="33"/>
      <c r="P10" s="33"/>
      <c r="R10" s="32"/>
    </row>
    <row r="11" spans="1:18">
      <c r="A11" s="32" t="s">
        <v>55</v>
      </c>
      <c r="B11" s="37">
        <f t="shared" si="0"/>
        <v>164.85133235837401</v>
      </c>
      <c r="C11" s="33"/>
      <c r="D11" s="37">
        <f>IF(ISERROR(TER_onderwijs_gas_kWh/1000),0,TER_onderwijs_gas_kWh/1000)*0.902</f>
        <v>427.51391575512559</v>
      </c>
      <c r="E11" s="33">
        <f>$C$31*'E Balans VL '!I11/100/3.6*1000000</f>
        <v>0.15292129015969885</v>
      </c>
      <c r="F11" s="33">
        <f>$C$31*('E Balans VL '!L11+'E Balans VL '!N11)/100/3.6*1000000</f>
        <v>57.90848422202545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3995.3498811529998</v>
      </c>
      <c r="C12" s="33"/>
      <c r="D12" s="37">
        <f>IF(ISERROR(TER_rest_gas_kWh/1000),0,TER_rest_gas_kWh/1000)*0.902</f>
        <v>2957.931557470285</v>
      </c>
      <c r="E12" s="33">
        <f>$C$32*'E Balans VL '!I8/100/3.6*1000000</f>
        <v>48.4616077894105</v>
      </c>
      <c r="F12" s="33">
        <f>$C$32*('E Balans VL '!L8+'E Balans VL '!N8)/100/3.6*1000000</f>
        <v>790.60524146991645</v>
      </c>
      <c r="G12" s="34"/>
      <c r="H12" s="33"/>
      <c r="I12" s="33"/>
      <c r="J12" s="33">
        <f>$C$32*('E Balans VL '!D8+'E Balans VL '!E8)/100/3.6*1000000</f>
        <v>0</v>
      </c>
      <c r="K12" s="33"/>
      <c r="L12" s="33"/>
      <c r="M12" s="33"/>
      <c r="N12" s="33">
        <f>$C$32*'E Balans VL '!Y8/100/3.6*1000000</f>
        <v>317.15183087158624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20203.923033538002</v>
      </c>
      <c r="C16" s="21">
        <f t="shared" ca="1" si="1"/>
        <v>0</v>
      </c>
      <c r="D16" s="21">
        <f t="shared" ca="1" si="1"/>
        <v>48924.896510063962</v>
      </c>
      <c r="E16" s="21">
        <f t="shared" si="1"/>
        <v>261.5212123176567</v>
      </c>
      <c r="F16" s="21">
        <f t="shared" ca="1" si="1"/>
        <v>4408.2532906526994</v>
      </c>
      <c r="G16" s="21">
        <f t="shared" si="1"/>
        <v>0</v>
      </c>
      <c r="H16" s="21">
        <f t="shared" si="1"/>
        <v>0</v>
      </c>
      <c r="I16" s="21">
        <f t="shared" si="1"/>
        <v>0</v>
      </c>
      <c r="J16" s="21">
        <f t="shared" si="1"/>
        <v>0</v>
      </c>
      <c r="K16" s="21">
        <f t="shared" si="1"/>
        <v>0</v>
      </c>
      <c r="L16" s="21">
        <f t="shared" ca="1" si="1"/>
        <v>0</v>
      </c>
      <c r="M16" s="21">
        <f t="shared" si="1"/>
        <v>0</v>
      </c>
      <c r="N16" s="21">
        <f t="shared" ca="1" si="1"/>
        <v>3892.1099823483878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0.16846400225274438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3403.6337354362199</v>
      </c>
      <c r="C20" s="23">
        <f t="shared" ref="C20:P20" ca="1" si="2">C16*C18</f>
        <v>0</v>
      </c>
      <c r="D20" s="23">
        <f t="shared" ca="1" si="2"/>
        <v>9882.829095032921</v>
      </c>
      <c r="E20" s="23">
        <f t="shared" si="2"/>
        <v>59.365315196108071</v>
      </c>
      <c r="F20" s="23">
        <f t="shared" ca="1" si="2"/>
        <v>1177.0036286042707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2717.7977871871799</v>
      </c>
      <c r="C26" s="39">
        <f>IF(ISERROR(B26*3.6/1000000/'E Balans VL '!Z12*100),0,B26*3.6/1000000/'E Balans VL '!Z12*100)</f>
        <v>5.7727371221873006E-2</v>
      </c>
      <c r="D26" s="239" t="s">
        <v>692</v>
      </c>
      <c r="F26" s="6"/>
    </row>
    <row r="27" spans="1:18">
      <c r="A27" s="233" t="s">
        <v>53</v>
      </c>
      <c r="B27" s="33">
        <f>IF(ISERROR(TER_horeca_ele_kWh/1000),0,TER_horeca_ele_kWh/1000)</f>
        <v>1739.1353043757299</v>
      </c>
      <c r="C27" s="39">
        <f>IF(ISERROR(B27*3.6/1000000/'E Balans VL '!Z9*100),0,B27*3.6/1000000/'E Balans VL '!Z9*100)</f>
        <v>0.13522836138538361</v>
      </c>
      <c r="D27" s="239" t="s">
        <v>692</v>
      </c>
      <c r="F27" s="6"/>
    </row>
    <row r="28" spans="1:18">
      <c r="A28" s="173" t="s">
        <v>52</v>
      </c>
      <c r="B28" s="33">
        <f>IF(ISERROR(TER_handel_ele_kWh/1000),0,TER_handel_ele_kWh/1000)</f>
        <v>5546.1847913865404</v>
      </c>
      <c r="C28" s="39">
        <f>IF(ISERROR(B28*3.6/1000000/'E Balans VL '!Z13*100),0,B28*3.6/1000000/'E Balans VL '!Z13*100)</f>
        <v>0.15868287408811876</v>
      </c>
      <c r="D28" s="239" t="s">
        <v>692</v>
      </c>
      <c r="F28" s="6"/>
    </row>
    <row r="29" spans="1:18">
      <c r="A29" s="233" t="s">
        <v>51</v>
      </c>
      <c r="B29" s="33">
        <f>IF(ISERROR(TER_gezond_ele_kWh/1000),0,TER_gezond_ele_kWh/1000)</f>
        <v>945.35255863043903</v>
      </c>
      <c r="C29" s="39">
        <f>IF(ISERROR(B29*3.6/1000000/'E Balans VL '!Z10*100),0,B29*3.6/1000000/'E Balans VL '!Z10*100)</f>
        <v>0.10306539624959497</v>
      </c>
      <c r="D29" s="239" t="s">
        <v>692</v>
      </c>
      <c r="F29" s="6"/>
    </row>
    <row r="30" spans="1:18">
      <c r="A30" s="233" t="s">
        <v>50</v>
      </c>
      <c r="B30" s="33">
        <f>IF(ISERROR(TER_ander_ele_kWh/1000),0,TER_ander_ele_kWh/1000)</f>
        <v>5095.2513784467401</v>
      </c>
      <c r="C30" s="39">
        <f>IF(ISERROR(B30*3.6/1000000/'E Balans VL '!Z14*100),0,B30*3.6/1000000/'E Balans VL '!Z14*100)</f>
        <v>0.37285893757097521</v>
      </c>
      <c r="D30" s="239" t="s">
        <v>692</v>
      </c>
      <c r="F30" s="6"/>
    </row>
    <row r="31" spans="1:18">
      <c r="A31" s="233" t="s">
        <v>55</v>
      </c>
      <c r="B31" s="33">
        <f>IF(ISERROR(TER_onderwijs_ele_kWh/1000),0,TER_onderwijs_ele_kWh/1000)</f>
        <v>164.85133235837401</v>
      </c>
      <c r="C31" s="39">
        <f>IF(ISERROR(B31*3.6/1000000/'E Balans VL '!Z11*100),0,B31*3.6/1000000/'E Balans VL '!Z11*100)</f>
        <v>3.3110512519403237E-2</v>
      </c>
      <c r="D31" s="239" t="s">
        <v>692</v>
      </c>
    </row>
    <row r="32" spans="1:18">
      <c r="A32" s="233" t="s">
        <v>260</v>
      </c>
      <c r="B32" s="33">
        <f>IF(ISERROR(TER_rest_ele_kWh/1000),0,TER_rest_ele_kWh/1000)</f>
        <v>3995.3498811529998</v>
      </c>
      <c r="C32" s="39">
        <f>IF(ISERROR(B32*3.6/1000000/'E Balans VL '!Z8*100),0,B32*3.6/1000000/'E Balans VL '!Z8*100)</f>
        <v>3.2559676876748822E-2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14666.528833056409</v>
      </c>
      <c r="C5" s="17">
        <f>IF(ISERROR('Eigen informatie GS &amp; warmtenet'!B59),0,'Eigen informatie GS &amp; warmtenet'!B59)</f>
        <v>0</v>
      </c>
      <c r="D5" s="30">
        <f>SUM(D6:D15)</f>
        <v>18796.903471990205</v>
      </c>
      <c r="E5" s="17">
        <f>SUM(E6:E15)</f>
        <v>1954.2847704555643</v>
      </c>
      <c r="F5" s="17">
        <f>SUM(F6:F15)</f>
        <v>10930.056530827174</v>
      </c>
      <c r="G5" s="18"/>
      <c r="H5" s="17"/>
      <c r="I5" s="17"/>
      <c r="J5" s="17">
        <f>SUM(J6:J15)</f>
        <v>10.623764260779826</v>
      </c>
      <c r="K5" s="17"/>
      <c r="L5" s="17"/>
      <c r="M5" s="17"/>
      <c r="N5" s="17">
        <f>SUM(N6:N15)</f>
        <v>4193.4398150702882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1088.4374216722799</v>
      </c>
      <c r="C8" s="33"/>
      <c r="D8" s="37">
        <f>IF( ISERROR(IND_metaal_Gas_kWH/1000),0,IND_metaal_Gas_kWH/1000)*0.902</f>
        <v>285.67648418487187</v>
      </c>
      <c r="E8" s="33">
        <f>C30*'E Balans VL '!I18/100/3.6*1000000</f>
        <v>31.264008243306474</v>
      </c>
      <c r="F8" s="33">
        <f>C30*'E Balans VL '!L18/100/3.6*1000000+C30*'E Balans VL '!N18/100/3.6*1000000</f>
        <v>279.16326499891795</v>
      </c>
      <c r="G8" s="34"/>
      <c r="H8" s="33"/>
      <c r="I8" s="33"/>
      <c r="J8" s="40">
        <f>C30*'E Balans VL '!D18/100/3.6*1000000+C30*'E Balans VL '!E18/100/3.6*1000000</f>
        <v>0</v>
      </c>
      <c r="K8" s="33"/>
      <c r="L8" s="33"/>
      <c r="M8" s="33"/>
      <c r="N8" s="33">
        <f>C30*'E Balans VL '!Y18/100/3.6*1000000</f>
        <v>29.553297813961802</v>
      </c>
      <c r="O8" s="33"/>
      <c r="P8" s="33"/>
      <c r="R8" s="32"/>
    </row>
    <row r="9" spans="1:18">
      <c r="A9" s="6" t="s">
        <v>33</v>
      </c>
      <c r="B9" s="37">
        <f t="shared" si="0"/>
        <v>4972.4877064246903</v>
      </c>
      <c r="C9" s="33"/>
      <c r="D9" s="37">
        <f>IF( ISERROR(IND_andere_gas_kWh/1000),0,IND_andere_gas_kWh/1000)*0.902</f>
        <v>1136.1348138191115</v>
      </c>
      <c r="E9" s="33">
        <f>C31*'E Balans VL '!I19/100/3.6*1000000</f>
        <v>1345.9301633728098</v>
      </c>
      <c r="F9" s="33">
        <f>C31*'E Balans VL '!L19/100/3.6*1000000+C31*'E Balans VL '!N19/100/3.6*1000000</f>
        <v>3312.2030115960488</v>
      </c>
      <c r="G9" s="34"/>
      <c r="H9" s="33"/>
      <c r="I9" s="33"/>
      <c r="J9" s="40">
        <f>C31*'E Balans VL '!D19/100/3.6*1000000+C31*'E Balans VL '!E19/100/3.6*1000000</f>
        <v>0</v>
      </c>
      <c r="K9" s="33"/>
      <c r="L9" s="33"/>
      <c r="M9" s="33"/>
      <c r="N9" s="33">
        <f>C31*'E Balans VL '!Y19/100/3.6*1000000</f>
        <v>1623.4346360553809</v>
      </c>
      <c r="O9" s="33"/>
      <c r="P9" s="33"/>
      <c r="R9" s="32"/>
    </row>
    <row r="10" spans="1:18">
      <c r="A10" s="6" t="s">
        <v>41</v>
      </c>
      <c r="B10" s="37">
        <f t="shared" si="0"/>
        <v>4261.91793512206</v>
      </c>
      <c r="C10" s="33"/>
      <c r="D10" s="37">
        <f>IF( ISERROR(IND_voed_gas_kWh/1000),0,IND_voed_gas_kWh/1000)*0.902</f>
        <v>611.38149327532778</v>
      </c>
      <c r="E10" s="33">
        <f>C32*'E Balans VL '!I20/100/3.6*1000000</f>
        <v>347.61181829022303</v>
      </c>
      <c r="F10" s="33">
        <f>C32*'E Balans VL '!L20/100/3.6*1000000+C32*'E Balans VL '!N20/100/3.6*1000000</f>
        <v>6354.9063163430355</v>
      </c>
      <c r="G10" s="34"/>
      <c r="H10" s="33"/>
      <c r="I10" s="33"/>
      <c r="J10" s="40">
        <f>C32*'E Balans VL '!D20/100/3.6*1000000+C32*'E Balans VL '!E20/100/3.6*1000000</f>
        <v>5.6380001007289536E-2</v>
      </c>
      <c r="K10" s="33"/>
      <c r="L10" s="33"/>
      <c r="M10" s="33"/>
      <c r="N10" s="33">
        <f>C32*'E Balans VL '!Y20/100/3.6*1000000</f>
        <v>1252.0011024708249</v>
      </c>
      <c r="O10" s="33"/>
      <c r="P10" s="33"/>
      <c r="R10" s="32"/>
    </row>
    <row r="11" spans="1:18">
      <c r="A11" s="6" t="s">
        <v>40</v>
      </c>
      <c r="B11" s="37">
        <f t="shared" si="0"/>
        <v>21.459961240156801</v>
      </c>
      <c r="C11" s="33"/>
      <c r="D11" s="37">
        <f>IF( ISERROR(IND_textiel_gas_kWh/1000),0,IND_textiel_gas_kWh/1000)*0.902</f>
        <v>0</v>
      </c>
      <c r="E11" s="33">
        <f>C33*'E Balans VL '!I21/100/3.6*1000000</f>
        <v>4.2538033823772293E-3</v>
      </c>
      <c r="F11" s="33">
        <f>C33*'E Balans VL '!L21/100/3.6*1000000+C33*'E Balans VL '!N21/100/3.6*1000000</f>
        <v>0.79039626400086516</v>
      </c>
      <c r="G11" s="34"/>
      <c r="H11" s="33"/>
      <c r="I11" s="33"/>
      <c r="J11" s="40">
        <f>C33*'E Balans VL '!D21/100/3.6*1000000+C33*'E Balans VL '!E21/100/3.6*1000000</f>
        <v>0</v>
      </c>
      <c r="K11" s="33"/>
      <c r="L11" s="33"/>
      <c r="M11" s="33"/>
      <c r="N11" s="33">
        <f>C33*'E Balans VL '!Y21/100/3.6*1000000</f>
        <v>9.9783402374484353E-2</v>
      </c>
      <c r="O11" s="33"/>
      <c r="P11" s="33"/>
      <c r="R11" s="32"/>
    </row>
    <row r="12" spans="1:18">
      <c r="A12" s="6" t="s">
        <v>37</v>
      </c>
      <c r="B12" s="37">
        <f t="shared" si="0"/>
        <v>26.272996652187199</v>
      </c>
      <c r="C12" s="33"/>
      <c r="D12" s="37">
        <f>IF( ISERROR(IND_min_gas_kWh/1000),0,IND_min_gas_kWh/1000)*0.902</f>
        <v>0</v>
      </c>
      <c r="E12" s="33">
        <f>C34*'E Balans VL '!I22/100/3.6*1000000</f>
        <v>0.20466091927824026</v>
      </c>
      <c r="F12" s="33">
        <f>C34*'E Balans VL '!L22/100/3.6*1000000+C34*'E Balans VL '!N22/100/3.6*1000000</f>
        <v>9.9085598122495195</v>
      </c>
      <c r="G12" s="34"/>
      <c r="H12" s="33"/>
      <c r="I12" s="33"/>
      <c r="J12" s="40">
        <f>C34*'E Balans VL '!D22/100/3.6*1000000+C34*'E Balans VL '!E22/100/3.6*1000000</f>
        <v>0.14449918446201979</v>
      </c>
      <c r="K12" s="33"/>
      <c r="L12" s="33"/>
      <c r="M12" s="33"/>
      <c r="N12" s="33">
        <f>C34*'E Balans VL '!Y22/100/3.6*1000000</f>
        <v>0</v>
      </c>
      <c r="O12" s="33"/>
      <c r="P12" s="33"/>
      <c r="R12" s="32"/>
    </row>
    <row r="13" spans="1:18">
      <c r="A13" s="6" t="s">
        <v>39</v>
      </c>
      <c r="B13" s="37">
        <f t="shared" si="0"/>
        <v>229.378741010765</v>
      </c>
      <c r="C13" s="33"/>
      <c r="D13" s="37">
        <f>IF( ISERROR(IND_papier_gas_kWh/1000),0,IND_papier_gas_kWh/1000)*0.902</f>
        <v>0</v>
      </c>
      <c r="E13" s="33">
        <f>C35*'E Balans VL '!I23/100/3.6*1000000</f>
        <v>2.4031601891560612</v>
      </c>
      <c r="F13" s="33">
        <f>C35*'E Balans VL '!L23/100/3.6*1000000+C35*'E Balans VL '!N23/100/3.6*1000000</f>
        <v>17.116282310695187</v>
      </c>
      <c r="G13" s="34"/>
      <c r="H13" s="33"/>
      <c r="I13" s="33"/>
      <c r="J13" s="40">
        <f>C35*'E Balans VL '!D23/100/3.6*1000000+C35*'E Balans VL '!E23/100/3.6*1000000</f>
        <v>0</v>
      </c>
      <c r="K13" s="33"/>
      <c r="L13" s="33"/>
      <c r="M13" s="33"/>
      <c r="N13" s="33">
        <f>C35*'E Balans VL '!Y23/100/3.6*1000000</f>
        <v>490.27311708497081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4066.5740709342699</v>
      </c>
      <c r="C15" s="33"/>
      <c r="D15" s="37">
        <f>IF( ISERROR(IND_rest_gas_kWh/1000),0,IND_rest_gas_kWh/1000)*0.902</f>
        <v>16763.710680710894</v>
      </c>
      <c r="E15" s="33">
        <f>C37*'E Balans VL '!I15/100/3.6*1000000</f>
        <v>226.86670563740824</v>
      </c>
      <c r="F15" s="33">
        <f>C37*'E Balans VL '!L15/100/3.6*1000000+C37*'E Balans VL '!N15/100/3.6*1000000</f>
        <v>955.96869950222595</v>
      </c>
      <c r="G15" s="34"/>
      <c r="H15" s="33"/>
      <c r="I15" s="33"/>
      <c r="J15" s="40">
        <f>C37*'E Balans VL '!D15/100/3.6*1000000+C37*'E Balans VL '!E15/100/3.6*1000000</f>
        <v>10.422885075310516</v>
      </c>
      <c r="K15" s="33"/>
      <c r="L15" s="33"/>
      <c r="M15" s="33"/>
      <c r="N15" s="33">
        <f>C37*'E Balans VL '!Y15/100/3.6*1000000</f>
        <v>798.0778782427758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14666.528833056409</v>
      </c>
      <c r="C18" s="21">
        <f>C5+C16</f>
        <v>0</v>
      </c>
      <c r="D18" s="21">
        <f>MAX((D5+D16),0)</f>
        <v>18796.903471990205</v>
      </c>
      <c r="E18" s="21">
        <f>MAX((E5+E16),0)</f>
        <v>1954.2847704555643</v>
      </c>
      <c r="F18" s="21">
        <f>MAX((F5+F16),0)</f>
        <v>10930.056530827174</v>
      </c>
      <c r="G18" s="21"/>
      <c r="H18" s="21"/>
      <c r="I18" s="21"/>
      <c r="J18" s="21">
        <f>MAX((J5+J16),0)</f>
        <v>10.623764260779826</v>
      </c>
      <c r="K18" s="21"/>
      <c r="L18" s="21">
        <f>MAX((L5+L16),0)</f>
        <v>0</v>
      </c>
      <c r="M18" s="21"/>
      <c r="N18" s="21">
        <f>MAX((N5+N16),0)</f>
        <v>4193.4398150702882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0.16846400225274438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2470.7821463719552</v>
      </c>
      <c r="C22" s="23">
        <f ca="1">C18*C20</f>
        <v>0</v>
      </c>
      <c r="D22" s="23">
        <f>D18*D20</f>
        <v>3796.9745013420215</v>
      </c>
      <c r="E22" s="23">
        <f>E18*E20</f>
        <v>443.62264289341311</v>
      </c>
      <c r="F22" s="23">
        <f>F18*F20</f>
        <v>2918.3250937308558</v>
      </c>
      <c r="G22" s="23"/>
      <c r="H22" s="23"/>
      <c r="I22" s="23"/>
      <c r="J22" s="23">
        <f>J18*J20</f>
        <v>3.7608125483160579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1088.4374216722799</v>
      </c>
      <c r="C30" s="39">
        <f>IF(ISERROR(B30*3.6/1000000/'E Balans VL '!Z18*100),0,B30*3.6/1000000/'E Balans VL '!Z18*100)</f>
        <v>0.10709946380779307</v>
      </c>
      <c r="D30" s="239" t="s">
        <v>692</v>
      </c>
    </row>
    <row r="31" spans="1:18">
      <c r="A31" s="6" t="s">
        <v>33</v>
      </c>
      <c r="B31" s="37">
        <f>IF( ISERROR(IND_ander_ele_kWh/1000),0,IND_ander_ele_kWh/1000)</f>
        <v>4972.4877064246903</v>
      </c>
      <c r="C31" s="39">
        <f>IF(ISERROR(B31*3.6/1000000/'E Balans VL '!Z19*100),0,B31*3.6/1000000/'E Balans VL '!Z19*100)</f>
        <v>0.21654787310042461</v>
      </c>
      <c r="D31" s="239" t="s">
        <v>692</v>
      </c>
    </row>
    <row r="32" spans="1:18">
      <c r="A32" s="173" t="s">
        <v>41</v>
      </c>
      <c r="B32" s="37">
        <f>IF( ISERROR(IND_voed_ele_kWh/1000),0,IND_voed_ele_kWh/1000)</f>
        <v>4261.91793512206</v>
      </c>
      <c r="C32" s="39">
        <f>IF(ISERROR(B32*3.6/1000000/'E Balans VL '!Z20*100),0,B32*3.6/1000000/'E Balans VL '!Z20*100)</f>
        <v>0.80863746464635189</v>
      </c>
      <c r="D32" s="239" t="s">
        <v>692</v>
      </c>
    </row>
    <row r="33" spans="1:5">
      <c r="A33" s="173" t="s">
        <v>40</v>
      </c>
      <c r="B33" s="37">
        <f>IF( ISERROR(IND_textiel_ele_kWh/1000),0,IND_textiel_ele_kWh/1000)</f>
        <v>21.459961240156801</v>
      </c>
      <c r="C33" s="39">
        <f>IF(ISERROR(B33*3.6/1000000/'E Balans VL '!Z21*100),0,B33*3.6/1000000/'E Balans VL '!Z21*100)</f>
        <v>1.2252549578693761E-3</v>
      </c>
      <c r="D33" s="239" t="s">
        <v>692</v>
      </c>
    </row>
    <row r="34" spans="1:5">
      <c r="A34" s="173" t="s">
        <v>37</v>
      </c>
      <c r="B34" s="37">
        <f>IF( ISERROR(IND_min_ele_kWh/1000),0,IND_min_ele_kWh/1000)</f>
        <v>26.272996652187199</v>
      </c>
      <c r="C34" s="39">
        <f>IF(ISERROR(B34*3.6/1000000/'E Balans VL '!Z22*100),0,B34*3.6/1000000/'E Balans VL '!Z22*100)</f>
        <v>3.6942471545065667E-3</v>
      </c>
      <c r="D34" s="239" t="s">
        <v>692</v>
      </c>
    </row>
    <row r="35" spans="1:5">
      <c r="A35" s="173" t="s">
        <v>39</v>
      </c>
      <c r="B35" s="37">
        <f>IF( ISERROR(IND_papier_ele_kWh/1000),0,IND_papier_ele_kWh/1000)</f>
        <v>229.378741010765</v>
      </c>
      <c r="C35" s="39">
        <f>IF(ISERROR(B35*3.6/1000000/'E Balans VL '!Z22*100),0,B35*3.6/1000000/'E Balans VL '!Z22*100)</f>
        <v>3.2252954335636234E-2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4066.5740709342699</v>
      </c>
      <c r="C37" s="39">
        <f>IF(ISERROR(B37*3.6/1000000/'E Balans VL '!Z15*100),0,B37*3.6/1000000/'E Balans VL '!Z15*100)</f>
        <v>3.1337947999074918E-2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4507.0072644871188</v>
      </c>
      <c r="C5" s="17">
        <f>'Eigen informatie GS &amp; warmtenet'!B60</f>
        <v>0</v>
      </c>
      <c r="D5" s="30">
        <f>IF(ISERROR(SUM(LB_lb_gas_kWh,LB_rest_gas_kWh,onbekend_gas_kWh)/1000),0,SUM(LB_lb_gas_kWh,LB_rest_gas_kWh,onbekend_gas_kWh)/1000)*0.902</f>
        <v>2286.9127600319093</v>
      </c>
      <c r="E5" s="17">
        <f>B17*'E Balans VL '!I25/3.6*1000000/100</f>
        <v>56.794097738415466</v>
      </c>
      <c r="F5" s="17">
        <f>B17*('E Balans VL '!L25/3.6*1000000+'E Balans VL '!N25/3.6*1000000)/100</f>
        <v>15550.304135265178</v>
      </c>
      <c r="G5" s="18"/>
      <c r="H5" s="17"/>
      <c r="I5" s="17"/>
      <c r="J5" s="17">
        <f>('E Balans VL '!D25+'E Balans VL '!E25)/3.6*1000000*landbouw!B17/100</f>
        <v>677.80265872849077</v>
      </c>
      <c r="K5" s="17"/>
      <c r="L5" s="17">
        <f>L6*(-1)</f>
        <v>0</v>
      </c>
      <c r="M5" s="17"/>
      <c r="N5" s="17">
        <f>N6*(-1)</f>
        <v>31678.928571428572</v>
      </c>
      <c r="O5" s="17"/>
      <c r="P5" s="17"/>
      <c r="R5" s="32"/>
    </row>
    <row r="6" spans="1:18">
      <c r="A6" s="16" t="s">
        <v>497</v>
      </c>
      <c r="B6" s="17" t="s">
        <v>211</v>
      </c>
      <c r="C6" s="17">
        <f>'lokale energieproductie'!O91+'lokale energieproductie'!O60</f>
        <v>15839.464285714286</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-31678.928571428572</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4507.0072644871188</v>
      </c>
      <c r="C8" s="21">
        <f>C5+C6</f>
        <v>15839.464285714286</v>
      </c>
      <c r="D8" s="21">
        <f>MAX((D5+D6),0)</f>
        <v>2286.9127600319093</v>
      </c>
      <c r="E8" s="21">
        <f>MAX((E5+E6),0)</f>
        <v>56.794097738415466</v>
      </c>
      <c r="F8" s="21">
        <f>MAX((F5+F6),0)</f>
        <v>15550.304135265178</v>
      </c>
      <c r="G8" s="21"/>
      <c r="H8" s="21"/>
      <c r="I8" s="21"/>
      <c r="J8" s="21">
        <f>MAX((J5+J6),0)</f>
        <v>677.80265872849077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0.16846400225274438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759.26848195769333</v>
      </c>
      <c r="C12" s="23">
        <f ca="1">C8*C10</f>
        <v>0</v>
      </c>
      <c r="D12" s="23">
        <f>D8*D10</f>
        <v>461.95637752644569</v>
      </c>
      <c r="E12" s="23">
        <f>E8*E10</f>
        <v>12.892260186620311</v>
      </c>
      <c r="F12" s="23">
        <f>F8*F10</f>
        <v>4151.9312041158028</v>
      </c>
      <c r="G12" s="23"/>
      <c r="H12" s="23"/>
      <c r="I12" s="23"/>
      <c r="J12" s="23">
        <f>J8*J10</f>
        <v>239.94214118988572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0.62858546077260558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1136.2992430565562</v>
      </c>
      <c r="C26" s="249">
        <f>B26*'GWP N2O_CH4'!B5</f>
        <v>23862.284104187678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473.90699251530862</v>
      </c>
      <c r="C27" s="249">
        <f>B27*'GWP N2O_CH4'!B5</f>
        <v>9952.0468428214808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14.824486142594616</v>
      </c>
      <c r="C28" s="249">
        <f>B28*'GWP N2O_CH4'!B4</f>
        <v>4595.5907042043309</v>
      </c>
      <c r="D28" s="50"/>
    </row>
    <row r="29" spans="1:4">
      <c r="A29" s="41" t="s">
        <v>277</v>
      </c>
      <c r="B29" s="249">
        <f>B34*'ha_N2O bodem landbouw'!B4</f>
        <v>27.888914296886682</v>
      </c>
      <c r="C29" s="249">
        <f>B29*'GWP N2O_CH4'!B4</f>
        <v>8645.5634320348709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6.9635832261231044E-3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4.566907361080777E-5</v>
      </c>
      <c r="C5" s="448" t="s">
        <v>211</v>
      </c>
      <c r="D5" s="433">
        <f>SUM(D6:D11)</f>
        <v>7.2047551913199804E-5</v>
      </c>
      <c r="E5" s="433">
        <f>SUM(E6:E11)</f>
        <v>2.5752075646781254E-3</v>
      </c>
      <c r="F5" s="446" t="s">
        <v>211</v>
      </c>
      <c r="G5" s="433">
        <f>SUM(G6:G11)</f>
        <v>0.74616634947057925</v>
      </c>
      <c r="H5" s="433">
        <f>SUM(H6:H11)</f>
        <v>0.11155083163856616</v>
      </c>
      <c r="I5" s="448" t="s">
        <v>211</v>
      </c>
      <c r="J5" s="448" t="s">
        <v>211</v>
      </c>
      <c r="K5" s="448" t="s">
        <v>211</v>
      </c>
      <c r="L5" s="448" t="s">
        <v>211</v>
      </c>
      <c r="M5" s="433">
        <f>SUM(M6:M11)</f>
        <v>3.8436073292361858E-2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1.0970403436122593E-5</v>
      </c>
      <c r="C6" s="949"/>
      <c r="D6" s="949">
        <f>vkm_2011_GW_PW*SUMIFS(TableVerdeelsleutelVkm[CNG],TableVerdeelsleutelVkm[Voertuigtype],"Lichte voertuigen")*SUMIFS(TableECFTransport[EnergieConsumptieFactor (PJ per km)],TableECFTransport[Index],CONCATENATE($A6,"_CNG_CNG"))</f>
        <v>1.5536236863794347E-5</v>
      </c>
      <c r="E6" s="949">
        <f>vkm_2011_GW_PW*SUMIFS(TableVerdeelsleutelVkm[LPG],TableVerdeelsleutelVkm[Voertuigtype],"Lichte voertuigen")*SUMIFS(TableECFTransport[EnergieConsumptieFactor (PJ per km)],TableECFTransport[Index],CONCATENATE($A6,"_LPG_LPG"))</f>
        <v>4.8794205324974305E-4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8.7696547817425932E-2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2.3564860215781566E-2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4.9649771177888097E-3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4.7058407308818606E-2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1.6766226434568211E-5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2.1235501300990696E-3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4.9816214565502214E-6</v>
      </c>
      <c r="C8" s="949"/>
      <c r="D8" s="436">
        <f>vkm_2011_NGW_PW*SUMIFS(TableVerdeelsleutelVkm[CNG],TableVerdeelsleutelVkm[Voertuigtype],"Lichte voertuigen")*SUMIFS(TableECFTransport[EnergieConsumptieFactor (PJ per km)],TableECFTransport[Index],CONCATENATE($A8,"_CNG_CNG"))</f>
        <v>1.2568514238320053E-5</v>
      </c>
      <c r="E8" s="436">
        <f>vkm_2011_NGW_PW*SUMIFS(TableVerdeelsleutelVkm[LPG],TableVerdeelsleutelVkm[Voertuigtype],"Lichte voertuigen")*SUMIFS(TableECFTransport[EnergieConsumptieFactor (PJ per km)],TableECFTransport[Index],CONCATENATE($A8,"_LPG_LPG"))</f>
        <v>3.6357885674260951E-4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6.1630141840808846E-2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1.8394416565200324E-2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3.5677326420548157E-3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3.0920549361189837E-2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1.0424854587340416E-5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1.3952904110449925E-3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2.9717048718134958E-5</v>
      </c>
      <c r="C10" s="949"/>
      <c r="D10" s="436">
        <f>vkm_2011_SW_PW*SUMIFS(TableVerdeelsleutelVkm[CNG],TableVerdeelsleutelVkm[Voertuigtype],"Lichte voertuigen")*SUMIFS(TableECFTransport[EnergieConsumptieFactor (PJ per km)],TableECFTransport[Index],CONCATENATE($A10,"_CNG_CNG"))</f>
        <v>4.3942800811085406E-5</v>
      </c>
      <c r="E10" s="436">
        <f>vkm_2011_SW_PW*SUMIFS(TableVerdeelsleutelVkm[LPG],TableVerdeelsleutelVkm[Voertuigtype],"Lichte voertuigen")*SUMIFS(TableECFTransport[EnergieConsumptieFactor (PJ per km)],TableECFTransport[Index],CONCATENATE($A10,"_LPG_LPG"))</f>
        <v>1.7236866546857727E-3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0.28056551410078051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6.947280651312468E-2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1.5630967579055959E-2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0.2382951890415555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9.1557263437685868E-5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1.0753555412318209E-2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12.685853780779937</v>
      </c>
      <c r="C14" s="21"/>
      <c r="D14" s="21">
        <f t="shared" ref="D14:M14" si="0">((D5)*10^9/3600)+D12</f>
        <v>20.013208864777724</v>
      </c>
      <c r="E14" s="21">
        <f t="shared" si="0"/>
        <v>715.33543463281262</v>
      </c>
      <c r="F14" s="21"/>
      <c r="G14" s="21">
        <f t="shared" si="0"/>
        <v>207268.43040849423</v>
      </c>
      <c r="H14" s="21">
        <f t="shared" si="0"/>
        <v>30986.342121823935</v>
      </c>
      <c r="I14" s="21"/>
      <c r="J14" s="21"/>
      <c r="K14" s="21"/>
      <c r="L14" s="21"/>
      <c r="M14" s="21">
        <f t="shared" si="0"/>
        <v>10676.687025656071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0.16846400225274438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2.1371096999032972</v>
      </c>
      <c r="C18" s="23"/>
      <c r="D18" s="23">
        <f t="shared" ref="D18:M18" si="1">D14*D16</f>
        <v>4.0426681906851005</v>
      </c>
      <c r="E18" s="23">
        <f t="shared" si="1"/>
        <v>162.38114366164848</v>
      </c>
      <c r="F18" s="23"/>
      <c r="G18" s="23">
        <f t="shared" si="1"/>
        <v>55340.670919067961</v>
      </c>
      <c r="H18" s="23">
        <f t="shared" si="1"/>
        <v>7715.5991883341594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3.6752195368850429E-3</v>
      </c>
      <c r="H50" s="323">
        <f t="shared" si="2"/>
        <v>0</v>
      </c>
      <c r="I50" s="323">
        <f t="shared" si="2"/>
        <v>0</v>
      </c>
      <c r="J50" s="323">
        <f t="shared" si="2"/>
        <v>0</v>
      </c>
      <c r="K50" s="323">
        <f t="shared" si="2"/>
        <v>0</v>
      </c>
      <c r="L50" s="323">
        <f t="shared" si="2"/>
        <v>0</v>
      </c>
      <c r="M50" s="323">
        <f t="shared" si="2"/>
        <v>1.6344600208493729E-4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3.6752195368850429E-3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1.6344600208493729E-4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1020.8943158014007</v>
      </c>
      <c r="H54" s="21">
        <f t="shared" si="3"/>
        <v>0</v>
      </c>
      <c r="I54" s="21">
        <f t="shared" si="3"/>
        <v>0</v>
      </c>
      <c r="J54" s="21">
        <f t="shared" si="3"/>
        <v>0</v>
      </c>
      <c r="K54" s="21">
        <f t="shared" si="3"/>
        <v>0</v>
      </c>
      <c r="L54" s="21">
        <f t="shared" si="3"/>
        <v>0</v>
      </c>
      <c r="M54" s="21">
        <f t="shared" si="3"/>
        <v>45.401667245815915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0.16846400225274438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272.57878231897399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5856.2502059564986</v>
      </c>
      <c r="C6" s="1142"/>
      <c r="D6" s="1145"/>
      <c r="E6" s="1145"/>
      <c r="F6" s="1148"/>
      <c r="G6" s="1151"/>
      <c r="H6" s="1139"/>
      <c r="I6" s="1145"/>
      <c r="J6" s="1145"/>
      <c r="K6" s="1145"/>
      <c r="L6" s="1175"/>
      <c r="M6" s="561"/>
      <c r="N6" s="1187"/>
      <c r="O6" s="1188"/>
      <c r="Q6" s="559"/>
      <c r="R6" s="1172"/>
      <c r="S6" s="1172"/>
    </row>
    <row r="7" spans="1:19" s="549" customFormat="1">
      <c r="A7" s="562" t="s">
        <v>252</v>
      </c>
      <c r="B7" s="563">
        <f>N57</f>
        <v>11087.625</v>
      </c>
      <c r="C7" s="564">
        <f>B100</f>
        <v>0</v>
      </c>
      <c r="D7" s="565"/>
      <c r="E7" s="565">
        <f>E100</f>
        <v>0</v>
      </c>
      <c r="F7" s="566"/>
      <c r="G7" s="567"/>
      <c r="H7" s="565">
        <f>I100</f>
        <v>0</v>
      </c>
      <c r="I7" s="565">
        <f>G100+F100</f>
        <v>0</v>
      </c>
      <c r="J7" s="565">
        <f>H100+D100+C100</f>
        <v>13044.264705882353</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16943.875205956498</v>
      </c>
      <c r="C9" s="580">
        <f t="shared" ref="C9:L9" si="0">SUM(C7:C8)</f>
        <v>0</v>
      </c>
      <c r="D9" s="580">
        <f t="shared" si="0"/>
        <v>0</v>
      </c>
      <c r="E9" s="580">
        <f t="shared" si="0"/>
        <v>0</v>
      </c>
      <c r="F9" s="580">
        <f t="shared" si="0"/>
        <v>0</v>
      </c>
      <c r="G9" s="580">
        <f t="shared" si="0"/>
        <v>0</v>
      </c>
      <c r="H9" s="580">
        <f t="shared" si="0"/>
        <v>0</v>
      </c>
      <c r="I9" s="580">
        <f t="shared" si="0"/>
        <v>0</v>
      </c>
      <c r="J9" s="580">
        <f t="shared" si="0"/>
        <v>13044.264705882353</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15839.464285714286</v>
      </c>
      <c r="C16" s="596">
        <f>B101</f>
        <v>0</v>
      </c>
      <c r="D16" s="597"/>
      <c r="E16" s="597">
        <f>E101</f>
        <v>0</v>
      </c>
      <c r="F16" s="598"/>
      <c r="G16" s="599"/>
      <c r="H16" s="596">
        <f>I101</f>
        <v>0</v>
      </c>
      <c r="I16" s="597">
        <f>G101+F101</f>
        <v>0</v>
      </c>
      <c r="J16" s="597">
        <f>H101+D101+C101</f>
        <v>18634.663865546219</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15839.464285714286</v>
      </c>
      <c r="C19" s="579">
        <f>SUM(C16:C18)</f>
        <v>0</v>
      </c>
      <c r="D19" s="579">
        <f t="shared" ref="D19:M19" si="1">SUM(D16:D18)</f>
        <v>0</v>
      </c>
      <c r="E19" s="579">
        <f t="shared" si="1"/>
        <v>0</v>
      </c>
      <c r="F19" s="579">
        <f t="shared" si="1"/>
        <v>0</v>
      </c>
      <c r="G19" s="579">
        <f t="shared" si="1"/>
        <v>0</v>
      </c>
      <c r="H19" s="579">
        <f t="shared" si="1"/>
        <v>0</v>
      </c>
      <c r="I19" s="579">
        <f t="shared" si="1"/>
        <v>0</v>
      </c>
      <c r="J19" s="579">
        <f t="shared" si="1"/>
        <v>18634.663865546219</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31003</v>
      </c>
      <c r="C27" s="839">
        <v>8730</v>
      </c>
      <c r="D27" s="658" t="s">
        <v>840</v>
      </c>
      <c r="E27" s="657" t="s">
        <v>841</v>
      </c>
      <c r="F27" s="657" t="s">
        <v>842</v>
      </c>
      <c r="G27" s="657" t="s">
        <v>843</v>
      </c>
      <c r="H27" s="657" t="s">
        <v>844</v>
      </c>
      <c r="I27" s="657" t="s">
        <v>841</v>
      </c>
      <c r="J27" s="838">
        <v>39280</v>
      </c>
      <c r="K27" s="838">
        <v>39280</v>
      </c>
      <c r="L27" s="657" t="s">
        <v>845</v>
      </c>
      <c r="M27" s="657">
        <v>2461</v>
      </c>
      <c r="N27" s="657">
        <v>11074.5</v>
      </c>
      <c r="O27" s="657">
        <v>15820.714285714286</v>
      </c>
      <c r="P27" s="657">
        <v>0</v>
      </c>
      <c r="Q27" s="657">
        <v>31641.428571428572</v>
      </c>
      <c r="R27" s="657">
        <v>0</v>
      </c>
      <c r="S27" s="657">
        <v>0</v>
      </c>
      <c r="T27" s="657">
        <v>0</v>
      </c>
      <c r="U27" s="657">
        <v>0</v>
      </c>
      <c r="V27" s="657">
        <v>0</v>
      </c>
      <c r="W27" s="657">
        <v>0</v>
      </c>
      <c r="X27" s="657">
        <v>10</v>
      </c>
      <c r="Y27" s="657" t="s">
        <v>112</v>
      </c>
      <c r="Z27" s="659" t="s">
        <v>112</v>
      </c>
    </row>
    <row r="28" spans="1:26" s="611" customFormat="1" ht="25.5">
      <c r="A28" s="610"/>
      <c r="B28" s="839">
        <v>31003</v>
      </c>
      <c r="C28" s="839">
        <v>8730</v>
      </c>
      <c r="D28" s="658" t="s">
        <v>846</v>
      </c>
      <c r="E28" s="657" t="s">
        <v>847</v>
      </c>
      <c r="F28" s="657" t="s">
        <v>848</v>
      </c>
      <c r="G28" s="657" t="s">
        <v>843</v>
      </c>
      <c r="H28" s="657" t="s">
        <v>844</v>
      </c>
      <c r="I28" s="657" t="s">
        <v>847</v>
      </c>
      <c r="J28" s="838">
        <v>41459</v>
      </c>
      <c r="K28" s="838">
        <v>41459</v>
      </c>
      <c r="L28" s="657" t="s">
        <v>845</v>
      </c>
      <c r="M28" s="657">
        <v>7</v>
      </c>
      <c r="N28" s="657">
        <v>13.125</v>
      </c>
      <c r="O28" s="657">
        <v>18.75</v>
      </c>
      <c r="P28" s="657">
        <v>0</v>
      </c>
      <c r="Q28" s="657">
        <v>37.5</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2468</v>
      </c>
      <c r="N57" s="615">
        <f>SUM(N27:N56)</f>
        <v>11087.625</v>
      </c>
      <c r="O57" s="615">
        <f t="shared" ref="O57:W57" si="2">SUM(O27:O56)</f>
        <v>15839.464285714286</v>
      </c>
      <c r="P57" s="615">
        <f t="shared" si="2"/>
        <v>0</v>
      </c>
      <c r="Q57" s="615">
        <f t="shared" si="2"/>
        <v>31678.928571428572</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2468</v>
      </c>
      <c r="N60" s="620">
        <f t="shared" ref="N60:W60" si="4">SUMIF($Z$27:$Z$56,"landbouw",N27:N56)</f>
        <v>11087.625</v>
      </c>
      <c r="O60" s="620">
        <f t="shared" si="4"/>
        <v>15839.464285714286</v>
      </c>
      <c r="P60" s="620">
        <f t="shared" si="4"/>
        <v>0</v>
      </c>
      <c r="Q60" s="620">
        <f t="shared" si="4"/>
        <v>31678.928571428572</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13044.264705882353</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18634.663865546219</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21342.122033538002</v>
      </c>
      <c r="D10" s="704">
        <f ca="1">tertiair!C16</f>
        <v>0</v>
      </c>
      <c r="E10" s="704">
        <f ca="1">tertiair!D16</f>
        <v>48924.896510063962</v>
      </c>
      <c r="F10" s="704">
        <f>tertiair!E16</f>
        <v>261.5212123176567</v>
      </c>
      <c r="G10" s="704">
        <f ca="1">tertiair!F16</f>
        <v>4408.2532906526994</v>
      </c>
      <c r="H10" s="704">
        <f>tertiair!G16</f>
        <v>0</v>
      </c>
      <c r="I10" s="704">
        <f>tertiair!H16</f>
        <v>0</v>
      </c>
      <c r="J10" s="704">
        <f>tertiair!I16</f>
        <v>0</v>
      </c>
      <c r="K10" s="704">
        <f>tertiair!J16</f>
        <v>0</v>
      </c>
      <c r="L10" s="704">
        <f>tertiair!K16</f>
        <v>0</v>
      </c>
      <c r="M10" s="704">
        <f ca="1">tertiair!L16</f>
        <v>0</v>
      </c>
      <c r="N10" s="704">
        <f>tertiair!M16</f>
        <v>0</v>
      </c>
      <c r="O10" s="704">
        <f ca="1">tertiair!N16</f>
        <v>3892.1099823483878</v>
      </c>
      <c r="P10" s="704">
        <f>tertiair!O16</f>
        <v>1.5633333333333335</v>
      </c>
      <c r="Q10" s="705">
        <f>tertiair!P16</f>
        <v>76.266666666666666</v>
      </c>
      <c r="R10" s="707">
        <f ca="1">SUM(C10:Q10)</f>
        <v>78906.733028920717</v>
      </c>
      <c r="S10" s="67"/>
    </row>
    <row r="11" spans="1:19" s="459" customFormat="1">
      <c r="A11" s="858" t="s">
        <v>225</v>
      </c>
      <c r="B11" s="863"/>
      <c r="C11" s="704">
        <f>huishoudens!B8</f>
        <v>30748.42967671714</v>
      </c>
      <c r="D11" s="704">
        <f>huishoudens!C8</f>
        <v>0</v>
      </c>
      <c r="E11" s="704">
        <f>huishoudens!D8</f>
        <v>51344.820102483507</v>
      </c>
      <c r="F11" s="704">
        <f>huishoudens!E8</f>
        <v>8472.1552523261344</v>
      </c>
      <c r="G11" s="704">
        <f>huishoudens!F8</f>
        <v>21180.290111930903</v>
      </c>
      <c r="H11" s="704">
        <f>huishoudens!G8</f>
        <v>0</v>
      </c>
      <c r="I11" s="704">
        <f>huishoudens!H8</f>
        <v>0</v>
      </c>
      <c r="J11" s="704">
        <f>huishoudens!I8</f>
        <v>0</v>
      </c>
      <c r="K11" s="704">
        <f>huishoudens!J8</f>
        <v>4979.6083247960505</v>
      </c>
      <c r="L11" s="704">
        <f>huishoudens!K8</f>
        <v>0</v>
      </c>
      <c r="M11" s="704">
        <f>huishoudens!L8</f>
        <v>0</v>
      </c>
      <c r="N11" s="704">
        <f>huishoudens!M8</f>
        <v>0</v>
      </c>
      <c r="O11" s="704">
        <f>huishoudens!N8</f>
        <v>28599.094825737244</v>
      </c>
      <c r="P11" s="704">
        <f>huishoudens!O8</f>
        <v>397.08666666666664</v>
      </c>
      <c r="Q11" s="705">
        <f>huishoudens!P8</f>
        <v>1010.5333333333333</v>
      </c>
      <c r="R11" s="707">
        <f>SUM(C11:Q11)</f>
        <v>146732.01829399096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14666.528833056409</v>
      </c>
      <c r="D13" s="704">
        <f>industrie!C18</f>
        <v>0</v>
      </c>
      <c r="E13" s="704">
        <f>industrie!D18</f>
        <v>18796.903471990205</v>
      </c>
      <c r="F13" s="704">
        <f>industrie!E18</f>
        <v>1954.2847704555643</v>
      </c>
      <c r="G13" s="704">
        <f>industrie!F18</f>
        <v>10930.056530827174</v>
      </c>
      <c r="H13" s="704">
        <f>industrie!G18</f>
        <v>0</v>
      </c>
      <c r="I13" s="704">
        <f>industrie!H18</f>
        <v>0</v>
      </c>
      <c r="J13" s="704">
        <f>industrie!I18</f>
        <v>0</v>
      </c>
      <c r="K13" s="704">
        <f>industrie!J18</f>
        <v>10.623764260779826</v>
      </c>
      <c r="L13" s="704">
        <f>industrie!K18</f>
        <v>0</v>
      </c>
      <c r="M13" s="704">
        <f>industrie!L18</f>
        <v>0</v>
      </c>
      <c r="N13" s="704">
        <f>industrie!M18</f>
        <v>0</v>
      </c>
      <c r="O13" s="704">
        <f>industrie!N18</f>
        <v>4193.4398150702882</v>
      </c>
      <c r="P13" s="704">
        <f>industrie!O18</f>
        <v>0</v>
      </c>
      <c r="Q13" s="705">
        <f>industrie!P18</f>
        <v>0</v>
      </c>
      <c r="R13" s="707">
        <f>SUM(C13:Q13)</f>
        <v>50551.837185660428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66757.080543311546</v>
      </c>
      <c r="D15" s="709">
        <f t="shared" ref="D15:Q15" ca="1" si="0">SUM(D9:D14)</f>
        <v>0</v>
      </c>
      <c r="E15" s="709">
        <f t="shared" ca="1" si="0"/>
        <v>119066.62008453766</v>
      </c>
      <c r="F15" s="709">
        <f t="shared" si="0"/>
        <v>10687.961235099356</v>
      </c>
      <c r="G15" s="709">
        <f t="shared" ca="1" si="0"/>
        <v>36518.599933410776</v>
      </c>
      <c r="H15" s="709">
        <f t="shared" si="0"/>
        <v>0</v>
      </c>
      <c r="I15" s="709">
        <f t="shared" si="0"/>
        <v>0</v>
      </c>
      <c r="J15" s="709">
        <f t="shared" si="0"/>
        <v>0</v>
      </c>
      <c r="K15" s="709">
        <f t="shared" si="0"/>
        <v>4990.2320890568308</v>
      </c>
      <c r="L15" s="709">
        <f t="shared" si="0"/>
        <v>0</v>
      </c>
      <c r="M15" s="709">
        <f t="shared" ca="1" si="0"/>
        <v>0</v>
      </c>
      <c r="N15" s="709">
        <f t="shared" si="0"/>
        <v>0</v>
      </c>
      <c r="O15" s="709">
        <f t="shared" ca="1" si="0"/>
        <v>36684.644623155924</v>
      </c>
      <c r="P15" s="709">
        <f t="shared" si="0"/>
        <v>398.65</v>
      </c>
      <c r="Q15" s="710">
        <f t="shared" si="0"/>
        <v>1086.8</v>
      </c>
      <c r="R15" s="711">
        <f ca="1">SUM(R9:R14)</f>
        <v>276190.58850857208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1020.8943158014007</v>
      </c>
      <c r="I18" s="704">
        <f>transport!H54</f>
        <v>0</v>
      </c>
      <c r="J18" s="704">
        <f>transport!I54</f>
        <v>0</v>
      </c>
      <c r="K18" s="704">
        <f>transport!J54</f>
        <v>0</v>
      </c>
      <c r="L18" s="704">
        <f>transport!K54</f>
        <v>0</v>
      </c>
      <c r="M18" s="704">
        <f>transport!L54</f>
        <v>0</v>
      </c>
      <c r="N18" s="704">
        <f>transport!M54</f>
        <v>45.401667245815915</v>
      </c>
      <c r="O18" s="704">
        <f>transport!N54</f>
        <v>0</v>
      </c>
      <c r="P18" s="704">
        <f>transport!O54</f>
        <v>0</v>
      </c>
      <c r="Q18" s="705">
        <f>transport!P54</f>
        <v>0</v>
      </c>
      <c r="R18" s="707">
        <f>SUM(C18:Q18)</f>
        <v>1066.2959830472166</v>
      </c>
      <c r="S18" s="67"/>
    </row>
    <row r="19" spans="1:19" s="459" customFormat="1" ht="15" thickBot="1">
      <c r="A19" s="858" t="s">
        <v>307</v>
      </c>
      <c r="B19" s="863"/>
      <c r="C19" s="713">
        <f>transport!B14</f>
        <v>12.685853780779937</v>
      </c>
      <c r="D19" s="713">
        <f>transport!C14</f>
        <v>0</v>
      </c>
      <c r="E19" s="713">
        <f>transport!D14</f>
        <v>20.013208864777724</v>
      </c>
      <c r="F19" s="713">
        <f>transport!E14</f>
        <v>715.33543463281262</v>
      </c>
      <c r="G19" s="713">
        <f>transport!F14</f>
        <v>0</v>
      </c>
      <c r="H19" s="713">
        <f>transport!G14</f>
        <v>207268.43040849423</v>
      </c>
      <c r="I19" s="713">
        <f>transport!H14</f>
        <v>30986.342121823935</v>
      </c>
      <c r="J19" s="713">
        <f>transport!I14</f>
        <v>0</v>
      </c>
      <c r="K19" s="713">
        <f>transport!J14</f>
        <v>0</v>
      </c>
      <c r="L19" s="713">
        <f>transport!K14</f>
        <v>0</v>
      </c>
      <c r="M19" s="713">
        <f>transport!L14</f>
        <v>0</v>
      </c>
      <c r="N19" s="713">
        <f>transport!M14</f>
        <v>10676.687025656071</v>
      </c>
      <c r="O19" s="713">
        <f>transport!N14</f>
        <v>0</v>
      </c>
      <c r="P19" s="713">
        <f>transport!O14</f>
        <v>0</v>
      </c>
      <c r="Q19" s="714">
        <f>transport!P14</f>
        <v>0</v>
      </c>
      <c r="R19" s="715">
        <f>SUM(C19:Q19)</f>
        <v>249679.49405325259</v>
      </c>
      <c r="S19" s="67"/>
    </row>
    <row r="20" spans="1:19" s="459" customFormat="1" ht="15.75" thickBot="1">
      <c r="A20" s="716" t="s">
        <v>230</v>
      </c>
      <c r="B20" s="866"/>
      <c r="C20" s="861">
        <f>SUM(C17:C19)</f>
        <v>12.685853780779937</v>
      </c>
      <c r="D20" s="717">
        <f t="shared" ref="D20:R20" si="1">SUM(D17:D19)</f>
        <v>0</v>
      </c>
      <c r="E20" s="717">
        <f t="shared" si="1"/>
        <v>20.013208864777724</v>
      </c>
      <c r="F20" s="717">
        <f t="shared" si="1"/>
        <v>715.33543463281262</v>
      </c>
      <c r="G20" s="717">
        <f t="shared" si="1"/>
        <v>0</v>
      </c>
      <c r="H20" s="717">
        <f t="shared" si="1"/>
        <v>208289.32472429561</v>
      </c>
      <c r="I20" s="717">
        <f t="shared" si="1"/>
        <v>30986.342121823935</v>
      </c>
      <c r="J20" s="717">
        <f t="shared" si="1"/>
        <v>0</v>
      </c>
      <c r="K20" s="717">
        <f t="shared" si="1"/>
        <v>0</v>
      </c>
      <c r="L20" s="717">
        <f t="shared" si="1"/>
        <v>0</v>
      </c>
      <c r="M20" s="717">
        <f t="shared" si="1"/>
        <v>0</v>
      </c>
      <c r="N20" s="717">
        <f t="shared" si="1"/>
        <v>10722.088692901887</v>
      </c>
      <c r="O20" s="717">
        <f t="shared" si="1"/>
        <v>0</v>
      </c>
      <c r="P20" s="717">
        <f t="shared" si="1"/>
        <v>0</v>
      </c>
      <c r="Q20" s="718">
        <f t="shared" si="1"/>
        <v>0</v>
      </c>
      <c r="R20" s="719">
        <f t="shared" si="1"/>
        <v>250745.79003629982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4507.0072644871188</v>
      </c>
      <c r="D22" s="713">
        <f>+landbouw!C8</f>
        <v>15839.464285714286</v>
      </c>
      <c r="E22" s="713">
        <f>+landbouw!D8</f>
        <v>2286.9127600319093</v>
      </c>
      <c r="F22" s="713">
        <f>+landbouw!E8</f>
        <v>56.794097738415466</v>
      </c>
      <c r="G22" s="713">
        <f>+landbouw!F8</f>
        <v>15550.304135265178</v>
      </c>
      <c r="H22" s="713">
        <f>+landbouw!G8</f>
        <v>0</v>
      </c>
      <c r="I22" s="713">
        <f>+landbouw!H8</f>
        <v>0</v>
      </c>
      <c r="J22" s="713">
        <f>+landbouw!I8</f>
        <v>0</v>
      </c>
      <c r="K22" s="713">
        <f>+landbouw!J8</f>
        <v>677.80265872849077</v>
      </c>
      <c r="L22" s="713">
        <f>+landbouw!K8</f>
        <v>0</v>
      </c>
      <c r="M22" s="713">
        <f>+landbouw!L8</f>
        <v>0</v>
      </c>
      <c r="N22" s="713">
        <f>+landbouw!M8</f>
        <v>0</v>
      </c>
      <c r="O22" s="713">
        <f>+landbouw!N8</f>
        <v>0</v>
      </c>
      <c r="P22" s="713">
        <f>+landbouw!O8</f>
        <v>0</v>
      </c>
      <c r="Q22" s="714">
        <f>+landbouw!P8</f>
        <v>0</v>
      </c>
      <c r="R22" s="715">
        <f>SUM(C22:Q22)</f>
        <v>38918.285201965402</v>
      </c>
      <c r="S22" s="67"/>
    </row>
    <row r="23" spans="1:19" s="459" customFormat="1" ht="17.25" thickTop="1" thickBot="1">
      <c r="A23" s="720" t="s">
        <v>116</v>
      </c>
      <c r="B23" s="852"/>
      <c r="C23" s="721">
        <f ca="1">C20+C15+C22</f>
        <v>71276.773661579457</v>
      </c>
      <c r="D23" s="721">
        <f t="shared" ref="D23:Q23" ca="1" si="2">D20+D15+D22</f>
        <v>15839.464285714286</v>
      </c>
      <c r="E23" s="721">
        <f t="shared" ca="1" si="2"/>
        <v>121373.54605343434</v>
      </c>
      <c r="F23" s="721">
        <f t="shared" si="2"/>
        <v>11460.090767470583</v>
      </c>
      <c r="G23" s="721">
        <f t="shared" ca="1" si="2"/>
        <v>52068.904068675954</v>
      </c>
      <c r="H23" s="721">
        <f t="shared" si="2"/>
        <v>208289.32472429561</v>
      </c>
      <c r="I23" s="721">
        <f t="shared" si="2"/>
        <v>30986.342121823935</v>
      </c>
      <c r="J23" s="721">
        <f t="shared" si="2"/>
        <v>0</v>
      </c>
      <c r="K23" s="721">
        <f t="shared" si="2"/>
        <v>5668.0347477853211</v>
      </c>
      <c r="L23" s="721">
        <f t="shared" si="2"/>
        <v>0</v>
      </c>
      <c r="M23" s="721">
        <f t="shared" ca="1" si="2"/>
        <v>0</v>
      </c>
      <c r="N23" s="721">
        <f t="shared" si="2"/>
        <v>10722.088692901887</v>
      </c>
      <c r="O23" s="721">
        <f t="shared" ca="1" si="2"/>
        <v>36684.644623155924</v>
      </c>
      <c r="P23" s="721">
        <f t="shared" si="2"/>
        <v>398.65</v>
      </c>
      <c r="Q23" s="722">
        <f t="shared" si="2"/>
        <v>1086.8</v>
      </c>
      <c r="R23" s="723">
        <f ca="1">R20+R15+R22</f>
        <v>565854.66374683729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3595.3792943362914</v>
      </c>
      <c r="D36" s="704">
        <f ca="1">tertiair!C20</f>
        <v>0</v>
      </c>
      <c r="E36" s="704">
        <f ca="1">tertiair!D20</f>
        <v>9882.829095032921</v>
      </c>
      <c r="F36" s="704">
        <f>tertiair!E20</f>
        <v>59.365315196108071</v>
      </c>
      <c r="G36" s="704">
        <f ca="1">tertiair!F20</f>
        <v>1177.0036286042707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14714.577333169591</v>
      </c>
    </row>
    <row r="37" spans="1:18">
      <c r="A37" s="873" t="s">
        <v>225</v>
      </c>
      <c r="B37" s="880"/>
      <c r="C37" s="704">
        <f ca="1">huishoudens!B12</f>
        <v>5180.0035263268283</v>
      </c>
      <c r="D37" s="704">
        <f ca="1">huishoudens!C12</f>
        <v>0</v>
      </c>
      <c r="E37" s="704">
        <f>huishoudens!D12</f>
        <v>10371.65366070167</v>
      </c>
      <c r="F37" s="704">
        <f>huishoudens!E12</f>
        <v>1923.1792422780325</v>
      </c>
      <c r="G37" s="704">
        <f>huishoudens!F12</f>
        <v>5655.1374598855509</v>
      </c>
      <c r="H37" s="704">
        <f>huishoudens!G12</f>
        <v>0</v>
      </c>
      <c r="I37" s="704">
        <f>huishoudens!H12</f>
        <v>0</v>
      </c>
      <c r="J37" s="704">
        <f>huishoudens!I12</f>
        <v>0</v>
      </c>
      <c r="K37" s="704">
        <f>huishoudens!J12</f>
        <v>1762.7813469778018</v>
      </c>
      <c r="L37" s="704">
        <f>huishoudens!K12</f>
        <v>0</v>
      </c>
      <c r="M37" s="704">
        <f>huishoudens!L12</f>
        <v>0</v>
      </c>
      <c r="N37" s="704">
        <f>huishoudens!M12</f>
        <v>0</v>
      </c>
      <c r="O37" s="704">
        <f>huishoudens!N12</f>
        <v>0</v>
      </c>
      <c r="P37" s="704">
        <f>huishoudens!O12</f>
        <v>0</v>
      </c>
      <c r="Q37" s="814">
        <f>huishoudens!P12</f>
        <v>0</v>
      </c>
      <c r="R37" s="905">
        <f ca="1">SUM(C37:Q37)</f>
        <v>24892.75523616988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2470.7821463719552</v>
      </c>
      <c r="D39" s="704">
        <f ca="1">industrie!C22</f>
        <v>0</v>
      </c>
      <c r="E39" s="704">
        <f>industrie!D22</f>
        <v>3796.9745013420215</v>
      </c>
      <c r="F39" s="704">
        <f>industrie!E22</f>
        <v>443.62264289341311</v>
      </c>
      <c r="G39" s="704">
        <f>industrie!F22</f>
        <v>2918.3250937308558</v>
      </c>
      <c r="H39" s="704">
        <f>industrie!G22</f>
        <v>0</v>
      </c>
      <c r="I39" s="704">
        <f>industrie!H22</f>
        <v>0</v>
      </c>
      <c r="J39" s="704">
        <f>industrie!I22</f>
        <v>0</v>
      </c>
      <c r="K39" s="704">
        <f>industrie!J22</f>
        <v>3.7608125483160579</v>
      </c>
      <c r="L39" s="704">
        <f>industrie!K22</f>
        <v>0</v>
      </c>
      <c r="M39" s="704">
        <f>industrie!L22</f>
        <v>0</v>
      </c>
      <c r="N39" s="704">
        <f>industrie!M22</f>
        <v>0</v>
      </c>
      <c r="O39" s="704">
        <f>industrie!N22</f>
        <v>0</v>
      </c>
      <c r="P39" s="704">
        <f>industrie!O22</f>
        <v>0</v>
      </c>
      <c r="Q39" s="814">
        <f>industrie!P22</f>
        <v>0</v>
      </c>
      <c r="R39" s="906">
        <f ca="1">SUM(C39:Q39)</f>
        <v>9633.4651968865619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11246.164967035074</v>
      </c>
      <c r="D41" s="749">
        <f t="shared" ref="D41:R41" ca="1" si="4">SUM(D35:D40)</f>
        <v>0</v>
      </c>
      <c r="E41" s="749">
        <f t="shared" ca="1" si="4"/>
        <v>24051.457257076614</v>
      </c>
      <c r="F41" s="749">
        <f t="shared" si="4"/>
        <v>2426.1672003675535</v>
      </c>
      <c r="G41" s="749">
        <f t="shared" ca="1" si="4"/>
        <v>9750.4661822206763</v>
      </c>
      <c r="H41" s="749">
        <f t="shared" si="4"/>
        <v>0</v>
      </c>
      <c r="I41" s="749">
        <f t="shared" si="4"/>
        <v>0</v>
      </c>
      <c r="J41" s="749">
        <f t="shared" si="4"/>
        <v>0</v>
      </c>
      <c r="K41" s="749">
        <f t="shared" si="4"/>
        <v>1766.542159526118</v>
      </c>
      <c r="L41" s="749">
        <f t="shared" si="4"/>
        <v>0</v>
      </c>
      <c r="M41" s="749">
        <f t="shared" ca="1" si="4"/>
        <v>0</v>
      </c>
      <c r="N41" s="749">
        <f t="shared" si="4"/>
        <v>0</v>
      </c>
      <c r="O41" s="749">
        <f t="shared" ca="1" si="4"/>
        <v>0</v>
      </c>
      <c r="P41" s="749">
        <f t="shared" si="4"/>
        <v>0</v>
      </c>
      <c r="Q41" s="750">
        <f t="shared" si="4"/>
        <v>0</v>
      </c>
      <c r="R41" s="751">
        <f t="shared" ca="1" si="4"/>
        <v>49240.797766226038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272.57878231897399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272.57878231897399</v>
      </c>
    </row>
    <row r="45" spans="1:18" ht="15" thickBot="1">
      <c r="A45" s="876" t="s">
        <v>307</v>
      </c>
      <c r="B45" s="886"/>
      <c r="C45" s="713">
        <f ca="1">transport!B18</f>
        <v>2.1371096999032972</v>
      </c>
      <c r="D45" s="713">
        <f>transport!C18</f>
        <v>0</v>
      </c>
      <c r="E45" s="713">
        <f>transport!D18</f>
        <v>4.0426681906851005</v>
      </c>
      <c r="F45" s="713">
        <f>transport!E18</f>
        <v>162.38114366164848</v>
      </c>
      <c r="G45" s="713">
        <f>transport!F18</f>
        <v>0</v>
      </c>
      <c r="H45" s="713">
        <f>transport!G18</f>
        <v>55340.670919067961</v>
      </c>
      <c r="I45" s="713">
        <f>transport!H18</f>
        <v>7715.5991883341594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63224.831028954359</v>
      </c>
    </row>
    <row r="46" spans="1:18" ht="15.75" thickBot="1">
      <c r="A46" s="874" t="s">
        <v>230</v>
      </c>
      <c r="B46" s="887"/>
      <c r="C46" s="749">
        <f t="shared" ref="C46:R46" ca="1" si="5">SUM(C43:C45)</f>
        <v>2.1371096999032972</v>
      </c>
      <c r="D46" s="749">
        <f t="shared" ca="1" si="5"/>
        <v>0</v>
      </c>
      <c r="E46" s="749">
        <f t="shared" si="5"/>
        <v>4.0426681906851005</v>
      </c>
      <c r="F46" s="749">
        <f t="shared" si="5"/>
        <v>162.38114366164848</v>
      </c>
      <c r="G46" s="749">
        <f t="shared" si="5"/>
        <v>0</v>
      </c>
      <c r="H46" s="749">
        <f t="shared" si="5"/>
        <v>55613.249701386936</v>
      </c>
      <c r="I46" s="749">
        <f t="shared" si="5"/>
        <v>7715.5991883341594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63497.409811273334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759.26848195769333</v>
      </c>
      <c r="D48" s="704">
        <f ca="1">+landbouw!C12</f>
        <v>0</v>
      </c>
      <c r="E48" s="704">
        <f>+landbouw!D12</f>
        <v>461.95637752644569</v>
      </c>
      <c r="F48" s="704">
        <f>+landbouw!E12</f>
        <v>12.892260186620311</v>
      </c>
      <c r="G48" s="704">
        <f>+landbouw!F12</f>
        <v>4151.9312041158028</v>
      </c>
      <c r="H48" s="704">
        <f>+landbouw!G12</f>
        <v>0</v>
      </c>
      <c r="I48" s="704">
        <f>+landbouw!H12</f>
        <v>0</v>
      </c>
      <c r="J48" s="704">
        <f>+landbouw!I12</f>
        <v>0</v>
      </c>
      <c r="K48" s="704">
        <f>+landbouw!J12</f>
        <v>239.94214118988572</v>
      </c>
      <c r="L48" s="704">
        <f>+landbouw!K12</f>
        <v>0</v>
      </c>
      <c r="M48" s="704">
        <f>+landbouw!L12</f>
        <v>0</v>
      </c>
      <c r="N48" s="704">
        <f>+landbouw!M12</f>
        <v>0</v>
      </c>
      <c r="O48" s="704">
        <f>+landbouw!N12</f>
        <v>0</v>
      </c>
      <c r="P48" s="704">
        <f>+landbouw!O12</f>
        <v>0</v>
      </c>
      <c r="Q48" s="705">
        <f>+landbouw!P12</f>
        <v>0</v>
      </c>
      <c r="R48" s="747">
        <f ca="1">SUM(C48:Q48)</f>
        <v>5625.9904649764476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12007.570558692671</v>
      </c>
      <c r="D53" s="759">
        <f t="shared" ref="D53:Q53" ca="1" si="6">D41+D46+D48</f>
        <v>0</v>
      </c>
      <c r="E53" s="759">
        <f t="shared" ca="1" si="6"/>
        <v>24517.456302793747</v>
      </c>
      <c r="F53" s="759">
        <f t="shared" si="6"/>
        <v>2601.4406042158221</v>
      </c>
      <c r="G53" s="759">
        <f t="shared" ca="1" si="6"/>
        <v>13902.397386336479</v>
      </c>
      <c r="H53" s="759">
        <f t="shared" si="6"/>
        <v>55613.249701386936</v>
      </c>
      <c r="I53" s="759">
        <f t="shared" si="6"/>
        <v>7715.5991883341594</v>
      </c>
      <c r="J53" s="759">
        <f t="shared" si="6"/>
        <v>0</v>
      </c>
      <c r="K53" s="759">
        <f t="shared" si="6"/>
        <v>2006.4843007160036</v>
      </c>
      <c r="L53" s="759">
        <f t="shared" si="6"/>
        <v>0</v>
      </c>
      <c r="M53" s="759">
        <f t="shared" ca="1" si="6"/>
        <v>0</v>
      </c>
      <c r="N53" s="759">
        <f t="shared" si="6"/>
        <v>0</v>
      </c>
      <c r="O53" s="759">
        <f t="shared" ca="1" si="6"/>
        <v>0</v>
      </c>
      <c r="P53" s="759">
        <f>P41+P46+P48</f>
        <v>0</v>
      </c>
      <c r="Q53" s="760">
        <f t="shared" si="6"/>
        <v>0</v>
      </c>
      <c r="R53" s="761">
        <f ca="1">R41+R46+R48</f>
        <v>118364.19804247582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0.16846400225274435</v>
      </c>
      <c r="D55" s="824">
        <f t="shared" ca="1" si="7"/>
        <v>0</v>
      </c>
      <c r="E55" s="824">
        <f t="shared" ca="1" si="7"/>
        <v>0.2020000000000001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5856.2502059564986</v>
      </c>
      <c r="C66" s="781">
        <f>'lokale energieproductie'!B6</f>
        <v>5856.2502059564986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11087.625</v>
      </c>
      <c r="C67" s="780">
        <f>B67*IFERROR(SUM(J67:L67)/SUM(D67:M67),0)</f>
        <v>11087.625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13044.264705882353</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16943.875205956498</v>
      </c>
      <c r="C69" s="789">
        <f>SUM(C64:C68)</f>
        <v>16943.875205956498</v>
      </c>
      <c r="D69" s="790">
        <f t="shared" ref="D69:M69" si="8">SUM(D67:D68)</f>
        <v>0</v>
      </c>
      <c r="E69" s="790">
        <f t="shared" si="8"/>
        <v>0</v>
      </c>
      <c r="F69" s="790">
        <f t="shared" si="8"/>
        <v>0</v>
      </c>
      <c r="G69" s="790">
        <f t="shared" si="8"/>
        <v>0</v>
      </c>
      <c r="H69" s="790">
        <f t="shared" si="8"/>
        <v>0</v>
      </c>
      <c r="I69" s="790">
        <f t="shared" si="8"/>
        <v>0</v>
      </c>
      <c r="J69" s="790">
        <f t="shared" si="8"/>
        <v>0</v>
      </c>
      <c r="K69" s="790">
        <f t="shared" si="8"/>
        <v>13044.264705882353</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15839.464285714286</v>
      </c>
      <c r="C78" s="803">
        <f>B78*IFERROR(SUM(I78:L78)/SUM(D78:M78),0)</f>
        <v>15839.464285714286</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18634.663865546219</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15839.464285714286</v>
      </c>
      <c r="C81" s="789">
        <f>SUM(C78:C80)</f>
        <v>15839.464285714286</v>
      </c>
      <c r="D81" s="789">
        <f t="shared" ref="D81:P81" si="9">SUM(D78:D80)</f>
        <v>0</v>
      </c>
      <c r="E81" s="789">
        <f t="shared" si="9"/>
        <v>0</v>
      </c>
      <c r="F81" s="789">
        <f t="shared" si="9"/>
        <v>0</v>
      </c>
      <c r="G81" s="789">
        <f t="shared" si="9"/>
        <v>0</v>
      </c>
      <c r="H81" s="789">
        <f t="shared" si="9"/>
        <v>0</v>
      </c>
      <c r="I81" s="789">
        <f t="shared" si="9"/>
        <v>0</v>
      </c>
      <c r="J81" s="789">
        <f t="shared" si="9"/>
        <v>0</v>
      </c>
      <c r="K81" s="789">
        <f t="shared" si="9"/>
        <v>18634.663865546219</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30748.42967671714</v>
      </c>
      <c r="C4" s="463">
        <f>huishoudens!C8</f>
        <v>0</v>
      </c>
      <c r="D4" s="463">
        <f>huishoudens!D8</f>
        <v>51344.820102483507</v>
      </c>
      <c r="E4" s="463">
        <f>huishoudens!E8</f>
        <v>8472.1552523261344</v>
      </c>
      <c r="F4" s="463">
        <f>huishoudens!F8</f>
        <v>21180.290111930903</v>
      </c>
      <c r="G4" s="463">
        <f>huishoudens!G8</f>
        <v>0</v>
      </c>
      <c r="H4" s="463">
        <f>huishoudens!H8</f>
        <v>0</v>
      </c>
      <c r="I4" s="463">
        <f>huishoudens!I8</f>
        <v>0</v>
      </c>
      <c r="J4" s="463">
        <f>huishoudens!J8</f>
        <v>4979.6083247960505</v>
      </c>
      <c r="K4" s="463">
        <f>huishoudens!K8</f>
        <v>0</v>
      </c>
      <c r="L4" s="463">
        <f>huishoudens!L8</f>
        <v>0</v>
      </c>
      <c r="M4" s="463">
        <f>huishoudens!M8</f>
        <v>0</v>
      </c>
      <c r="N4" s="463">
        <f>huishoudens!N8</f>
        <v>28599.094825737244</v>
      </c>
      <c r="O4" s="463">
        <f>huishoudens!O8</f>
        <v>397.08666666666664</v>
      </c>
      <c r="P4" s="464">
        <f>huishoudens!P8</f>
        <v>1010.5333333333333</v>
      </c>
      <c r="Q4" s="465">
        <f>SUM(B4:P4)</f>
        <v>146732.01829399096</v>
      </c>
    </row>
    <row r="5" spans="1:17">
      <c r="A5" s="462" t="s">
        <v>156</v>
      </c>
      <c r="B5" s="463">
        <f ca="1">tertiair!B16</f>
        <v>20203.923033538002</v>
      </c>
      <c r="C5" s="463">
        <f ca="1">tertiair!C16</f>
        <v>0</v>
      </c>
      <c r="D5" s="463">
        <f ca="1">tertiair!D16</f>
        <v>48924.896510063962</v>
      </c>
      <c r="E5" s="463">
        <f>tertiair!E16</f>
        <v>261.5212123176567</v>
      </c>
      <c r="F5" s="463">
        <f ca="1">tertiair!F16</f>
        <v>4408.2532906526994</v>
      </c>
      <c r="G5" s="463">
        <f>tertiair!G16</f>
        <v>0</v>
      </c>
      <c r="H5" s="463">
        <f>tertiair!H16</f>
        <v>0</v>
      </c>
      <c r="I5" s="463">
        <f>tertiair!I16</f>
        <v>0</v>
      </c>
      <c r="J5" s="463">
        <f>tertiair!J16</f>
        <v>0</v>
      </c>
      <c r="K5" s="463">
        <f>tertiair!K16</f>
        <v>0</v>
      </c>
      <c r="L5" s="463">
        <f ca="1">tertiair!L16</f>
        <v>0</v>
      </c>
      <c r="M5" s="463">
        <f>tertiair!M16</f>
        <v>0</v>
      </c>
      <c r="N5" s="463">
        <f ca="1">tertiair!N16</f>
        <v>3892.1099823483878</v>
      </c>
      <c r="O5" s="463">
        <f>tertiair!O16</f>
        <v>1.5633333333333335</v>
      </c>
      <c r="P5" s="464">
        <f>tertiair!P16</f>
        <v>76.266666666666666</v>
      </c>
      <c r="Q5" s="462">
        <f t="shared" ref="Q5:Q13" ca="1" si="0">SUM(B5:P5)</f>
        <v>77768.534028920709</v>
      </c>
    </row>
    <row r="6" spans="1:17">
      <c r="A6" s="462" t="s">
        <v>194</v>
      </c>
      <c r="B6" s="463">
        <f>'openbare verlichting'!B8</f>
        <v>1138.1990000000001</v>
      </c>
      <c r="C6" s="463"/>
      <c r="D6" s="463"/>
      <c r="E6" s="463"/>
      <c r="F6" s="463"/>
      <c r="G6" s="463"/>
      <c r="H6" s="463"/>
      <c r="I6" s="463"/>
      <c r="J6" s="463"/>
      <c r="K6" s="463"/>
      <c r="L6" s="463"/>
      <c r="M6" s="463"/>
      <c r="N6" s="463"/>
      <c r="O6" s="463"/>
      <c r="P6" s="464"/>
      <c r="Q6" s="462">
        <f t="shared" si="0"/>
        <v>1138.1990000000001</v>
      </c>
    </row>
    <row r="7" spans="1:17">
      <c r="A7" s="462" t="s">
        <v>112</v>
      </c>
      <c r="B7" s="463">
        <f>landbouw!B8</f>
        <v>4507.0072644871188</v>
      </c>
      <c r="C7" s="463">
        <f>landbouw!C8</f>
        <v>15839.464285714286</v>
      </c>
      <c r="D7" s="463">
        <f>landbouw!D8</f>
        <v>2286.9127600319093</v>
      </c>
      <c r="E7" s="463">
        <f>landbouw!E8</f>
        <v>56.794097738415466</v>
      </c>
      <c r="F7" s="463">
        <f>landbouw!F8</f>
        <v>15550.304135265178</v>
      </c>
      <c r="G7" s="463">
        <f>landbouw!G8</f>
        <v>0</v>
      </c>
      <c r="H7" s="463">
        <f>landbouw!H8</f>
        <v>0</v>
      </c>
      <c r="I7" s="463">
        <f>landbouw!I8</f>
        <v>0</v>
      </c>
      <c r="J7" s="463">
        <f>landbouw!J8</f>
        <v>677.80265872849077</v>
      </c>
      <c r="K7" s="463">
        <f>landbouw!K8</f>
        <v>0</v>
      </c>
      <c r="L7" s="463">
        <f>landbouw!L8</f>
        <v>0</v>
      </c>
      <c r="M7" s="463">
        <f>landbouw!M8</f>
        <v>0</v>
      </c>
      <c r="N7" s="463">
        <f>landbouw!N8</f>
        <v>0</v>
      </c>
      <c r="O7" s="463">
        <f>landbouw!O8</f>
        <v>0</v>
      </c>
      <c r="P7" s="464">
        <f>landbouw!P8</f>
        <v>0</v>
      </c>
      <c r="Q7" s="462">
        <f t="shared" si="0"/>
        <v>38918.285201965402</v>
      </c>
    </row>
    <row r="8" spans="1:17">
      <c r="A8" s="462" t="s">
        <v>657</v>
      </c>
      <c r="B8" s="463">
        <f>industrie!B18</f>
        <v>14666.528833056409</v>
      </c>
      <c r="C8" s="463">
        <f>industrie!C18</f>
        <v>0</v>
      </c>
      <c r="D8" s="463">
        <f>industrie!D18</f>
        <v>18796.903471990205</v>
      </c>
      <c r="E8" s="463">
        <f>industrie!E18</f>
        <v>1954.2847704555643</v>
      </c>
      <c r="F8" s="463">
        <f>industrie!F18</f>
        <v>10930.056530827174</v>
      </c>
      <c r="G8" s="463">
        <f>industrie!G18</f>
        <v>0</v>
      </c>
      <c r="H8" s="463">
        <f>industrie!H18</f>
        <v>0</v>
      </c>
      <c r="I8" s="463">
        <f>industrie!I18</f>
        <v>0</v>
      </c>
      <c r="J8" s="463">
        <f>industrie!J18</f>
        <v>10.623764260779826</v>
      </c>
      <c r="K8" s="463">
        <f>industrie!K18</f>
        <v>0</v>
      </c>
      <c r="L8" s="463">
        <f>industrie!L18</f>
        <v>0</v>
      </c>
      <c r="M8" s="463">
        <f>industrie!M18</f>
        <v>0</v>
      </c>
      <c r="N8" s="463">
        <f>industrie!N18</f>
        <v>4193.4398150702882</v>
      </c>
      <c r="O8" s="463">
        <f>industrie!O18</f>
        <v>0</v>
      </c>
      <c r="P8" s="464">
        <f>industrie!P18</f>
        <v>0</v>
      </c>
      <c r="Q8" s="462">
        <f t="shared" si="0"/>
        <v>50551.837185660428</v>
      </c>
    </row>
    <row r="9" spans="1:17" s="468" customFormat="1">
      <c r="A9" s="466" t="s">
        <v>574</v>
      </c>
      <c r="B9" s="467">
        <f>transport!B14</f>
        <v>12.685853780779937</v>
      </c>
      <c r="C9" s="467">
        <f>transport!C14</f>
        <v>0</v>
      </c>
      <c r="D9" s="467">
        <f>transport!D14</f>
        <v>20.013208864777724</v>
      </c>
      <c r="E9" s="467">
        <f>transport!E14</f>
        <v>715.33543463281262</v>
      </c>
      <c r="F9" s="467">
        <f>transport!F14</f>
        <v>0</v>
      </c>
      <c r="G9" s="467">
        <f>transport!G14</f>
        <v>207268.43040849423</v>
      </c>
      <c r="H9" s="467">
        <f>transport!H14</f>
        <v>30986.342121823935</v>
      </c>
      <c r="I9" s="467">
        <f>transport!I14</f>
        <v>0</v>
      </c>
      <c r="J9" s="467">
        <f>transport!J14</f>
        <v>0</v>
      </c>
      <c r="K9" s="467">
        <f>transport!K14</f>
        <v>0</v>
      </c>
      <c r="L9" s="467">
        <f>transport!L14</f>
        <v>0</v>
      </c>
      <c r="M9" s="467">
        <f>transport!M14</f>
        <v>10676.687025656071</v>
      </c>
      <c r="N9" s="467">
        <f>transport!N14</f>
        <v>0</v>
      </c>
      <c r="O9" s="467">
        <f>transport!O14</f>
        <v>0</v>
      </c>
      <c r="P9" s="467">
        <f>transport!P14</f>
        <v>0</v>
      </c>
      <c r="Q9" s="466">
        <f>SUM(B9:P9)</f>
        <v>249679.49405325259</v>
      </c>
    </row>
    <row r="10" spans="1:17">
      <c r="A10" s="462" t="s">
        <v>564</v>
      </c>
      <c r="B10" s="463">
        <f>transport!B54</f>
        <v>0</v>
      </c>
      <c r="C10" s="463">
        <f>transport!C54</f>
        <v>0</v>
      </c>
      <c r="D10" s="463">
        <f>transport!D54</f>
        <v>0</v>
      </c>
      <c r="E10" s="463">
        <f>transport!E54</f>
        <v>0</v>
      </c>
      <c r="F10" s="463">
        <f>transport!F54</f>
        <v>0</v>
      </c>
      <c r="G10" s="463">
        <f>transport!G54</f>
        <v>1020.8943158014007</v>
      </c>
      <c r="H10" s="463">
        <f>transport!H54</f>
        <v>0</v>
      </c>
      <c r="I10" s="463">
        <f>transport!I54</f>
        <v>0</v>
      </c>
      <c r="J10" s="463">
        <f>transport!J54</f>
        <v>0</v>
      </c>
      <c r="K10" s="463">
        <f>transport!K54</f>
        <v>0</v>
      </c>
      <c r="L10" s="463">
        <f>transport!L54</f>
        <v>0</v>
      </c>
      <c r="M10" s="463">
        <f>transport!M54</f>
        <v>45.401667245815915</v>
      </c>
      <c r="N10" s="463">
        <f>transport!N54</f>
        <v>0</v>
      </c>
      <c r="O10" s="463">
        <f>transport!O54</f>
        <v>0</v>
      </c>
      <c r="P10" s="464">
        <f>transport!P54</f>
        <v>0</v>
      </c>
      <c r="Q10" s="462">
        <f t="shared" si="0"/>
        <v>1066.2959830472166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71276.773661579457</v>
      </c>
      <c r="C14" s="473">
        <f t="shared" ref="C14:Q14" ca="1" si="1">SUM(C4:C13)</f>
        <v>15839.464285714286</v>
      </c>
      <c r="D14" s="473">
        <f t="shared" ca="1" si="1"/>
        <v>121373.54605343434</v>
      </c>
      <c r="E14" s="473">
        <f t="shared" si="1"/>
        <v>11460.090767470583</v>
      </c>
      <c r="F14" s="473">
        <f t="shared" ca="1" si="1"/>
        <v>52068.904068675954</v>
      </c>
      <c r="G14" s="473">
        <f t="shared" si="1"/>
        <v>208289.32472429561</v>
      </c>
      <c r="H14" s="473">
        <f t="shared" si="1"/>
        <v>30986.342121823935</v>
      </c>
      <c r="I14" s="473">
        <f t="shared" si="1"/>
        <v>0</v>
      </c>
      <c r="J14" s="473">
        <f t="shared" si="1"/>
        <v>5668.034747785322</v>
      </c>
      <c r="K14" s="473">
        <f t="shared" si="1"/>
        <v>0</v>
      </c>
      <c r="L14" s="473">
        <f t="shared" ca="1" si="1"/>
        <v>0</v>
      </c>
      <c r="M14" s="473">
        <f t="shared" si="1"/>
        <v>10722.088692901887</v>
      </c>
      <c r="N14" s="473">
        <f t="shared" ca="1" si="1"/>
        <v>36684.644623155924</v>
      </c>
      <c r="O14" s="473">
        <f t="shared" si="1"/>
        <v>398.65</v>
      </c>
      <c r="P14" s="474">
        <f t="shared" si="1"/>
        <v>1086.8</v>
      </c>
      <c r="Q14" s="474">
        <f t="shared" ca="1" si="1"/>
        <v>565854.66374683729</v>
      </c>
    </row>
    <row r="16" spans="1:17">
      <c r="A16" s="476" t="s">
        <v>569</v>
      </c>
      <c r="B16" s="829">
        <f ca="1">huishoudens!B10</f>
        <v>0.16846400225274438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5180.0035263268283</v>
      </c>
      <c r="C21" s="463">
        <f t="shared" ref="C21:C30" ca="1" si="3">C4*$C$16</f>
        <v>0</v>
      </c>
      <c r="D21" s="463">
        <f t="shared" ref="D21:D30" si="4">D4*$D$16</f>
        <v>10371.65366070167</v>
      </c>
      <c r="E21" s="463">
        <f t="shared" ref="E21:E30" si="5">E4*$E$16</f>
        <v>1923.1792422780325</v>
      </c>
      <c r="F21" s="463">
        <f t="shared" ref="F21:F30" si="6">F4*$F$16</f>
        <v>5655.1374598855509</v>
      </c>
      <c r="G21" s="463">
        <f t="shared" ref="G21:G30" si="7">G4*$G$16</f>
        <v>0</v>
      </c>
      <c r="H21" s="463">
        <f t="shared" ref="H21:H30" si="8">H4*$H$16</f>
        <v>0</v>
      </c>
      <c r="I21" s="463">
        <f t="shared" ref="I21:I30" si="9">I4*$I$16</f>
        <v>0</v>
      </c>
      <c r="J21" s="463">
        <f t="shared" ref="J21:J30" si="10">J4*$J$16</f>
        <v>1762.7813469778018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24892.75523616988</v>
      </c>
    </row>
    <row r="22" spans="1:17">
      <c r="A22" s="462" t="s">
        <v>156</v>
      </c>
      <c r="B22" s="463">
        <f t="shared" ca="1" si="2"/>
        <v>3403.6337354362199</v>
      </c>
      <c r="C22" s="463">
        <f t="shared" ca="1" si="3"/>
        <v>0</v>
      </c>
      <c r="D22" s="463">
        <f t="shared" ca="1" si="4"/>
        <v>9882.829095032921</v>
      </c>
      <c r="E22" s="463">
        <f t="shared" si="5"/>
        <v>59.365315196108071</v>
      </c>
      <c r="F22" s="463">
        <f t="shared" ca="1" si="6"/>
        <v>1177.0036286042707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14522.83177426952</v>
      </c>
    </row>
    <row r="23" spans="1:17">
      <c r="A23" s="462" t="s">
        <v>194</v>
      </c>
      <c r="B23" s="463">
        <f t="shared" ca="1" si="2"/>
        <v>191.74555890007142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191.74555890007142</v>
      </c>
    </row>
    <row r="24" spans="1:17">
      <c r="A24" s="462" t="s">
        <v>112</v>
      </c>
      <c r="B24" s="463">
        <f t="shared" ca="1" si="2"/>
        <v>759.26848195769333</v>
      </c>
      <c r="C24" s="463">
        <f t="shared" ca="1" si="3"/>
        <v>0</v>
      </c>
      <c r="D24" s="463">
        <f t="shared" si="4"/>
        <v>461.95637752644569</v>
      </c>
      <c r="E24" s="463">
        <f t="shared" si="5"/>
        <v>12.892260186620311</v>
      </c>
      <c r="F24" s="463">
        <f t="shared" si="6"/>
        <v>4151.9312041158028</v>
      </c>
      <c r="G24" s="463">
        <f t="shared" si="7"/>
        <v>0</v>
      </c>
      <c r="H24" s="463">
        <f t="shared" si="8"/>
        <v>0</v>
      </c>
      <c r="I24" s="463">
        <f t="shared" si="9"/>
        <v>0</v>
      </c>
      <c r="J24" s="463">
        <f t="shared" si="10"/>
        <v>239.94214118988572</v>
      </c>
      <c r="K24" s="463">
        <f t="shared" si="11"/>
        <v>0</v>
      </c>
      <c r="L24" s="463">
        <f t="shared" si="12"/>
        <v>0</v>
      </c>
      <c r="M24" s="463">
        <f t="shared" si="13"/>
        <v>0</v>
      </c>
      <c r="N24" s="463">
        <f t="shared" si="14"/>
        <v>0</v>
      </c>
      <c r="O24" s="463">
        <f t="shared" si="15"/>
        <v>0</v>
      </c>
      <c r="P24" s="464">
        <f t="shared" si="16"/>
        <v>0</v>
      </c>
      <c r="Q24" s="462">
        <f t="shared" ca="1" si="17"/>
        <v>5625.9904649764476</v>
      </c>
    </row>
    <row r="25" spans="1:17">
      <c r="A25" s="462" t="s">
        <v>657</v>
      </c>
      <c r="B25" s="463">
        <f t="shared" ca="1" si="2"/>
        <v>2470.7821463719552</v>
      </c>
      <c r="C25" s="463">
        <f t="shared" ca="1" si="3"/>
        <v>0</v>
      </c>
      <c r="D25" s="463">
        <f t="shared" si="4"/>
        <v>3796.9745013420215</v>
      </c>
      <c r="E25" s="463">
        <f t="shared" si="5"/>
        <v>443.62264289341311</v>
      </c>
      <c r="F25" s="463">
        <f t="shared" si="6"/>
        <v>2918.3250937308558</v>
      </c>
      <c r="G25" s="463">
        <f t="shared" si="7"/>
        <v>0</v>
      </c>
      <c r="H25" s="463">
        <f t="shared" si="8"/>
        <v>0</v>
      </c>
      <c r="I25" s="463">
        <f t="shared" si="9"/>
        <v>0</v>
      </c>
      <c r="J25" s="463">
        <f t="shared" si="10"/>
        <v>3.7608125483160579</v>
      </c>
      <c r="K25" s="463">
        <f t="shared" si="11"/>
        <v>0</v>
      </c>
      <c r="L25" s="463">
        <f t="shared" si="12"/>
        <v>0</v>
      </c>
      <c r="M25" s="463">
        <f t="shared" si="13"/>
        <v>0</v>
      </c>
      <c r="N25" s="463">
        <f t="shared" si="14"/>
        <v>0</v>
      </c>
      <c r="O25" s="463">
        <f t="shared" si="15"/>
        <v>0</v>
      </c>
      <c r="P25" s="464">
        <f t="shared" si="16"/>
        <v>0</v>
      </c>
      <c r="Q25" s="462">
        <f t="shared" ca="1" si="17"/>
        <v>9633.4651968865619</v>
      </c>
    </row>
    <row r="26" spans="1:17" s="468" customFormat="1">
      <c r="A26" s="466" t="s">
        <v>574</v>
      </c>
      <c r="B26" s="823">
        <f t="shared" ca="1" si="2"/>
        <v>2.1371096999032972</v>
      </c>
      <c r="C26" s="467">
        <f t="shared" ca="1" si="3"/>
        <v>0</v>
      </c>
      <c r="D26" s="467">
        <f t="shared" si="4"/>
        <v>4.0426681906851005</v>
      </c>
      <c r="E26" s="467">
        <f t="shared" si="5"/>
        <v>162.38114366164848</v>
      </c>
      <c r="F26" s="467">
        <f t="shared" si="6"/>
        <v>0</v>
      </c>
      <c r="G26" s="467">
        <f t="shared" si="7"/>
        <v>55340.670919067961</v>
      </c>
      <c r="H26" s="467">
        <f t="shared" si="8"/>
        <v>7715.5991883341594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63224.831028954359</v>
      </c>
    </row>
    <row r="27" spans="1:17">
      <c r="A27" s="462" t="s">
        <v>564</v>
      </c>
      <c r="B27" s="463">
        <f t="shared" ca="1" si="2"/>
        <v>0</v>
      </c>
      <c r="C27" s="463">
        <f t="shared" ca="1" si="3"/>
        <v>0</v>
      </c>
      <c r="D27" s="463">
        <f t="shared" si="4"/>
        <v>0</v>
      </c>
      <c r="E27" s="463">
        <f t="shared" si="5"/>
        <v>0</v>
      </c>
      <c r="F27" s="463">
        <f t="shared" si="6"/>
        <v>0</v>
      </c>
      <c r="G27" s="463">
        <f t="shared" si="7"/>
        <v>272.57878231897399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272.57878231897399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12007.570558692671</v>
      </c>
      <c r="C31" s="473">
        <f t="shared" ca="1" si="18"/>
        <v>0</v>
      </c>
      <c r="D31" s="473">
        <f t="shared" ca="1" si="18"/>
        <v>24517.456302793747</v>
      </c>
      <c r="E31" s="473">
        <f t="shared" si="18"/>
        <v>2601.4406042158221</v>
      </c>
      <c r="F31" s="473">
        <f t="shared" ca="1" si="18"/>
        <v>13902.397386336481</v>
      </c>
      <c r="G31" s="473">
        <f t="shared" si="18"/>
        <v>55613.249701386936</v>
      </c>
      <c r="H31" s="473">
        <f t="shared" si="18"/>
        <v>7715.5991883341594</v>
      </c>
      <c r="I31" s="473">
        <f t="shared" si="18"/>
        <v>0</v>
      </c>
      <c r="J31" s="473">
        <f t="shared" si="18"/>
        <v>2006.4843007160036</v>
      </c>
      <c r="K31" s="473">
        <f t="shared" si="18"/>
        <v>0</v>
      </c>
      <c r="L31" s="473">
        <f t="shared" ca="1" si="18"/>
        <v>0</v>
      </c>
      <c r="M31" s="473">
        <f t="shared" si="18"/>
        <v>0</v>
      </c>
      <c r="N31" s="473">
        <f t="shared" ca="1" si="18"/>
        <v>0</v>
      </c>
      <c r="O31" s="473">
        <f t="shared" si="18"/>
        <v>0</v>
      </c>
      <c r="P31" s="474">
        <f t="shared" si="18"/>
        <v>0</v>
      </c>
      <c r="Q31" s="474">
        <f t="shared" ca="1" si="18"/>
        <v>118364.19804247582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0.16846400225274438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0.16846400225274438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0.16846400225274438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2018-06-27T09:30:35Z</dcterms:modified>
</cp:coreProperties>
</file>