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<sst xmlns="http://schemas.openxmlformats.org/spreadsheetml/2006/main" count="1970" uniqueCount="847">
  <si>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</si>
  <si>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</si>
  <si>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</si>
  <si>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</si>
  <si>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</si>
  <si>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</si>
  <si>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</si>
  <si>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</si>
  <si>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</si>
  <si>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</si>
  <si>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</si>
  <si>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</si>
  <si>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</si>
  <si>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</si>
  <si>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</si>
  <si>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</si>
  <si>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</si>
  <si>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</si>
  <si>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</si>
  <si>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</si>
  <si>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</si>
  <si>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</si>
  <si>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</si>
  <si>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</si>
  <si>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</si>
  <si>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</si>
  <si>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</si>
  <si>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</si>
  <si>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</si>
  <si>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</si>
  <si>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</si>
  <si>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</si>
  <si>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</si>
  <si>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</si>
  <si>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</si>
  <si>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</si>
  <si>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</si>
  <si>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</si>
  <si>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</si>
  <si>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</si>
  <si>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</si>
  <si>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</si>
  <si>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</si>
  <si>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</si>
  <si>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</si>
  <si>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</si>
  <si>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</si>
  <si>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</si>
  <si>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</si>
  <si>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</si>
  <si>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</si>
  <si>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</si>
  <si>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</si>
  <si>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</si>
  <si>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</si>
  <si>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</si>
  <si>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</si>
  <si>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</si>
  <si>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</si>
  <si>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</si>
  <si>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</si>
  <si>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</si>
  <si>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</si>
  <si>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</si>
  <si>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</si>
  <si>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</si>
  <si>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</si>
  <si>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</si>
  <si>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</si>
  <si>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</si>
  <si>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</si>
  <si>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</si>
  <si>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</si>
  <si>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</si>
  <si>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</si>
  <si>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</si>
  <si>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</si>
  <si>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</si>
  <si>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</si>
  <si>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</si>
  <si>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</si>
  <si>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</si>
  <si>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</si>
  <si>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</si>
  <si>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</si>
  <si>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</si>
  <si>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</si>
  <si>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</si>
  <si>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</si>
  <si>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</si>
  <si>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</si>
  <si>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</si>
  <si>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</si>
  <si>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</si>
  <si>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</si>
  <si>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</si>
  <si>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</si>
  <si>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</si>
  <si>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</si>
  <si>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</si>
  <si>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</si>
  <si>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</si>
  <si>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</si>
  <si>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</si>
  <si>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</si>
  <si>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</si>
  <si>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</si>
  <si>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</si>
  <si>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</si>
  <si>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</si>
  <si>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</si>
  <si>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</si>
  <si>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</si>
  <si>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</si>
  <si>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</si>
  <si>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</si>
  <si>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</si>
  <si>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</si>
  <si>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</si>
  <si>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</si>
  <si>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</si>
  <si>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</si>
  <si>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</si>
  <si>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</si>
  <si>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</si>
  <si>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</si>
  <si>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</si>
  <si>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</si>
  <si>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</si>
  <si>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</si>
  <si>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</si>
  <si>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</si>
  <si>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</si>
  <si>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</si>
  <si>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</si>
  <si>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</si>
  <si>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</si>
  <si>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</si>
  <si>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</si>
  <si>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</si>
  <si>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</si>
  <si>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</si>
  <si>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</si>
  <si>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</si>
  <si>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</si>
  <si>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</si>
  <si>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</si>
  <si>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</si>
  <si>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</si>
  <si>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</si>
  <si>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</si>
  <si>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</si>
  <si>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</si>
  <si>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</si>
  <si>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</si>
  <si>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</si>
  <si>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</si>
  <si>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</si>
  <si>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</si>
  <si>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</si>
  <si>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</si>
  <si>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</si>
  <si>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</si>
  <si>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</si>
  <si>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</si>
  <si>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</si>
  <si>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</si>
  <si>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</si>
  <si>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</si>
  <si>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</si>
  <si>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</si>
  <si>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</si>
  <si>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</si>
  <si>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</si>
  <si>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</si>
  <si>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</si>
  <si>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</si>
  <si>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</si>
  <si>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</si>
  <si>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</si>
  <si>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</si>
  <si>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</si>
  <si>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</si>
  <si>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</si>
  <si>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</si>
  <si>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</si>
  <si>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</si>
  <si>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</si>
  <si>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</si>
  <si>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</si>
  <si>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</si>
  <si>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</si>
  <si>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</si>
  <si>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</si>
  <si>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</si>
  <si>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</si>
  <si>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</si>
  <si>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</si>
  <si>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</si>
  <si>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</si>
  <si>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</si>
  <si>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</si>
  <si>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</si>
  <si>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</si>
  <si>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</si>
  <si>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</si>
  <si>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</si>
  <si>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</si>
  <si>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</si>
  <si>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</si>
  <si>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</si>
  <si>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</si>
  <si>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</si>
  <si>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</si>
  <si>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</si>
  <si>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</si>
  <si>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</si>
  <si>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</si>
  <si>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</si>
  <si>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</si>
  <si>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</si>
  <si>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</si>
  <si>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</si>
  <si>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</si>
  <si>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</si>
  <si>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</si>
  <si>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</si>
  <si>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</si>
  <si>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</si>
  <si>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</si>
  <si>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</si>
  <si>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</si>
  <si>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</si>
  <si>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</si>
  <si>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</si>
  <si>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</si>
  <si>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</si>
  <si>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</si>
  <si>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</si>
  <si>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</si>
  <si>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</si>
  <si>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</si>
  <si>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</si>
  <si>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</si>
  <si>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</si>
  <si>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</si>
  <si>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</si>
  <si>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</si>
  <si>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</si>
  <si>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</si>
  <si>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</si>
  <si>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</si>
  <si>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</si>
  <si>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</si>
  <si>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</si>
  <si>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</si>
  <si>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</si>
  <si>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</si>
  <si>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</si>
  <si>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</si>
  <si>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</si>
  <si>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</si>
  <si>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</si>
  <si>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</si>
  <si>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</si>
  <si>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</si>
  <si>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</si>
  <si>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</si>
  <si>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</si>
  <si>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</si>
  <si>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</si>
  <si>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</si>
  <si>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</si>
  <si>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</si>
  <si>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</si>
  <si>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</si>
  <si>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</si>
  <si>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</si>
  <si>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</si>
  <si>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</si>
  <si>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</si>
  <si>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</si>
  <si>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</si>
  <si>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</si>
  <si>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</si>
  <si>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</si>
  <si>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</si>
  <si>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</si>
  <si>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</si>
  <si>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</si>
  <si>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</si>
  <si>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</si>
  <si>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</si>
  <si>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</si>
  <si>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</si>
  <si>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</si>
  <si>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</si>
  <si>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</si>
  <si>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</si>
  <si>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</si>
  <si>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</si>
  <si>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</si>
  <si>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</si>
  <si>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</si>
  <si>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</si>
  <si>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</si>
  <si>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</si>
  <si>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</si>
  <si>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</si>
  <si>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</si>
  <si>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</si>
  <si>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</si>
  <si>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</si>
  <si>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</si>
  <si>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</si>
  <si>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</si>
  <si>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</si>
  <si>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</si>
  <si>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</si>
  <si>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</si>
  <si>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</si>
  <si>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</si>
  <si>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</si>
  <si>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</si>
  <si>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</si>
  <si>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</si>
  <si>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</si>
  <si>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</si>
  <si>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</si>
  <si>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</si>
  <si>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</si>
  <si>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</si>
  <si>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</si>
  <si>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</si>
  <si>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</si>
  <si>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</si>
  <si>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</si>
  <si>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</si>
  <si>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</si>
  <si>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</si>
  <si>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</si>
  <si>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</si>
  <si>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</si>
  <si>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</si>
  <si>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</si>
  <si>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</si>
  <si>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</si>
  <si>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</si>
  <si>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</si>
  <si>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</si>
  <si>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</si>
  <si>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</si>
  <si>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</si>
  <si>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</si>
  <si>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</si>
  <si>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</si>
  <si>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</si>
  <si>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</si>
  <si>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</si>
  <si>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</si>
  <si>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</si>
  <si>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</si>
  <si>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</si>
  <si>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</si>
  <si>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</si>
  <si>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</si>
  <si>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</si>
  <si>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</si>
  <si>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</si>
  <si>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</si>
  <si>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</si>
  <si>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</si>
  <si>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</si>
  <si>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</si>
  <si>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</si>
  <si>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</si>
  <si>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</si>
  <si>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</si>
  <si>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</si>
  <si>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</si>
  <si>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</si>
  <si>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</si>
  <si>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</si>
  <si>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</si>
  <si>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</si>
  <si>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</si>
  <si>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</si>
  <si>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</si>
  <si>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</si>
  <si>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</si>
  <si>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</si>
  <si>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</si>
  <si>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</si>
  <si>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</si>
  <si>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</si>
  <si>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</si>
  <si>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</si>
  <si>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</si>
  <si>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</si>
  <si>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</si>
  <si>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</si>
  <si>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</si>
  <si>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</si>
  <si>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</si>
  <si>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</si>
  <si>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</si>
  <si>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</si>
  <si>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</si>
  <si>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</si>
  <si>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</si>
  <si>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</si>
  <si>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</si>
  <si>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</si>
  <si>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</si>
  <si>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</si>
  <si>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</si>
  <si>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</si>
  <si>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</si>
  <si>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</si>
  <si>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</si>
  <si>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</si>
  <si>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</si>
  <si>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</si>
  <si>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</si>
  <si>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</si>
  <si>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</si>
  <si>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</si>
  <si>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</si>
  <si>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</si>
  <si>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</si>
  <si>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</si>
  <si>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</si>
  <si>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</si>
  <si>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</si>
  <si>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</si>
  <si>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</si>
  <si>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</si>
  <si>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</si>
  <si>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</si>
  <si>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</si>
  <si>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</si>
  <si>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</si>
  <si>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</si>
  <si>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</si>
  <si>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</si>
  <si>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</si>
  <si>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</si>
  <si>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</si>
  <si>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</si>
  <si>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</si>
  <si>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</si>
  <si>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</si>
  <si>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</si>
  <si>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</si>
  <si>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</si>
  <si>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</si>
  <si>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</si>
  <si>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</si>
  <si>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</si>
  <si>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</si>
  <si>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</si>
  <si>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</si>
  <si>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</si>
  <si>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</si>
  <si>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</si>
  <si>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</si>
  <si>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</si>
  <si>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</si>
  <si>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</si>
  <si>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</si>
  <si>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</si>
  <si>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</si>
  <si>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</si>
  <si>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</si>
  <si>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</si>
  <si>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</si>
  <si>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</si>
  <si>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</si>
  <si>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</si>
  <si>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</si>
  <si>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</si>
  <si>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</si>
  <si>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</si>
  <si>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</si>
  <si>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</si>
  <si>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</si>
  <si>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</si>
  <si>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</si>
  <si>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</si>
  <si>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</si>
  <si>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</si>
  <si>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</si>
  <si>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</si>
  <si>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</si>
  <si>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</si>
  <si>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</si>
  <si>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</si>
  <si>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</si>
  <si>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</si>
  <si>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</si>
  <si>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</si>
  <si>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</si>
  <si>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</si>
  <si>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</si>
  <si>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</si>
  <si>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</si>
  <si>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</si>
  <si>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</si>
  <si>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</si>
  <si>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</si>
  <si>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</si>
  <si>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</si>
  <si>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</si>
  <si>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</si>
  <si>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</si>
  <si>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</si>
  <si>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</si>
  <si>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</si>
  <si>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</si>
  <si>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</si>
  <si>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</si>
  <si>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</si>
  <si>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</si>
  <si>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</si>
  <si>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</si>
  <si>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</si>
  <si>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</si>
  <si>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</si>
  <si>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</si>
  <si>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</si>
  <si>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</si>
  <si>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</si>
  <si>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</si>
  <si>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</si>
  <si>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</si>
  <si>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</si>
  <si>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</si>
  <si>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</si>
  <si>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</si>
  <si>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</si>
  <si>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</si>
  <si>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</si>
  <si>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</si>
  <si>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</si>
  <si>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</si>
  <si>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</si>
  <si>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</si>
  <si>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</si>
  <si>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</si>
  <si>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</si>
  <si>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</si>
  <si>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</si>
  <si>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</si>
  <si>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</si>
  <si>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</si>
  <si>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</si>
  <si>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</si>
  <si>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</si>
  <si>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</si>
  <si>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</si>
  <si>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</si>
  <si>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</si>
  <si>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</si>
  <si>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</si>
  <si>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</si>
  <si>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</si>
  <si>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</si>
  <si>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</si>
  <si>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</si>
  <si>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</si>
  <si>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</si>
  <si>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</si>
  <si>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</si>
  <si>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</si>
  <si>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</si>
  <si>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</si>
  <si>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</si>
  <si>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</si>
  <si>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</si>
  <si>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</si>
  <si>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</si>
  <si>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</si>
  <si>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</si>
  <si>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</si>
  <si>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</si>
  <si>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</si>
  <si>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</si>
  <si>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</si>
  <si>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</si>
  <si>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</si>
  <si>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</si>
  <si>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</si>
  <si>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</si>
  <si>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</si>
  <si>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</si>
  <si>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</si>
  <si>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</si>
  <si>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</si>
  <si>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</si>
  <si>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</si>
  <si>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</si>
  <si>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</si>
  <si>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</si>
  <si>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</si>
  <si>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</si>
  <si>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</si>
  <si>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</si>
  <si>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</si>
  <si>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</si>
  <si>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</si>
  <si>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</si>
  <si>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</si>
  <si>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</si>
  <si>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</si>
  <si>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</si>
  <si>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</si>
  <si>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</si>
  <si>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</si>
  <si>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</si>
  <si>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</si>
  <si>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</si>
  <si>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</si>
  <si>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</si>
  <si>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</si>
  <si>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</si>
  <si>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</si>
  <si>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</si>
  <si>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</si>
  <si>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</si>
  <si>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</si>
  <si>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</si>
  <si>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</si>
  <si>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</si>
  <si>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</si>
  <si>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</si>
  <si>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</si>
  <si>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</si>
  <si>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</si>
  <si>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</si>
  <si>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</si>
  <si>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</si>
  <si>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</si>
  <si>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</si>
  <si>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</si>
  <si>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</si>
  <si>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</si>
  <si>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</si>
  <si>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</si>
  <si>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</si>
  <si>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</si>
  <si>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</si>
  <si>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</si>
  <si>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</si>
  <si>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</si>
  <si>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</si>
  <si>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</si>
  <si>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</si>
  <si>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</si>
  <si>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</si>
  <si>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</si>
  <si>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</si>
  <si>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</si>
  <si>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</si>
  <si>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</si>
  <si>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</si>
  <si>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</si>
  <si>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</si>
  <si>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</si>
  <si>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</si>
  <si>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</si>
  <si>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</si>
  <si>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</si>
  <si>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</si>
  <si>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</si>
  <si>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</si>
  <si>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</si>
  <si>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</si>
  <si>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</si>
  <si>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</si>
  <si>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</si>
  <si>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</si>
  <si>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</si>
  <si>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</si>
  <si>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</si>
  <si>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</si>
  <si>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</si>
  <si>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</si>
  <si>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</si>
  <si>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</si>
  <si>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</si>
  <si>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</si>
  <si>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</si>
  <si>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</si>
  <si>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</si>
  <si>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</si>
  <si>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</si>
  <si>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</si>
  <si>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</si>
  <si>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</si>
  <si>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</si>
  <si>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</si>
  <si>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</si>
  <si>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</si>
  <si>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</si>
  <si>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</si>
  <si>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</si>
  <si>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</si>
  <si>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</si>
  <si>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</si>
  <si>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</si>
  <si>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</si>
  <si>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</si>
  <si>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</si>
  <si>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</si>
  <si>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</si>
  <si>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</si>
  <si>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</si>
  <si>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</si>
  <si>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</si>
  <si>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</si>
  <si>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</si>
  <si>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</si>
  <si>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</si>
  <si>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</si>
  <si>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</si>
  <si>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</si>
  <si>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</si>
  <si>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</si>
  <si>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</si>
  <si>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</si>
  <si>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</si>
  <si>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</si>
  <si>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</si>
  <si>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</si>
  <si>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</si>
  <si>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</si>
  <si>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</si>
  <si>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</si>
  <si>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</si>
  <si>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</si>
  <si>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</si>
  <si>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</si>
  <si>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</si>
  <si>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</si>
  <si>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</si>
  <si>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</si>
  <si>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</si>
  <si>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</si>
  <si>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</si>
  <si>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</si>
  <si>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</si>
  <si>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</si>
  <si>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</si>
  <si>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</si>
  <si>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</si>
  <si>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</si>
  <si>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</si>
  <si>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</si>
  <si>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</si>
  <si>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</si>
  <si>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</si>
  <si>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</si>
  <si>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</si>
  <si>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</si>
  <si>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</si>
  <si>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</si>
  <si>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</si>
  <si>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</si>
  <si>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</si>
  <si>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</si>
  <si>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</si>
  <si>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</si>
  <si>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</si>
  <si>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</si>
  <si>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</si>
  <si>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</si>
  <si>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</si>
  <si>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</si>
  <si>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</si>
  <si>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</si>
  <si>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</si>
  <si>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</si>
  <si>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</si>
  <si>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</si>
  <si>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</si>
  <si>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</si>
  <si>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</si>
  <si>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</si>
  <si>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</si>
  <si>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</si>
  <si>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</si>
  <si>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</si>
  <si>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</si>
  <si>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</si>
  <si>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</si>
  <si>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</si>
  <si>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</si>
  <si>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</si>
  <si>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</si>
  <si>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</si>
  <si>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</si>
  <si>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</si>
  <si>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</si>
  <si>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</si>
  <si>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</si>
  <si>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</si>
  <si>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</si>
  <si>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</si>
  <si>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</si>
  <si>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</si>
  <si>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</si>
  <si>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</si>
  <si>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</si>
  <si>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</si>
  <si>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</si>
  <si>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</si>
  <si>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</si>
  <si>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</si>
  <si>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</si>
  <si>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</si>
  <si>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</si>
  <si>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</si>
  <si>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</si>
  <si>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</si>
  <si>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</si>
  <si>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</si>
  <si>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</si>
  <si>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</si>
  <si>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</si>
  <si>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</si>
  <si>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</si>
  <si>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</si>
  <si>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</si>
  <si>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24066</t>
  </si>
  <si>
    <t>LUBBEEK</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</si>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</sst>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135610.85271613742</c:v>
                </c:pt>
                <c:pt idx="1">
                  <c:v>23115.118693862671</c:v>
                </c:pt>
                <c:pt idx="2">
                  <c:v>878.81</c:v>
                </c:pt>
                <c:pt idx="3">
                  <c:v>3550.1564873093339</c:v>
                </c:pt>
                <c:pt idx="4">
                  <c:v>3131.8456158426961</c:v>
                </c:pt>
                <c:pt idx="5">
                  <c:v>75701.614428480898</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135610.85271613742</c:v>
                </c:pt>
                <c:pt idx="1">
                  <c:v>23115.118693862671</c:v>
                </c:pt>
                <c:pt idx="2">
                  <c:v>878.81</c:v>
                </c:pt>
                <c:pt idx="3">
                  <c:v>3550.1564873093339</c:v>
                </c:pt>
                <c:pt idx="4">
                  <c:v>3131.8456158426961</c:v>
                </c:pt>
                <c:pt idx="5">
                  <c:v>75701.614428480898</c:v>
                </c:pt>
                <c:pt idx="6">
                  <c:v>3886.5647083905287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29458.395367816054</c:v>
                </c:pt>
                <c:pt idx="1">
                  <c:v>4706.2062051659486</c:v>
                </c:pt>
                <c:pt idx="2">
                  <c:v>170.54202356836072</c:v>
                </c:pt>
                <c:pt idx="3">
                  <c:v>890.6574331764142</c:v>
                </c:pt>
                <c:pt idx="4">
                  <c:v>633.2959346636743</c:v>
                </c:pt>
                <c:pt idx="5">
                  <c:v>19132.937194284346</c:v>
                </c:pt>
                <c:pt idx="6">
                  <c:v>993.52815021350182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29458.395367816054</c:v>
                </c:pt>
                <c:pt idx="1">
                  <c:v>4706.2062051659486</c:v>
                </c:pt>
                <c:pt idx="2">
                  <c:v>170.54202356836072</c:v>
                </c:pt>
                <c:pt idx="3">
                  <c:v>890.6574331764142</c:v>
                </c:pt>
                <c:pt idx="4">
                  <c:v>633.2959346636743</c:v>
                </c:pt>
                <c:pt idx="5">
                  <c:v>19132.937194284346</c:v>
                </c:pt>
                <c:pt idx="6">
                  <c:v>993.52815021350182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24066</v>
      </c>
      <c r="B6" s="398"/>
      <c r="C6" s="399"/>
    </row>
    <row r="7" spans="1:7" s="396" customFormat="1" ht="15.75" customHeight="1">
      <c r="A7" s="400" t="str">
        <f>txtMunicipality</f>
        <v>LUBBEEK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5456</v>
      </c>
      <c r="C9" s="338">
        <v>5646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2309</v>
      </c>
    </row>
    <row r="15" spans="1:6">
      <c r="A15" s="1212" t="s">
        <v>184</v>
      </c>
      <c r="B15" s="335">
        <v>454</v>
      </c>
    </row>
    <row r="16" spans="1:6">
      <c r="A16" s="1212" t="s">
        <v>6</v>
      </c>
      <c r="B16" s="335">
        <v>466</v>
      </c>
    </row>
    <row r="17" spans="1:6">
      <c r="A17" s="1212" t="s">
        <v>7</v>
      </c>
      <c r="B17" s="335">
        <v>333</v>
      </c>
    </row>
    <row r="18" spans="1:6">
      <c r="A18" s="1212" t="s">
        <v>8</v>
      </c>
      <c r="B18" s="335">
        <v>597</v>
      </c>
    </row>
    <row r="19" spans="1:6">
      <c r="A19" s="1212" t="s">
        <v>9</v>
      </c>
      <c r="B19" s="335">
        <v>627</v>
      </c>
    </row>
    <row r="20" spans="1:6">
      <c r="A20" s="1212" t="s">
        <v>10</v>
      </c>
      <c r="B20" s="335">
        <v>403</v>
      </c>
    </row>
    <row r="21" spans="1:6">
      <c r="A21" s="1212" t="s">
        <v>11</v>
      </c>
      <c r="B21" s="335">
        <v>918</v>
      </c>
    </row>
    <row r="22" spans="1:6">
      <c r="A22" s="1212" t="s">
        <v>12</v>
      </c>
      <c r="B22" s="335">
        <v>2314</v>
      </c>
    </row>
    <row r="23" spans="1:6">
      <c r="A23" s="1212" t="s">
        <v>13</v>
      </c>
      <c r="B23" s="335">
        <v>0</v>
      </c>
    </row>
    <row r="24" spans="1:6">
      <c r="A24" s="1212" t="s">
        <v>14</v>
      </c>
      <c r="B24" s="335">
        <v>0</v>
      </c>
    </row>
    <row r="25" spans="1:6">
      <c r="A25" s="1212" t="s">
        <v>15</v>
      </c>
      <c r="B25" s="335">
        <v>1</v>
      </c>
    </row>
    <row r="26" spans="1:6">
      <c r="A26" s="1212" t="s">
        <v>16</v>
      </c>
      <c r="B26" s="335">
        <v>350</v>
      </c>
    </row>
    <row r="27" spans="1:6">
      <c r="A27" s="1212" t="s">
        <v>17</v>
      </c>
      <c r="B27" s="335">
        <v>0</v>
      </c>
    </row>
    <row r="28" spans="1:6" s="341" customFormat="1">
      <c r="A28" s="1213" t="s">
        <v>18</v>
      </c>
      <c r="B28" s="1213">
        <v>0</v>
      </c>
    </row>
    <row r="29" spans="1:6">
      <c r="A29" s="1213" t="s">
        <v>836</v>
      </c>
      <c r="B29" s="1213">
        <v>273</v>
      </c>
      <c r="C29" s="341"/>
      <c r="D29" s="341"/>
      <c r="E29" s="341"/>
      <c r="F29" s="341"/>
    </row>
    <row r="30" spans="1:6">
      <c r="A30" s="1208" t="s">
        <v>837</v>
      </c>
      <c r="B30" s="1208">
        <v>43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14</v>
      </c>
      <c r="F36" s="335">
        <v>2731949</v>
      </c>
    </row>
    <row r="37" spans="1:6">
      <c r="A37" s="1212" t="s">
        <v>25</v>
      </c>
      <c r="B37" s="1212" t="s">
        <v>28</v>
      </c>
      <c r="C37" s="335">
        <v>0</v>
      </c>
      <c r="D37" s="335">
        <v>0</v>
      </c>
      <c r="E37" s="335">
        <v>0</v>
      </c>
      <c r="F37" s="335">
        <v>0</v>
      </c>
    </row>
    <row r="38" spans="1:6">
      <c r="A38" s="1212" t="s">
        <v>25</v>
      </c>
      <c r="B38" s="1212" t="s">
        <v>29</v>
      </c>
      <c r="C38" s="335">
        <v>2</v>
      </c>
      <c r="D38" s="335">
        <v>929755</v>
      </c>
      <c r="E38" s="335">
        <v>2</v>
      </c>
      <c r="F38" s="335">
        <v>39962</v>
      </c>
    </row>
    <row r="39" spans="1:6">
      <c r="A39" s="1212" t="s">
        <v>30</v>
      </c>
      <c r="B39" s="1212" t="s">
        <v>31</v>
      </c>
      <c r="C39" s="335">
        <v>1775</v>
      </c>
      <c r="D39" s="335">
        <v>34980471</v>
      </c>
      <c r="E39" s="335">
        <v>5332</v>
      </c>
      <c r="F39" s="335">
        <v>24675347</v>
      </c>
    </row>
    <row r="40" spans="1:6">
      <c r="A40" s="1212" t="s">
        <v>30</v>
      </c>
      <c r="B40" s="1212" t="s">
        <v>29</v>
      </c>
      <c r="C40" s="335">
        <v>0</v>
      </c>
      <c r="D40" s="335">
        <v>0</v>
      </c>
      <c r="E40" s="335">
        <v>0</v>
      </c>
      <c r="F40" s="335">
        <v>0</v>
      </c>
    </row>
    <row r="41" spans="1:6">
      <c r="A41" s="1212" t="s">
        <v>32</v>
      </c>
      <c r="B41" s="1212" t="s">
        <v>33</v>
      </c>
      <c r="C41" s="335">
        <v>20</v>
      </c>
      <c r="D41" s="335">
        <v>475034</v>
      </c>
      <c r="E41" s="335">
        <v>78</v>
      </c>
      <c r="F41" s="335">
        <v>546391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36135</v>
      </c>
    </row>
    <row r="45" spans="1:6">
      <c r="A45" s="1212" t="s">
        <v>32</v>
      </c>
      <c r="B45" s="1212" t="s">
        <v>37</v>
      </c>
      <c r="C45" s="335">
        <v>0</v>
      </c>
      <c r="D45" s="335">
        <v>0</v>
      </c>
      <c r="E45" s="335">
        <v>3</v>
      </c>
      <c r="F45" s="335">
        <v>399486</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146464</v>
      </c>
      <c r="E48" s="335">
        <v>2</v>
      </c>
      <c r="F48" s="335">
        <v>28231</v>
      </c>
    </row>
    <row r="49" spans="1:6">
      <c r="A49" s="1212" t="s">
        <v>32</v>
      </c>
      <c r="B49" s="1212" t="s">
        <v>40</v>
      </c>
      <c r="C49" s="335">
        <v>0</v>
      </c>
      <c r="D49" s="335">
        <v>0</v>
      </c>
      <c r="E49" s="335">
        <v>0</v>
      </c>
      <c r="F49" s="335">
        <v>0</v>
      </c>
    </row>
    <row r="50" spans="1:6">
      <c r="A50" s="1212" t="s">
        <v>32</v>
      </c>
      <c r="B50" s="1212" t="s">
        <v>41</v>
      </c>
      <c r="C50" s="335">
        <v>3</v>
      </c>
      <c r="D50" s="335">
        <v>25707</v>
      </c>
      <c r="E50" s="335">
        <v>9</v>
      </c>
      <c r="F50" s="335">
        <v>232521</v>
      </c>
    </row>
    <row r="51" spans="1:6">
      <c r="A51" s="1212" t="s">
        <v>42</v>
      </c>
      <c r="B51" s="1212" t="s">
        <v>43</v>
      </c>
      <c r="C51" s="335">
        <v>6</v>
      </c>
      <c r="D51" s="335">
        <v>230284</v>
      </c>
      <c r="E51" s="335">
        <v>74</v>
      </c>
      <c r="F51" s="335">
        <v>724532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878810</v>
      </c>
    </row>
    <row r="56" spans="1:6">
      <c r="A56" s="1212" t="s">
        <v>48</v>
      </c>
      <c r="B56" s="1212" t="s">
        <v>29</v>
      </c>
      <c r="C56" s="335">
        <v>34</v>
      </c>
      <c r="D56" s="335">
        <v>1245525</v>
      </c>
      <c r="E56" s="335">
        <v>94</v>
      </c>
      <c r="F56" s="335">
        <v>1111665</v>
      </c>
    </row>
    <row r="57" spans="1:6">
      <c r="A57" s="1212" t="s">
        <v>49</v>
      </c>
      <c r="B57" s="1212" t="s">
        <v>50</v>
      </c>
      <c r="C57" s="335">
        <v>11</v>
      </c>
      <c r="D57" s="335">
        <v>353997</v>
      </c>
      <c r="E57" s="335">
        <v>63</v>
      </c>
      <c r="F57" s="335">
        <v>579064</v>
      </c>
    </row>
    <row r="58" spans="1:6">
      <c r="A58" s="1212" t="s">
        <v>49</v>
      </c>
      <c r="B58" s="1212" t="s">
        <v>51</v>
      </c>
      <c r="C58" s="335">
        <v>9</v>
      </c>
      <c r="D58" s="335">
        <v>1017165</v>
      </c>
      <c r="E58" s="335">
        <v>27</v>
      </c>
      <c r="F58" s="335">
        <v>4428284</v>
      </c>
    </row>
    <row r="59" spans="1:6">
      <c r="A59" s="1212" t="s">
        <v>49</v>
      </c>
      <c r="B59" s="1212" t="s">
        <v>52</v>
      </c>
      <c r="C59" s="335">
        <v>38</v>
      </c>
      <c r="D59" s="335">
        <v>1475061</v>
      </c>
      <c r="E59" s="335">
        <v>152</v>
      </c>
      <c r="F59" s="335">
        <v>3984496</v>
      </c>
    </row>
    <row r="60" spans="1:6">
      <c r="A60" s="1212" t="s">
        <v>49</v>
      </c>
      <c r="B60" s="1212" t="s">
        <v>53</v>
      </c>
      <c r="C60" s="335">
        <v>11</v>
      </c>
      <c r="D60" s="335">
        <v>387740</v>
      </c>
      <c r="E60" s="335">
        <v>40</v>
      </c>
      <c r="F60" s="335">
        <v>917302</v>
      </c>
    </row>
    <row r="61" spans="1:6">
      <c r="A61" s="1212" t="s">
        <v>49</v>
      </c>
      <c r="B61" s="1212" t="s">
        <v>54</v>
      </c>
      <c r="C61" s="335">
        <v>70</v>
      </c>
      <c r="D61" s="335">
        <v>4091318</v>
      </c>
      <c r="E61" s="335">
        <v>271</v>
      </c>
      <c r="F61" s="335">
        <v>3074598</v>
      </c>
    </row>
    <row r="62" spans="1:6">
      <c r="A62" s="1212" t="s">
        <v>49</v>
      </c>
      <c r="B62" s="1212" t="s">
        <v>55</v>
      </c>
      <c r="C62" s="335">
        <v>3</v>
      </c>
      <c r="D62" s="335">
        <v>128060</v>
      </c>
      <c r="E62" s="335">
        <v>6</v>
      </c>
      <c r="F62" s="335">
        <v>75752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7203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13</v>
      </c>
      <c r="F68" s="335">
        <v>114578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54517606</v>
      </c>
      <c r="E73" s="335">
        <v>41831154.393109255</v>
      </c>
    </row>
    <row r="74" spans="1:6">
      <c r="A74" s="1212" t="s">
        <v>64</v>
      </c>
      <c r="B74" s="1212" t="s">
        <v>727</v>
      </c>
      <c r="C74" s="1212" t="s">
        <v>728</v>
      </c>
      <c r="D74" s="335">
        <v>5935555.9754320355</v>
      </c>
      <c r="E74" s="335">
        <v>5171317.7665473046</v>
      </c>
    </row>
    <row r="75" spans="1:6">
      <c r="A75" s="1212" t="s">
        <v>65</v>
      </c>
      <c r="B75" s="1212" t="s">
        <v>725</v>
      </c>
      <c r="C75" s="1212" t="s">
        <v>729</v>
      </c>
      <c r="D75" s="335">
        <v>25118008</v>
      </c>
      <c r="E75" s="335">
        <v>21658746.052781355</v>
      </c>
    </row>
    <row r="76" spans="1:6">
      <c r="A76" s="1212" t="s">
        <v>65</v>
      </c>
      <c r="B76" s="1212" t="s">
        <v>727</v>
      </c>
      <c r="C76" s="1212" t="s">
        <v>730</v>
      </c>
      <c r="D76" s="335">
        <v>1324562.975432036</v>
      </c>
      <c r="E76" s="335">
        <v>1153762.2398337156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1026784.0491359282</v>
      </c>
      <c r="C83" s="335">
        <v>1017790.1217325875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3333.7193786844159</v>
      </c>
    </row>
    <row r="92" spans="1:6">
      <c r="A92" s="1208" t="s">
        <v>69</v>
      </c>
      <c r="B92" s="338">
        <v>1304.7808668612627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508</v>
      </c>
    </row>
    <row r="98" spans="1:6">
      <c r="A98" s="1212" t="s">
        <v>72</v>
      </c>
      <c r="B98" s="335">
        <v>0</v>
      </c>
    </row>
    <row r="99" spans="1:6">
      <c r="A99" s="1212" t="s">
        <v>73</v>
      </c>
      <c r="B99" s="335">
        <v>84</v>
      </c>
    </row>
    <row r="100" spans="1:6">
      <c r="A100" s="1212" t="s">
        <v>74</v>
      </c>
      <c r="B100" s="335">
        <v>438</v>
      </c>
    </row>
    <row r="101" spans="1:6">
      <c r="A101" s="1212" t="s">
        <v>75</v>
      </c>
      <c r="B101" s="335">
        <v>54</v>
      </c>
    </row>
    <row r="102" spans="1:6">
      <c r="A102" s="1212" t="s">
        <v>76</v>
      </c>
      <c r="B102" s="335">
        <v>49</v>
      </c>
    </row>
    <row r="103" spans="1:6">
      <c r="A103" s="1212" t="s">
        <v>77</v>
      </c>
      <c r="B103" s="335">
        <v>114</v>
      </c>
    </row>
    <row r="104" spans="1:6">
      <c r="A104" s="1212" t="s">
        <v>78</v>
      </c>
      <c r="B104" s="335">
        <v>3638</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36</v>
      </c>
      <c r="C123" s="335">
        <v>36</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120</v>
      </c>
    </row>
    <row r="130" spans="1:6">
      <c r="A130" s="1212" t="s">
        <v>295</v>
      </c>
      <c r="B130" s="335">
        <v>3</v>
      </c>
    </row>
    <row r="131" spans="1:6">
      <c r="A131" s="1212" t="s">
        <v>296</v>
      </c>
      <c r="B131" s="335">
        <v>2</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44733.516797450444</v>
      </c>
      <c r="C3" s="43" t="s">
        <v>170</v>
      </c>
      <c r="D3" s="43"/>
      <c r="E3" s="156"/>
      <c r="F3" s="43"/>
      <c r="G3" s="43"/>
      <c r="H3" s="43"/>
      <c r="I3" s="43"/>
      <c r="J3" s="43"/>
      <c r="K3" s="96"/>
    </row>
    <row r="4" spans="1:11">
      <c r="A4" s="366" t="s">
        <v>171</v>
      </c>
      <c r="B4" s="49">
        <f>IF(ISERROR('SEAP template'!B69),0,'SEAP template'!B69)</f>
        <v>5453.0002455456788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0.19406017633886816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0.19406017633886816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170.54202356836072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24675.347000000002</v>
      </c>
      <c r="C5" s="17">
        <f>IF(ISERROR('Eigen informatie GS &amp; warmtenet'!B57),0,'Eigen informatie GS &amp; warmtenet'!B57)</f>
        <v>0</v>
      </c>
      <c r="D5" s="30">
        <f>(SUM(HH_hh_gas_kWh,HH_rest_gas_kWh)/1000)*0.902</f>
        <v>31552.384841999999</v>
      </c>
      <c r="E5" s="17">
        <f>B46*B57</f>
        <v>3462.1409729691272</v>
      </c>
      <c r="F5" s="17">
        <f>B51*B62</f>
        <v>63159.038458177914</v>
      </c>
      <c r="G5" s="18"/>
      <c r="H5" s="17"/>
      <c r="I5" s="17"/>
      <c r="J5" s="17">
        <f>B50*B61+C50*C61</f>
        <v>0</v>
      </c>
      <c r="K5" s="17"/>
      <c r="L5" s="17"/>
      <c r="M5" s="17"/>
      <c r="N5" s="17">
        <f>B48*B59+C48*C59</f>
        <v>8343.8453976393303</v>
      </c>
      <c r="O5" s="17">
        <f>B69*B70*B71</f>
        <v>245.44333333333333</v>
      </c>
      <c r="P5" s="17">
        <f>B77*B78*B79/1000-B77*B78*B79/1000/B80</f>
        <v>838.93333333333339</v>
      </c>
    </row>
    <row r="6" spans="1:16">
      <c r="A6" s="16" t="s">
        <v>634</v>
      </c>
      <c r="B6" s="831">
        <f>kWh_PV_kleiner_dan_10kW</f>
        <v>3333.7193786844159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28009.066378684416</v>
      </c>
      <c r="C8" s="21">
        <f>C5</f>
        <v>0</v>
      </c>
      <c r="D8" s="21">
        <f>D5</f>
        <v>31552.384841999999</v>
      </c>
      <c r="E8" s="21">
        <f>E5</f>
        <v>3462.1409729691272</v>
      </c>
      <c r="F8" s="21">
        <f>F5</f>
        <v>63159.038458177914</v>
      </c>
      <c r="G8" s="21"/>
      <c r="H8" s="21"/>
      <c r="I8" s="21"/>
      <c r="J8" s="21">
        <f>J5</f>
        <v>0</v>
      </c>
      <c r="K8" s="21"/>
      <c r="L8" s="21">
        <f>L5</f>
        <v>0</v>
      </c>
      <c r="M8" s="21">
        <f>M5</f>
        <v>0</v>
      </c>
      <c r="N8" s="21">
        <f>N5</f>
        <v>8343.8453976393303</v>
      </c>
      <c r="O8" s="21">
        <f>O5</f>
        <v>245.44333333333333</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0.19406017633886816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5435.4443605345614</v>
      </c>
      <c r="C12" s="23">
        <f ca="1">C10*C8</f>
        <v>0</v>
      </c>
      <c r="D12" s="23">
        <f>D8*D10</f>
        <v>6373.5817380839999</v>
      </c>
      <c r="E12" s="23">
        <f>E10*E8</f>
        <v>785.90600086399195</v>
      </c>
      <c r="F12" s="23">
        <f>F10*F8</f>
        <v>16863.463268333504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508</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14.583333333333334</v>
      </c>
      <c r="D20" s="231"/>
      <c r="E20" s="15"/>
    </row>
    <row r="21" spans="1:7">
      <c r="A21" s="173" t="s">
        <v>74</v>
      </c>
      <c r="B21" s="37">
        <f>aantalw2001_elektriciteit</f>
        <v>438</v>
      </c>
      <c r="C21" s="169">
        <f>IF(ISERROR(B21/SUM($B$20,$B$21,$B$22)*100),0,B21/SUM($B$20,$B$21,$B$22)*100)</f>
        <v>76.041666666666657</v>
      </c>
      <c r="D21" s="231"/>
      <c r="E21" s="15"/>
    </row>
    <row r="22" spans="1:7">
      <c r="A22" s="173" t="s">
        <v>75</v>
      </c>
      <c r="B22" s="37">
        <f>aantalw2001_hout</f>
        <v>54</v>
      </c>
      <c r="C22" s="169">
        <f>IF(ISERROR(B22/SUM($B$20,$B$21,$B$22)*100),0,B22/SUM($B$20,$B$21,$B$22)*100)</f>
        <v>9.375</v>
      </c>
      <c r="D22" s="231"/>
      <c r="E22" s="15"/>
    </row>
    <row r="23" spans="1:7">
      <c r="A23" s="173" t="s">
        <v>76</v>
      </c>
      <c r="B23" s="37">
        <f>aantalw2001_niet_gespec</f>
        <v>49</v>
      </c>
      <c r="C23" s="168" t="s">
        <v>111</v>
      </c>
      <c r="D23" s="230"/>
      <c r="E23" s="15"/>
    </row>
    <row r="24" spans="1:7">
      <c r="A24" s="173" t="s">
        <v>77</v>
      </c>
      <c r="B24" s="37">
        <f>aantalw2001_steenkool</f>
        <v>114</v>
      </c>
      <c r="C24" s="168" t="s">
        <v>111</v>
      </c>
      <c r="D24" s="231"/>
      <c r="E24" s="15"/>
    </row>
    <row r="25" spans="1:7">
      <c r="A25" s="173" t="s">
        <v>78</v>
      </c>
      <c r="B25" s="37">
        <f>aantalw2001_stookolie</f>
        <v>3638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5456</v>
      </c>
      <c r="C28" s="36"/>
      <c r="D28" s="230"/>
    </row>
    <row r="29" spans="1:7" s="15" customFormat="1">
      <c r="A29" s="232" t="s">
        <v>746</v>
      </c>
      <c r="B29" s="37">
        <f>SUM(HH_hh_gas_aantal,HH_rest_gas_aantal)</f>
        <v>1775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1775</v>
      </c>
      <c r="C32" s="169">
        <f>IF(ISERROR(B32/SUM($B$32,$B$34,$B$35,$B$36,$B$38,$B$39)*100),0,B32/SUM($B$32,$B$34,$B$35,$B$36,$B$38,$B$39)*100)</f>
        <v>32.797487065779748</v>
      </c>
      <c r="D32" s="235"/>
      <c r="G32" s="15"/>
    </row>
    <row r="33" spans="1:7">
      <c r="A33" s="173" t="s">
        <v>72</v>
      </c>
      <c r="B33" s="34" t="s">
        <v>111</v>
      </c>
      <c r="C33" s="169"/>
      <c r="D33" s="235"/>
      <c r="G33" s="15"/>
    </row>
    <row r="34" spans="1:7">
      <c r="A34" s="173" t="s">
        <v>73</v>
      </c>
      <c r="B34" s="33">
        <f>IF((($B$28-$B$32-$B$39-$B$77-$B$38)*C20/100)&lt;0,0,($B$28-$B$32-$B$39-$B$77-$B$38)*C20/100)</f>
        <v>166.1479166666667</v>
      </c>
      <c r="C34" s="169">
        <f>IF(ISERROR(B34/SUM($B$32,$B$34,$B$35,$B$36,$B$38,$B$39)*100),0,B34/SUM($B$32,$B$34,$B$35,$B$36,$B$38,$B$39)*100)</f>
        <v>3.0699910692288745</v>
      </c>
      <c r="D34" s="235"/>
      <c r="G34" s="15"/>
    </row>
    <row r="35" spans="1:7">
      <c r="A35" s="173" t="s">
        <v>74</v>
      </c>
      <c r="B35" s="33">
        <f>IF((($B$28-$B$32-$B$39-$B$77-$B$38)*C21/100)&lt;0,0,($B$28-$B$32-$B$39-$B$77-$B$38)*C21/100)</f>
        <v>866.34270833333346</v>
      </c>
      <c r="C35" s="169">
        <f>IF(ISERROR(B35/SUM($B$32,$B$34,$B$35,$B$36,$B$38,$B$39)*100),0,B35/SUM($B$32,$B$34,$B$35,$B$36,$B$38,$B$39)*100)</f>
        <v>16.007810575264848</v>
      </c>
      <c r="D35" s="235"/>
      <c r="G35" s="15"/>
    </row>
    <row r="36" spans="1:7">
      <c r="A36" s="173" t="s">
        <v>75</v>
      </c>
      <c r="B36" s="33">
        <f>IF((($B$28-$B$32-$B$39-$B$77-$B$38)*C22/100)&lt;0,0,($B$28-$B$32-$B$39-$B$77-$B$38)*C22/100)</f>
        <v>106.80937500000002</v>
      </c>
      <c r="C36" s="169">
        <f>IF(ISERROR(B36/SUM($B$32,$B$34,$B$35,$B$36,$B$38,$B$39)*100),0,B36/SUM($B$32,$B$34,$B$35,$B$36,$B$38,$B$39)*100)</f>
        <v>1.9735656873614191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2497.6999999999998</v>
      </c>
      <c r="C39" s="169">
        <f>IF(ISERROR(B39/SUM($B$32,$B$34,$B$35,$B$36,$B$38,$B$39)*100),0,B39/SUM($B$32,$B$34,$B$35,$B$36,$B$38,$B$39)*100)</f>
        <v>46.151145602365112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1775</v>
      </c>
      <c r="C44" s="34" t="s">
        <v>111</v>
      </c>
      <c r="D44" s="176"/>
    </row>
    <row r="45" spans="1:7">
      <c r="A45" s="173" t="s">
        <v>72</v>
      </c>
      <c r="B45" s="33" t="str">
        <f t="shared" si="0"/>
        <v>-</v>
      </c>
      <c r="C45" s="34" t="s">
        <v>111</v>
      </c>
      <c r="D45" s="176"/>
    </row>
    <row r="46" spans="1:7">
      <c r="A46" s="173" t="s">
        <v>73</v>
      </c>
      <c r="B46" s="33">
        <f t="shared" si="0"/>
        <v>166.1479166666667</v>
      </c>
      <c r="C46" s="34" t="s">
        <v>111</v>
      </c>
      <c r="D46" s="176"/>
    </row>
    <row r="47" spans="1:7">
      <c r="A47" s="173" t="s">
        <v>74</v>
      </c>
      <c r="B47" s="33">
        <f t="shared" si="0"/>
        <v>866.34270833333346</v>
      </c>
      <c r="C47" s="34" t="s">
        <v>111</v>
      </c>
      <c r="D47" s="176"/>
    </row>
    <row r="48" spans="1:7">
      <c r="A48" s="173" t="s">
        <v>75</v>
      </c>
      <c r="B48" s="33">
        <f t="shared" si="0"/>
        <v>106.80937500000002</v>
      </c>
      <c r="C48" s="33">
        <f>B48*10</f>
        <v>1068.0937500000002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2497.6999999999998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13059.496000000001</v>
      </c>
      <c r="C5" s="17">
        <f>IF(ISERROR('Eigen informatie GS &amp; warmtenet'!B58),0,'Eigen informatie GS &amp; warmtenet'!B58)</f>
        <v>0</v>
      </c>
      <c r="D5" s="30">
        <f>SUM(D6:D12)</f>
        <v>6722.9135820000001</v>
      </c>
      <c r="E5" s="17">
        <f>SUM(E6:E12)</f>
        <v>128.51128875339785</v>
      </c>
      <c r="F5" s="17">
        <f>SUM(F6:F12)</f>
        <v>2346.874489775937</v>
      </c>
      <c r="G5" s="18"/>
      <c r="H5" s="17"/>
      <c r="I5" s="17"/>
      <c r="J5" s="17">
        <f>SUM(J6:J12)</f>
        <v>0</v>
      </c>
      <c r="K5" s="17"/>
      <c r="L5" s="17"/>
      <c r="M5" s="17"/>
      <c r="N5" s="17">
        <f>SUM(N6:N12)</f>
        <v>462.53915323176892</v>
      </c>
      <c r="O5" s="17">
        <f>B38*B39*B40</f>
        <v>4.6900000000000004</v>
      </c>
      <c r="P5" s="17">
        <f>B46*B47*B48/1000-B46*B47*B48/1000/B49</f>
        <v>38.133333333333333</v>
      </c>
      <c r="R5" s="32"/>
    </row>
    <row r="6" spans="1:18">
      <c r="A6" s="32" t="s">
        <v>54</v>
      </c>
      <c r="B6" s="37">
        <f>B26</f>
        <v>3074.598</v>
      </c>
      <c r="C6" s="33"/>
      <c r="D6" s="37">
        <f>IF(ISERROR(TER_kantoor_gas_kWh/1000),0,TER_kantoor_gas_kWh/1000)*0.902</f>
        <v>3690.3688360000001</v>
      </c>
      <c r="E6" s="33">
        <f>$C$26*'E Balans VL '!I12/100/3.6*1000000</f>
        <v>11.945464160322953</v>
      </c>
      <c r="F6" s="33">
        <f>$C$26*('E Balans VL '!L12+'E Balans VL '!N12)/100/3.6*1000000</f>
        <v>467.61837918868895</v>
      </c>
      <c r="G6" s="34"/>
      <c r="H6" s="33"/>
      <c r="I6" s="33"/>
      <c r="J6" s="33">
        <f>$C$26*('E Balans VL '!D12+'E Balans VL '!E12)/100/3.6*1000000</f>
        <v>0</v>
      </c>
      <c r="K6" s="33"/>
      <c r="L6" s="33"/>
      <c r="M6" s="33"/>
      <c r="N6" s="33">
        <f>$C$26*'E Balans VL '!Y12/100/3.6*1000000</f>
        <v>1.694471825769613</v>
      </c>
      <c r="O6" s="33"/>
      <c r="P6" s="33"/>
      <c r="R6" s="32"/>
    </row>
    <row r="7" spans="1:18">
      <c r="A7" s="32" t="s">
        <v>53</v>
      </c>
      <c r="B7" s="37">
        <f t="shared" ref="B7:B12" si="0">B27</f>
        <v>917.30200000000002</v>
      </c>
      <c r="C7" s="33"/>
      <c r="D7" s="37">
        <f>IF(ISERROR(TER_horeca_gas_kWh/1000),0,TER_horeca_gas_kWh/1000)*0.902</f>
        <v>349.74148000000002</v>
      </c>
      <c r="E7" s="33">
        <f>$C$27*'E Balans VL '!I9/100/3.6*1000000</f>
        <v>51.671866905921853</v>
      </c>
      <c r="F7" s="33">
        <f>$C$27*('E Balans VL '!L9+'E Balans VL '!N9)/100/3.6*1000000</f>
        <v>264.49497905035082</v>
      </c>
      <c r="G7" s="34"/>
      <c r="H7" s="33"/>
      <c r="I7" s="33"/>
      <c r="J7" s="33">
        <f>$C$27*('E Balans VL '!D9+'E Balans VL '!E9)/100/3.6*1000000</f>
        <v>0</v>
      </c>
      <c r="K7" s="33"/>
      <c r="L7" s="33"/>
      <c r="M7" s="33"/>
      <c r="N7" s="33">
        <f>$C$27*'E Balans VL '!Y9/100/3.6*1000000</f>
        <v>0.25326231545031919</v>
      </c>
      <c r="O7" s="33"/>
      <c r="P7" s="33"/>
      <c r="R7" s="32"/>
    </row>
    <row r="8" spans="1:18">
      <c r="A8" s="6" t="s">
        <v>52</v>
      </c>
      <c r="B8" s="37">
        <f t="shared" si="0"/>
        <v>3984.4960000000001</v>
      </c>
      <c r="C8" s="33"/>
      <c r="D8" s="37">
        <f>IF(ISERROR(TER_handel_gas_kWh/1000),0,TER_handel_gas_kWh/1000)*0.902</f>
        <v>1330.5050220000001</v>
      </c>
      <c r="E8" s="33">
        <f>$C$28*'E Balans VL '!I13/100/3.6*1000000</f>
        <v>57.430105410210814</v>
      </c>
      <c r="F8" s="33">
        <f>$C$28*('E Balans VL '!L13+'E Balans VL '!N13)/100/3.6*1000000</f>
        <v>692.19974785029842</v>
      </c>
      <c r="G8" s="34"/>
      <c r="H8" s="33"/>
      <c r="I8" s="33"/>
      <c r="J8" s="33">
        <f>$C$28*('E Balans VL '!D13+'E Balans VL '!E13)/100/3.6*1000000</f>
        <v>0</v>
      </c>
      <c r="K8" s="33"/>
      <c r="L8" s="33"/>
      <c r="M8" s="33"/>
      <c r="N8" s="33">
        <f>$C$28*'E Balans VL '!Y13/100/3.6*1000000</f>
        <v>11.937993579232192</v>
      </c>
      <c r="O8" s="33"/>
      <c r="P8" s="33"/>
      <c r="R8" s="32"/>
    </row>
    <row r="9" spans="1:18">
      <c r="A9" s="32" t="s">
        <v>51</v>
      </c>
      <c r="B9" s="37">
        <f t="shared" si="0"/>
        <v>4428.2839999999997</v>
      </c>
      <c r="C9" s="33"/>
      <c r="D9" s="37">
        <f>IF(ISERROR(TER_gezond_gas_kWh/1000),0,TER_gezond_gas_kWh/1000)*0.902</f>
        <v>917.48283000000004</v>
      </c>
      <c r="E9" s="33">
        <f>$C$29*'E Balans VL '!I10/100/3.6*1000000</f>
        <v>4.7305550810623167</v>
      </c>
      <c r="F9" s="33">
        <f>$C$29*('E Balans VL '!L10+'E Balans VL '!N10)/100/3.6*1000000</f>
        <v>722.38770100092927</v>
      </c>
      <c r="G9" s="34"/>
      <c r="H9" s="33"/>
      <c r="I9" s="33"/>
      <c r="J9" s="33">
        <f>$C$29*('E Balans VL '!D10+'E Balans VL '!E10)/100/3.6*1000000</f>
        <v>0</v>
      </c>
      <c r="K9" s="33"/>
      <c r="L9" s="33"/>
      <c r="M9" s="33"/>
      <c r="N9" s="33">
        <f>$C$29*'E Balans VL '!Y10/100/3.6*1000000</f>
        <v>45.58665705155861</v>
      </c>
      <c r="O9" s="33"/>
      <c r="P9" s="33"/>
      <c r="R9" s="32"/>
    </row>
    <row r="10" spans="1:18">
      <c r="A10" s="32" t="s">
        <v>50</v>
      </c>
      <c r="B10" s="37">
        <f t="shared" si="0"/>
        <v>579.06399999999996</v>
      </c>
      <c r="C10" s="33"/>
      <c r="D10" s="37">
        <f>IF(ISERROR(TER_ander_gas_kWh/1000),0,TER_ander_gas_kWh/1000)*0.902</f>
        <v>319.305294</v>
      </c>
      <c r="E10" s="33">
        <f>$C$30*'E Balans VL '!I14/100/3.6*1000000</f>
        <v>2.6630272538269404</v>
      </c>
      <c r="F10" s="33">
        <f>$C$30*('E Balans VL '!L14+'E Balans VL '!N14)/100/3.6*1000000</f>
        <v>173.56374612021588</v>
      </c>
      <c r="G10" s="34"/>
      <c r="H10" s="33"/>
      <c r="I10" s="33"/>
      <c r="J10" s="33">
        <f>$C$30*('E Balans VL '!D14+'E Balans VL '!E14)/100/3.6*1000000</f>
        <v>0</v>
      </c>
      <c r="K10" s="33"/>
      <c r="L10" s="33"/>
      <c r="M10" s="33"/>
      <c r="N10" s="33">
        <f>$C$30*'E Balans VL '!Y14/100/3.6*1000000</f>
        <v>403.06676845975818</v>
      </c>
      <c r="O10" s="33"/>
      <c r="P10" s="33"/>
      <c r="R10" s="32"/>
    </row>
    <row r="11" spans="1:18">
      <c r="A11" s="32" t="s">
        <v>55</v>
      </c>
      <c r="B11" s="37">
        <f t="shared" si="0"/>
        <v>75.751999999999995</v>
      </c>
      <c r="C11" s="33"/>
      <c r="D11" s="37">
        <f>IF(ISERROR(TER_onderwijs_gas_kWh/1000),0,TER_onderwijs_gas_kWh/1000)*0.902</f>
        <v>115.51012</v>
      </c>
      <c r="E11" s="33">
        <f>$C$31*'E Balans VL '!I11/100/3.6*1000000</f>
        <v>7.0269942052967979E-2</v>
      </c>
      <c r="F11" s="33">
        <f>$C$31*('E Balans VL '!L11+'E Balans VL '!N11)/100/3.6*1000000</f>
        <v>26.609936565453786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814.5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-2327.1428571428573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13873.996000000001</v>
      </c>
      <c r="C16" s="21">
        <f t="shared" ca="1" si="1"/>
        <v>0</v>
      </c>
      <c r="D16" s="21">
        <f t="shared" ca="1" si="1"/>
        <v>6722.9135820000001</v>
      </c>
      <c r="E16" s="21">
        <f t="shared" si="1"/>
        <v>128.51128875339785</v>
      </c>
      <c r="F16" s="21">
        <f t="shared" ca="1" si="1"/>
        <v>2346.874489775937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0.19406017633886816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2692.3901102847517</v>
      </c>
      <c r="C20" s="23">
        <f t="shared" ref="C20:P20" ca="1" si="2">C16*C18</f>
        <v>0</v>
      </c>
      <c r="D20" s="23">
        <f t="shared" ca="1" si="2"/>
        <v>1358.0285435640001</v>
      </c>
      <c r="E20" s="23">
        <f t="shared" si="2"/>
        <v>29.172062547021312</v>
      </c>
      <c r="F20" s="23">
        <f t="shared" ca="1" si="2"/>
        <v>626.61548877017526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3074.598</v>
      </c>
      <c r="C26" s="39">
        <f>IF(ISERROR(B26*3.6/1000000/'E Balans VL '!Z12*100),0,B26*3.6/1000000/'E Balans VL '!Z12*100)</f>
        <v>6.5305984477867382E-2</v>
      </c>
      <c r="D26" s="239" t="s">
        <v>692</v>
      </c>
      <c r="F26" s="6"/>
    </row>
    <row r="27" spans="1:18">
      <c r="A27" s="233" t="s">
        <v>53</v>
      </c>
      <c r="B27" s="33">
        <f>IF(ISERROR(TER_horeca_ele_kWh/1000),0,TER_horeca_ele_kWh/1000)</f>
        <v>917.30200000000002</v>
      </c>
      <c r="C27" s="39">
        <f>IF(ISERROR(B27*3.6/1000000/'E Balans VL '!Z9*100),0,B27*3.6/1000000/'E Balans VL '!Z9*100)</f>
        <v>7.1325816941000889E-2</v>
      </c>
      <c r="D27" s="239" t="s">
        <v>692</v>
      </c>
      <c r="F27" s="6"/>
    </row>
    <row r="28" spans="1:18">
      <c r="A28" s="173" t="s">
        <v>52</v>
      </c>
      <c r="B28" s="33">
        <f>IF(ISERROR(TER_handel_ele_kWh/1000),0,TER_handel_ele_kWh/1000)</f>
        <v>3984.4960000000001</v>
      </c>
      <c r="C28" s="39">
        <f>IF(ISERROR(B28*3.6/1000000/'E Balans VL '!Z13*100),0,B28*3.6/1000000/'E Balans VL '!Z13*100)</f>
        <v>0.11400111984269923</v>
      </c>
      <c r="D28" s="239" t="s">
        <v>692</v>
      </c>
      <c r="F28" s="6"/>
    </row>
    <row r="29" spans="1:18">
      <c r="A29" s="233" t="s">
        <v>51</v>
      </c>
      <c r="B29" s="33">
        <f>IF(ISERROR(TER_gezond_ele_kWh/1000),0,TER_gezond_ele_kWh/1000)</f>
        <v>4428.2839999999997</v>
      </c>
      <c r="C29" s="39">
        <f>IF(ISERROR(B29*3.6/1000000/'E Balans VL '!Z10*100),0,B29*3.6/1000000/'E Balans VL '!Z10*100)</f>
        <v>0.48278585697905768</v>
      </c>
      <c r="D29" s="239" t="s">
        <v>692</v>
      </c>
      <c r="F29" s="6"/>
    </row>
    <row r="30" spans="1:18">
      <c r="A30" s="233" t="s">
        <v>50</v>
      </c>
      <c r="B30" s="33">
        <f>IF(ISERROR(TER_ander_ele_kWh/1000),0,TER_ander_ele_kWh/1000)</f>
        <v>579.06399999999996</v>
      </c>
      <c r="C30" s="39">
        <f>IF(ISERROR(B30*3.6/1000000/'E Balans VL '!Z14*100),0,B30*3.6/1000000/'E Balans VL '!Z14*100)</f>
        <v>4.23745899444549E-2</v>
      </c>
      <c r="D30" s="239" t="s">
        <v>692</v>
      </c>
      <c r="F30" s="6"/>
    </row>
    <row r="31" spans="1:18">
      <c r="A31" s="233" t="s">
        <v>55</v>
      </c>
      <c r="B31" s="33">
        <f>IF(ISERROR(TER_onderwijs_ele_kWh/1000),0,TER_onderwijs_ele_kWh/1000)</f>
        <v>75.751999999999995</v>
      </c>
      <c r="C31" s="39">
        <f>IF(ISERROR(B31*3.6/1000000/'E Balans VL '!Z11*100),0,B31*3.6/1000000/'E Balans VL '!Z11*100)</f>
        <v>1.5214845451884057E-2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1242.7639999999999</v>
      </c>
      <c r="C5" s="17">
        <f>IF(ISERROR('Eigen informatie GS &amp; warmtenet'!B59),0,'Eigen informatie GS &amp; warmtenet'!B59)</f>
        <v>0</v>
      </c>
      <c r="D5" s="30">
        <f>SUM(D6:D15)</f>
        <v>583.77891</v>
      </c>
      <c r="E5" s="17">
        <f>SUM(E6:E15)</f>
        <v>172.58435394411356</v>
      </c>
      <c r="F5" s="17">
        <f>SUM(F6:F15)</f>
        <v>877.23016879601596</v>
      </c>
      <c r="G5" s="18"/>
      <c r="H5" s="17"/>
      <c r="I5" s="17"/>
      <c r="J5" s="17">
        <f>SUM(J6:J15)</f>
        <v>2.2725718706980342</v>
      </c>
      <c r="K5" s="17"/>
      <c r="L5" s="17"/>
      <c r="M5" s="17"/>
      <c r="N5" s="17">
        <f>SUM(N6:N15)</f>
        <v>253.21561123186899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36.134999999999998</v>
      </c>
      <c r="C8" s="33"/>
      <c r="D8" s="37">
        <f>IF( ISERROR(IND_metaal_Gas_kWH/1000),0,IND_metaal_Gas_kWH/1000)*0.902</f>
        <v>0</v>
      </c>
      <c r="E8" s="33">
        <f>C30*'E Balans VL '!I18/100/3.6*1000000</f>
        <v>1.037932834150598</v>
      </c>
      <c r="F8" s="33">
        <f>C30*'E Balans VL '!L18/100/3.6*1000000+C30*'E Balans VL '!N18/100/3.6*1000000</f>
        <v>9.2679325240741157</v>
      </c>
      <c r="G8" s="34"/>
      <c r="H8" s="33"/>
      <c r="I8" s="33"/>
      <c r="J8" s="40">
        <f>C30*'E Balans VL '!D18/100/3.6*1000000+C30*'E Balans VL '!E18/100/3.6*1000000</f>
        <v>0</v>
      </c>
      <c r="K8" s="33"/>
      <c r="L8" s="33"/>
      <c r="M8" s="33"/>
      <c r="N8" s="33">
        <f>C30*'E Balans VL '!Y18/100/3.6*1000000</f>
        <v>0.98113901198542985</v>
      </c>
      <c r="O8" s="33"/>
      <c r="P8" s="33"/>
      <c r="R8" s="32"/>
    </row>
    <row r="9" spans="1:18">
      <c r="A9" s="6" t="s">
        <v>33</v>
      </c>
      <c r="B9" s="37">
        <f t="shared" si="0"/>
        <v>546.39099999999996</v>
      </c>
      <c r="C9" s="33"/>
      <c r="D9" s="37">
        <f>IF( ISERROR(IND_andere_gas_kWh/1000),0,IND_andere_gas_kWh/1000)*0.902</f>
        <v>428.48066799999998</v>
      </c>
      <c r="E9" s="33">
        <f>C31*'E Balans VL '!I19/100/3.6*1000000</f>
        <v>147.89460956238378</v>
      </c>
      <c r="F9" s="33">
        <f>C31*'E Balans VL '!L19/100/3.6*1000000+C31*'E Balans VL '!N19/100/3.6*1000000</f>
        <v>363.95422624588554</v>
      </c>
      <c r="G9" s="34"/>
      <c r="H9" s="33"/>
      <c r="I9" s="33"/>
      <c r="J9" s="40">
        <f>C31*'E Balans VL '!D19/100/3.6*1000000+C31*'E Balans VL '!E19/100/3.6*1000000</f>
        <v>0</v>
      </c>
      <c r="K9" s="33"/>
      <c r="L9" s="33"/>
      <c r="M9" s="33"/>
      <c r="N9" s="33">
        <f>C31*'E Balans VL '!Y19/100/3.6*1000000</f>
        <v>178.38758516845616</v>
      </c>
      <c r="O9" s="33"/>
      <c r="P9" s="33"/>
      <c r="R9" s="32"/>
    </row>
    <row r="10" spans="1:18">
      <c r="A10" s="6" t="s">
        <v>41</v>
      </c>
      <c r="B10" s="37">
        <f t="shared" si="0"/>
        <v>232.52099999999999</v>
      </c>
      <c r="C10" s="33"/>
      <c r="D10" s="37">
        <f>IF( ISERROR(IND_voed_gas_kWh/1000),0,IND_voed_gas_kWh/1000)*0.902</f>
        <v>23.187714</v>
      </c>
      <c r="E10" s="33">
        <f>C32*'E Balans VL '!I20/100/3.6*1000000</f>
        <v>18.964946963096814</v>
      </c>
      <c r="F10" s="33">
        <f>C32*'E Balans VL '!L20/100/3.6*1000000+C32*'E Balans VL '!N20/100/3.6*1000000</f>
        <v>346.70990715359227</v>
      </c>
      <c r="G10" s="34"/>
      <c r="H10" s="33"/>
      <c r="I10" s="33"/>
      <c r="J10" s="40">
        <f>C32*'E Balans VL '!D20/100/3.6*1000000+C32*'E Balans VL '!E20/100/3.6*1000000</f>
        <v>3.0759705873690218E-3</v>
      </c>
      <c r="K10" s="33"/>
      <c r="L10" s="33"/>
      <c r="M10" s="33"/>
      <c r="N10" s="33">
        <f>C32*'E Balans VL '!Y20/100/3.6*1000000</f>
        <v>68.306465018614034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399.48599999999999</v>
      </c>
      <c r="C12" s="33"/>
      <c r="D12" s="37">
        <f>IF( ISERROR(IND_min_gas_kWh/1000),0,IND_min_gas_kWh/1000)*0.902</f>
        <v>0</v>
      </c>
      <c r="E12" s="33">
        <f>C34*'E Balans VL '!I22/100/3.6*1000000</f>
        <v>3.1119088957056871</v>
      </c>
      <c r="F12" s="33">
        <f>C34*'E Balans VL '!L22/100/3.6*1000000+C34*'E Balans VL '!N22/100/3.6*1000000</f>
        <v>150.66157003551342</v>
      </c>
      <c r="G12" s="34"/>
      <c r="H12" s="33"/>
      <c r="I12" s="33"/>
      <c r="J12" s="40">
        <f>C34*'E Balans VL '!D22/100/3.6*1000000+C34*'E Balans VL '!E22/100/3.6*1000000</f>
        <v>2.1971380717695501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28.231000000000002</v>
      </c>
      <c r="C15" s="33"/>
      <c r="D15" s="37">
        <f>IF( ISERROR(IND_rest_gas_kWh/1000),0,IND_rest_gas_kWh/1000)*0.902</f>
        <v>132.11052800000002</v>
      </c>
      <c r="E15" s="33">
        <f>C37*'E Balans VL '!I15/100/3.6*1000000</f>
        <v>1.5749556887766805</v>
      </c>
      <c r="F15" s="33">
        <f>C37*'E Balans VL '!L15/100/3.6*1000000+C37*'E Balans VL '!N15/100/3.6*1000000</f>
        <v>6.6365328369506438</v>
      </c>
      <c r="G15" s="34"/>
      <c r="H15" s="33"/>
      <c r="I15" s="33"/>
      <c r="J15" s="40">
        <f>C37*'E Balans VL '!D15/100/3.6*1000000+C37*'E Balans VL '!E15/100/3.6*1000000</f>
        <v>7.235782834111501E-2</v>
      </c>
      <c r="K15" s="33"/>
      <c r="L15" s="33"/>
      <c r="M15" s="33"/>
      <c r="N15" s="33">
        <f>C37*'E Balans VL '!Y15/100/3.6*1000000</f>
        <v>5.5404220328133738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1242.7639999999999</v>
      </c>
      <c r="C18" s="21">
        <f>C5+C16</f>
        <v>0</v>
      </c>
      <c r="D18" s="21">
        <f>MAX((D5+D16),0)</f>
        <v>583.77891</v>
      </c>
      <c r="E18" s="21">
        <f>MAX((E5+E16),0)</f>
        <v>172.58435394411356</v>
      </c>
      <c r="F18" s="21">
        <f>MAX((F5+F16),0)</f>
        <v>877.23016879601596</v>
      </c>
      <c r="G18" s="21"/>
      <c r="H18" s="21"/>
      <c r="I18" s="21"/>
      <c r="J18" s="21">
        <f>MAX((J5+J16),0)</f>
        <v>2.2725718706980342</v>
      </c>
      <c r="K18" s="21"/>
      <c r="L18" s="21">
        <f>MAX((L5+L16),0)</f>
        <v>0</v>
      </c>
      <c r="M18" s="21"/>
      <c r="N18" s="21">
        <f>MAX((N5+N16),0)</f>
        <v>253.21561123186899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0.19406017633886816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241.17100098759713</v>
      </c>
      <c r="C22" s="23">
        <f ca="1">C18*C20</f>
        <v>0</v>
      </c>
      <c r="D22" s="23">
        <f>D18*D20</f>
        <v>117.92333982000001</v>
      </c>
      <c r="E22" s="23">
        <f>E18*E20</f>
        <v>39.176648345313779</v>
      </c>
      <c r="F22" s="23">
        <f>F18*F20</f>
        <v>234.22045506853627</v>
      </c>
      <c r="G22" s="23"/>
      <c r="H22" s="23"/>
      <c r="I22" s="23"/>
      <c r="J22" s="23">
        <f>J18*J20</f>
        <v>0.80449044222710409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36.134999999999998</v>
      </c>
      <c r="C30" s="39">
        <f>IF(ISERROR(B30*3.6/1000000/'E Balans VL '!Z18*100),0,B30*3.6/1000000/'E Balans VL '!Z18*100)</f>
        <v>3.555591757171172E-3</v>
      </c>
      <c r="D30" s="239" t="s">
        <v>692</v>
      </c>
    </row>
    <row r="31" spans="1:18">
      <c r="A31" s="6" t="s">
        <v>33</v>
      </c>
      <c r="B31" s="37">
        <f>IF( ISERROR(IND_ander_ele_kWh/1000),0,IND_ander_ele_kWh/1000)</f>
        <v>546.39099999999996</v>
      </c>
      <c r="C31" s="39">
        <f>IF(ISERROR(B31*3.6/1000000/'E Balans VL '!Z19*100),0,B31*3.6/1000000/'E Balans VL '!Z19*100)</f>
        <v>2.3794892198192724E-2</v>
      </c>
      <c r="D31" s="239" t="s">
        <v>692</v>
      </c>
    </row>
    <row r="32" spans="1:18">
      <c r="A32" s="173" t="s">
        <v>41</v>
      </c>
      <c r="B32" s="37">
        <f>IF( ISERROR(IND_voed_ele_kWh/1000),0,IND_voed_ele_kWh/1000)</f>
        <v>232.52099999999999</v>
      </c>
      <c r="C32" s="39">
        <f>IF(ISERROR(B32*3.6/1000000/'E Balans VL '!Z20*100),0,B32*3.6/1000000/'E Balans VL '!Z20*100)</f>
        <v>4.4117506432382637E-2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399.48599999999999</v>
      </c>
      <c r="C34" s="39">
        <f>IF(ISERROR(B34*3.6/1000000/'E Balans VL '!Z22*100),0,B34*3.6/1000000/'E Balans VL '!Z22*100)</f>
        <v>5.6171743113374598E-2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28.231000000000002</v>
      </c>
      <c r="C37" s="39">
        <f>IF(ISERROR(B37*3.6/1000000/'E Balans VL '!Z15*100),0,B37*3.6/1000000/'E Balans VL '!Z15*100)</f>
        <v>2.1755452981546931E-4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724.53200000000004</v>
      </c>
      <c r="C5" s="17">
        <f>'Eigen informatie GS &amp; warmtenet'!B60</f>
        <v>0</v>
      </c>
      <c r="D5" s="30">
        <f>IF(ISERROR(SUM(LB_lb_gas_kWh,LB_rest_gas_kWh,onbekend_gas_kWh)/1000),0,SUM(LB_lb_gas_kWh,LB_rest_gas_kWh,onbekend_gas_kWh)/1000)*0.902</f>
        <v>207.71616800000001</v>
      </c>
      <c r="E5" s="17">
        <f>B17*'E Balans VL '!I25/3.6*1000000/100</f>
        <v>9.1300365869927802</v>
      </c>
      <c r="F5" s="17">
        <f>B17*('E Balans VL '!L25/3.6*1000000+'E Balans VL '!N25/3.6*1000000)/100</f>
        <v>2499.8169061114349</v>
      </c>
      <c r="G5" s="18"/>
      <c r="H5" s="17"/>
      <c r="I5" s="17"/>
      <c r="J5" s="17">
        <f>('E Balans VL '!D25+'E Balans VL '!E25)/3.6*1000000*landbouw!B17/100</f>
        <v>108.96137661090617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724.53200000000004</v>
      </c>
      <c r="C8" s="21">
        <f>C5+C6</f>
        <v>0</v>
      </c>
      <c r="D8" s="21">
        <f>MAX((D5+D6),0)</f>
        <v>207.71616800000001</v>
      </c>
      <c r="E8" s="21">
        <f>MAX((E5+E6),0)</f>
        <v>9.1300365869927802</v>
      </c>
      <c r="F8" s="21">
        <f>MAX((F5+F6),0)</f>
        <v>2499.8169061114349</v>
      </c>
      <c r="G8" s="21"/>
      <c r="H8" s="21"/>
      <c r="I8" s="21"/>
      <c r="J8" s="21">
        <f>MAX((J5+J6),0)</f>
        <v>108.96137661090617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0.19406017633886816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140.60280768315283</v>
      </c>
      <c r="C12" s="23">
        <f ca="1">C8*C10</f>
        <v>0</v>
      </c>
      <c r="D12" s="23">
        <f>D8*D10</f>
        <v>41.958665936000003</v>
      </c>
      <c r="E12" s="23">
        <f>E8*E10</f>
        <v>2.0725183052473612</v>
      </c>
      <c r="F12" s="23">
        <f>F8*F10</f>
        <v>667.45111393175318</v>
      </c>
      <c r="G12" s="23"/>
      <c r="H12" s="23"/>
      <c r="I12" s="23"/>
      <c r="J12" s="23">
        <f>J8*J10</f>
        <v>38.572327320260783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0.10104937807690084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180.48459404482514</v>
      </c>
      <c r="C26" s="249">
        <f>B26*'GWP N2O_CH4'!B5</f>
        <v>3790.1764749413278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41.271370209237553</v>
      </c>
      <c r="C27" s="249">
        <f>B27*'GWP N2O_CH4'!B5</f>
        <v>866.69877439398863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2.7747620091405931</v>
      </c>
      <c r="C28" s="249">
        <f>B28*'GWP N2O_CH4'!B4</f>
        <v>860.17622283358389</v>
      </c>
      <c r="D28" s="50"/>
    </row>
    <row r="29" spans="1:4">
      <c r="A29" s="41" t="s">
        <v>277</v>
      </c>
      <c r="B29" s="249">
        <f>B34*'ha_N2O bodem landbouw'!B4</f>
        <v>13.753845175461629</v>
      </c>
      <c r="C29" s="249">
        <f>B29*'GWP N2O_CH4'!B4</f>
        <v>4263.692004393105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3.4341977080560122E-3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1.5654307557674711E-5</v>
      </c>
      <c r="C5" s="448" t="s">
        <v>211</v>
      </c>
      <c r="D5" s="433">
        <f>SUM(D6:D11)</f>
        <v>2.7634350409369066E-5</v>
      </c>
      <c r="E5" s="433">
        <f>SUM(E6:E11)</f>
        <v>8.3702279566299934E-4</v>
      </c>
      <c r="F5" s="446" t="s">
        <v>211</v>
      </c>
      <c r="G5" s="433">
        <f>SUM(G6:G11)</f>
        <v>0.218733950799198</v>
      </c>
      <c r="H5" s="433">
        <f>SUM(H6:H11)</f>
        <v>4.1277047570098334E-2</v>
      </c>
      <c r="I5" s="448" t="s">
        <v>211</v>
      </c>
      <c r="J5" s="448" t="s">
        <v>211</v>
      </c>
      <c r="K5" s="448" t="s">
        <v>211</v>
      </c>
      <c r="L5" s="448" t="s">
        <v>211</v>
      </c>
      <c r="M5" s="433">
        <f>SUM(M6:M11)</f>
        <v>1.1634502119604874E-2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1.0716755089401736E-5</v>
      </c>
      <c r="C6" s="949"/>
      <c r="D6" s="949">
        <f>vkm_2011_GW_PW*SUMIFS(TableVerdeelsleutelVkm[CNG],TableVerdeelsleutelVkm[Voertuigtype],"Lichte voertuigen")*SUMIFS(TableECFTransport[EnergieConsumptieFactor (PJ per km)],TableECFTransport[Index],CONCATENATE($A6,"_CNG_CNG"))</f>
        <v>1.5177021196138112E-5</v>
      </c>
      <c r="E6" s="949">
        <f>vkm_2011_GW_PW*SUMIFS(TableVerdeelsleutelVkm[LPG],TableVerdeelsleutelVkm[Voertuigtype],"Lichte voertuigen")*SUMIFS(TableECFTransport[EnergieConsumptieFactor (PJ per km)],TableECFTransport[Index],CONCATENATE($A6,"_LPG_LPG"))</f>
        <v>4.7666027169785866E-4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8.5668902754367185E-2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2.3020013540885381E-2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4.8501811356021132E-3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5.6030154823921506E-2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1.9962729651620373E-5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2.5284077675002932E-3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4.9375524682729749E-6</v>
      </c>
      <c r="C8" s="949"/>
      <c r="D8" s="436">
        <f>vkm_2011_NGW_PW*SUMIFS(TableVerdeelsleutelVkm[CNG],TableVerdeelsleutelVkm[Voertuigtype],"Lichte voertuigen")*SUMIFS(TableECFTransport[EnergieConsumptieFactor (PJ per km)],TableECFTransport[Index],CONCATENATE($A8,"_CNG_CNG"))</f>
        <v>1.2457329213230954E-5</v>
      </c>
      <c r="E8" s="436">
        <f>vkm_2011_NGW_PW*SUMIFS(TableVerdeelsleutelVkm[LPG],TableVerdeelsleutelVkm[Voertuigtype],"Lichte voertuigen")*SUMIFS(TableECFTransport[EnergieConsumptieFactor (PJ per km)],TableECFTransport[Index],CONCATENATE($A8,"_LPG_LPG"))</f>
        <v>3.6036252396514067E-4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6.1084942246259877E-2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1.8231693778041794E-2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3.5361713583743127E-3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1.5949950974649449E-2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5.3775215195442665E-6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7.1974185812815499E-4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4.3484187660207532</v>
      </c>
      <c r="C14" s="21"/>
      <c r="D14" s="21">
        <f t="shared" ref="D14:M14" si="0">((D5)*10^9/3600)+D12</f>
        <v>7.676208447046962</v>
      </c>
      <c r="E14" s="21">
        <f t="shared" si="0"/>
        <v>232.50633212861095</v>
      </c>
      <c r="F14" s="21"/>
      <c r="G14" s="21">
        <f t="shared" si="0"/>
        <v>60759.430777554997</v>
      </c>
      <c r="H14" s="21">
        <f t="shared" si="0"/>
        <v>11465.846547249537</v>
      </c>
      <c r="I14" s="21"/>
      <c r="J14" s="21"/>
      <c r="K14" s="21"/>
      <c r="L14" s="21"/>
      <c r="M14" s="21">
        <f t="shared" si="0"/>
        <v>3231.8061443346874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0.19406017633886816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0.84385491252923084</v>
      </c>
      <c r="C18" s="23"/>
      <c r="D18" s="23">
        <f t="shared" ref="D18:M18" si="1">D14*D16</f>
        <v>1.5505941063034865</v>
      </c>
      <c r="E18" s="23">
        <f t="shared" si="1"/>
        <v>52.778937393194688</v>
      </c>
      <c r="F18" s="23"/>
      <c r="G18" s="23">
        <f t="shared" si="1"/>
        <v>16222.768017607184</v>
      </c>
      <c r="H18" s="23">
        <f t="shared" si="1"/>
        <v>2854.9957902651349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1.3395885171418003E-2</v>
      </c>
      <c r="H50" s="323">
        <f t="shared" si="2"/>
        <v>0</v>
      </c>
      <c r="I50" s="323">
        <f t="shared" si="2"/>
        <v>0</v>
      </c>
      <c r="J50" s="323">
        <f t="shared" si="2"/>
        <v>0</v>
      </c>
      <c r="K50" s="323">
        <f t="shared" si="2"/>
        <v>0</v>
      </c>
      <c r="L50" s="323">
        <f t="shared" si="2"/>
        <v>0</v>
      </c>
      <c r="M50" s="323">
        <f t="shared" si="2"/>
        <v>5.9574777878790232E-4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1.3395885171418003E-2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5.9574777878790232E-4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3721.0792142827781</v>
      </c>
      <c r="H54" s="21">
        <f t="shared" si="3"/>
        <v>0</v>
      </c>
      <c r="I54" s="21">
        <f t="shared" si="3"/>
        <v>0</v>
      </c>
      <c r="J54" s="21">
        <f t="shared" si="3"/>
        <v>0</v>
      </c>
      <c r="K54" s="21">
        <f t="shared" si="3"/>
        <v>0</v>
      </c>
      <c r="L54" s="21">
        <f t="shared" si="3"/>
        <v>0</v>
      </c>
      <c r="M54" s="21">
        <f t="shared" si="3"/>
        <v>165.48549410775064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0.19406017633886816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993.52815021350182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4638.5002455456788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814.5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5453.0002455456788</v>
      </c>
      <c r="C9" s="580">
        <f t="shared" ref="C9:L9" si="0">SUM(C7:C8)</f>
        <v>0</v>
      </c>
      <c r="D9" s="580">
        <f t="shared" si="0"/>
        <v>0</v>
      </c>
      <c r="E9" s="580">
        <f t="shared" si="0"/>
        <v>0</v>
      </c>
      <c r="F9" s="580">
        <f t="shared" si="0"/>
        <v>0</v>
      </c>
      <c r="G9" s="580">
        <f t="shared" si="0"/>
        <v>0</v>
      </c>
      <c r="H9" s="580">
        <f t="shared" si="0"/>
        <v>0</v>
      </c>
      <c r="I9" s="580">
        <f t="shared" si="0"/>
        <v>0</v>
      </c>
      <c r="J9" s="580">
        <f t="shared" si="0"/>
        <v>2327.1428571428573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24066</v>
      </c>
      <c r="C63" s="839">
        <v>3210</v>
      </c>
      <c r="D63" s="660" t="s">
        <v>840</v>
      </c>
      <c r="E63" s="660" t="s">
        <v>841</v>
      </c>
      <c r="F63" s="660" t="s">
        <v>842</v>
      </c>
      <c r="G63" s="660" t="s">
        <v>843</v>
      </c>
      <c r="H63" s="660" t="s">
        <v>844</v>
      </c>
      <c r="I63" s="660" t="s">
        <v>845</v>
      </c>
      <c r="J63" s="838">
        <v>34344</v>
      </c>
      <c r="K63" s="838">
        <v>37803</v>
      </c>
      <c r="L63" s="660" t="s">
        <v>846</v>
      </c>
      <c r="M63" s="660">
        <v>181</v>
      </c>
      <c r="N63" s="660">
        <v>814.5</v>
      </c>
      <c r="O63" s="660">
        <v>0</v>
      </c>
      <c r="P63" s="660">
        <v>0</v>
      </c>
      <c r="Q63" s="660">
        <v>0</v>
      </c>
      <c r="R63" s="660">
        <v>2327.1428571428573</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181</v>
      </c>
      <c r="N88" s="615">
        <f t="shared" ref="N88:W88" si="5">SUM(N63:N87)</f>
        <v>814.5</v>
      </c>
      <c r="O88" s="615">
        <f t="shared" si="5"/>
        <v>0</v>
      </c>
      <c r="P88" s="615">
        <f t="shared" si="5"/>
        <v>0</v>
      </c>
      <c r="Q88" s="615">
        <f t="shared" si="5"/>
        <v>0</v>
      </c>
      <c r="R88" s="615">
        <f t="shared" si="5"/>
        <v>2327.1428571428573</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181</v>
      </c>
      <c r="N90" s="615">
        <f t="shared" ref="N90:W90" si="7">SUMIF($Z$63:$Z$88,"tertiair",N63:N88)</f>
        <v>814.5</v>
      </c>
      <c r="O90" s="615">
        <f t="shared" si="7"/>
        <v>0</v>
      </c>
      <c r="P90" s="615">
        <f t="shared" si="7"/>
        <v>0</v>
      </c>
      <c r="Q90" s="615">
        <f t="shared" si="7"/>
        <v>0</v>
      </c>
      <c r="R90" s="615">
        <f t="shared" si="7"/>
        <v>2327.1428571428573</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14752.806</v>
      </c>
      <c r="D10" s="704">
        <f ca="1">tertiair!C16</f>
        <v>0</v>
      </c>
      <c r="E10" s="704">
        <f ca="1">tertiair!D16</f>
        <v>6722.9135820000001</v>
      </c>
      <c r="F10" s="704">
        <f>tertiair!E16</f>
        <v>128.51128875339785</v>
      </c>
      <c r="G10" s="704">
        <f ca="1">tertiair!F16</f>
        <v>2346.874489775937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38.133333333333333</v>
      </c>
      <c r="R10" s="707">
        <f ca="1">SUM(C10:Q10)</f>
        <v>23993.928693862668</v>
      </c>
      <c r="S10" s="67"/>
    </row>
    <row r="11" spans="1:19" s="459" customFormat="1">
      <c r="A11" s="858" t="s">
        <v>225</v>
      </c>
      <c r="B11" s="863"/>
      <c r="C11" s="704">
        <f>huishoudens!B8</f>
        <v>28009.066378684416</v>
      </c>
      <c r="D11" s="704">
        <f>huishoudens!C8</f>
        <v>0</v>
      </c>
      <c r="E11" s="704">
        <f>huishoudens!D8</f>
        <v>31552.384841999999</v>
      </c>
      <c r="F11" s="704">
        <f>huishoudens!E8</f>
        <v>3462.1409729691272</v>
      </c>
      <c r="G11" s="704">
        <f>huishoudens!F8</f>
        <v>63159.038458177914</v>
      </c>
      <c r="H11" s="704">
        <f>huishoudens!G8</f>
        <v>0</v>
      </c>
      <c r="I11" s="704">
        <f>huishoudens!H8</f>
        <v>0</v>
      </c>
      <c r="J11" s="704">
        <f>huishoudens!I8</f>
        <v>0</v>
      </c>
      <c r="K11" s="704">
        <f>huishoudens!J8</f>
        <v>0</v>
      </c>
      <c r="L11" s="704">
        <f>huishoudens!K8</f>
        <v>0</v>
      </c>
      <c r="M11" s="704">
        <f>huishoudens!L8</f>
        <v>0</v>
      </c>
      <c r="N11" s="704">
        <f>huishoudens!M8</f>
        <v>0</v>
      </c>
      <c r="O11" s="704">
        <f>huishoudens!N8</f>
        <v>8343.8453976393303</v>
      </c>
      <c r="P11" s="704">
        <f>huishoudens!O8</f>
        <v>245.44333333333333</v>
      </c>
      <c r="Q11" s="705">
        <f>huishoudens!P8</f>
        <v>838.93333333333339</v>
      </c>
      <c r="R11" s="707">
        <f>SUM(C11:Q11)</f>
        <v>135610.85271613742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1242.7639999999999</v>
      </c>
      <c r="D13" s="704">
        <f>industrie!C18</f>
        <v>0</v>
      </c>
      <c r="E13" s="704">
        <f>industrie!D18</f>
        <v>583.77891</v>
      </c>
      <c r="F13" s="704">
        <f>industrie!E18</f>
        <v>172.58435394411356</v>
      </c>
      <c r="G13" s="704">
        <f>industrie!F18</f>
        <v>877.23016879601596</v>
      </c>
      <c r="H13" s="704">
        <f>industrie!G18</f>
        <v>0</v>
      </c>
      <c r="I13" s="704">
        <f>industrie!H18</f>
        <v>0</v>
      </c>
      <c r="J13" s="704">
        <f>industrie!I18</f>
        <v>0</v>
      </c>
      <c r="K13" s="704">
        <f>industrie!J18</f>
        <v>2.2725718706980342</v>
      </c>
      <c r="L13" s="704">
        <f>industrie!K18</f>
        <v>0</v>
      </c>
      <c r="M13" s="704">
        <f>industrie!L18</f>
        <v>0</v>
      </c>
      <c r="N13" s="704">
        <f>industrie!M18</f>
        <v>0</v>
      </c>
      <c r="O13" s="704">
        <f>industrie!N18</f>
        <v>253.21561123186899</v>
      </c>
      <c r="P13" s="704">
        <f>industrie!O18</f>
        <v>0</v>
      </c>
      <c r="Q13" s="705">
        <f>industrie!P18</f>
        <v>0</v>
      </c>
      <c r="R13" s="707">
        <f>SUM(C13:Q13)</f>
        <v>3131.8456158426961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44004.636378684423</v>
      </c>
      <c r="D15" s="709">
        <f t="shared" ref="D15:Q15" ca="1" si="0">SUM(D9:D14)</f>
        <v>0</v>
      </c>
      <c r="E15" s="709">
        <f t="shared" ca="1" si="0"/>
        <v>38859.077334000001</v>
      </c>
      <c r="F15" s="709">
        <f t="shared" si="0"/>
        <v>3763.2366156666385</v>
      </c>
      <c r="G15" s="709">
        <f t="shared" ca="1" si="0"/>
        <v>66383.143116749867</v>
      </c>
      <c r="H15" s="709">
        <f t="shared" si="0"/>
        <v>0</v>
      </c>
      <c r="I15" s="709">
        <f t="shared" si="0"/>
        <v>0</v>
      </c>
      <c r="J15" s="709">
        <f t="shared" si="0"/>
        <v>0</v>
      </c>
      <c r="K15" s="709">
        <f t="shared" si="0"/>
        <v>2.2725718706980342</v>
      </c>
      <c r="L15" s="709">
        <f t="shared" si="0"/>
        <v>0</v>
      </c>
      <c r="M15" s="709">
        <f t="shared" ca="1" si="0"/>
        <v>0</v>
      </c>
      <c r="N15" s="709">
        <f t="shared" si="0"/>
        <v>0</v>
      </c>
      <c r="O15" s="709">
        <f t="shared" ca="1" si="0"/>
        <v>8597.0610088712001</v>
      </c>
      <c r="P15" s="709">
        <f t="shared" si="0"/>
        <v>250.13333333333333</v>
      </c>
      <c r="Q15" s="710">
        <f t="shared" si="0"/>
        <v>877.06666666666672</v>
      </c>
      <c r="R15" s="711">
        <f ca="1">SUM(R9:R14)</f>
        <v>162736.62702584278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3721.0792142827781</v>
      </c>
      <c r="I18" s="704">
        <f>transport!H54</f>
        <v>0</v>
      </c>
      <c r="J18" s="704">
        <f>transport!I54</f>
        <v>0</v>
      </c>
      <c r="K18" s="704">
        <f>transport!J54</f>
        <v>0</v>
      </c>
      <c r="L18" s="704">
        <f>transport!K54</f>
        <v>0</v>
      </c>
      <c r="M18" s="704">
        <f>transport!L54</f>
        <v>0</v>
      </c>
      <c r="N18" s="704">
        <f>transport!M54</f>
        <v>165.48549410775064</v>
      </c>
      <c r="O18" s="704">
        <f>transport!N54</f>
        <v>0</v>
      </c>
      <c r="P18" s="704">
        <f>transport!O54</f>
        <v>0</v>
      </c>
      <c r="Q18" s="705">
        <f>transport!P54</f>
        <v>0</v>
      </c>
      <c r="R18" s="707">
        <f>SUM(C18:Q18)</f>
        <v>3886.5647083905287</v>
      </c>
      <c r="S18" s="67"/>
    </row>
    <row r="19" spans="1:19" s="459" customFormat="1" ht="15" thickBot="1">
      <c r="A19" s="858" t="s">
        <v>307</v>
      </c>
      <c r="B19" s="863"/>
      <c r="C19" s="713">
        <f>transport!B14</f>
        <v>4.3484187660207532</v>
      </c>
      <c r="D19" s="713">
        <f>transport!C14</f>
        <v>0</v>
      </c>
      <c r="E19" s="713">
        <f>transport!D14</f>
        <v>7.676208447046962</v>
      </c>
      <c r="F19" s="713">
        <f>transport!E14</f>
        <v>232.50633212861095</v>
      </c>
      <c r="G19" s="713">
        <f>transport!F14</f>
        <v>0</v>
      </c>
      <c r="H19" s="713">
        <f>transport!G14</f>
        <v>60759.430777554997</v>
      </c>
      <c r="I19" s="713">
        <f>transport!H14</f>
        <v>11465.846547249537</v>
      </c>
      <c r="J19" s="713">
        <f>transport!I14</f>
        <v>0</v>
      </c>
      <c r="K19" s="713">
        <f>transport!J14</f>
        <v>0</v>
      </c>
      <c r="L19" s="713">
        <f>transport!K14</f>
        <v>0</v>
      </c>
      <c r="M19" s="713">
        <f>transport!L14</f>
        <v>0</v>
      </c>
      <c r="N19" s="713">
        <f>transport!M14</f>
        <v>3231.8061443346874</v>
      </c>
      <c r="O19" s="713">
        <f>transport!N14</f>
        <v>0</v>
      </c>
      <c r="P19" s="713">
        <f>transport!O14</f>
        <v>0</v>
      </c>
      <c r="Q19" s="714">
        <f>transport!P14</f>
        <v>0</v>
      </c>
      <c r="R19" s="715">
        <f>SUM(C19:Q19)</f>
        <v>75701.614428480898</v>
      </c>
      <c r="S19" s="67"/>
    </row>
    <row r="20" spans="1:19" s="459" customFormat="1" ht="15.75" thickBot="1">
      <c r="A20" s="716" t="s">
        <v>230</v>
      </c>
      <c r="B20" s="866"/>
      <c r="C20" s="861">
        <f>SUM(C17:C19)</f>
        <v>4.3484187660207532</v>
      </c>
      <c r="D20" s="717">
        <f t="shared" ref="D20:R20" si="1">SUM(D17:D19)</f>
        <v>0</v>
      </c>
      <c r="E20" s="717">
        <f t="shared" si="1"/>
        <v>7.676208447046962</v>
      </c>
      <c r="F20" s="717">
        <f t="shared" si="1"/>
        <v>232.50633212861095</v>
      </c>
      <c r="G20" s="717">
        <f t="shared" si="1"/>
        <v>0</v>
      </c>
      <c r="H20" s="717">
        <f t="shared" si="1"/>
        <v>64480.509991837775</v>
      </c>
      <c r="I20" s="717">
        <f t="shared" si="1"/>
        <v>11465.846547249537</v>
      </c>
      <c r="J20" s="717">
        <f t="shared" si="1"/>
        <v>0</v>
      </c>
      <c r="K20" s="717">
        <f t="shared" si="1"/>
        <v>0</v>
      </c>
      <c r="L20" s="717">
        <f t="shared" si="1"/>
        <v>0</v>
      </c>
      <c r="M20" s="717">
        <f t="shared" si="1"/>
        <v>0</v>
      </c>
      <c r="N20" s="717">
        <f t="shared" si="1"/>
        <v>3397.2916384424379</v>
      </c>
      <c r="O20" s="717">
        <f t="shared" si="1"/>
        <v>0</v>
      </c>
      <c r="P20" s="717">
        <f t="shared" si="1"/>
        <v>0</v>
      </c>
      <c r="Q20" s="718">
        <f t="shared" si="1"/>
        <v>0</v>
      </c>
      <c r="R20" s="719">
        <f t="shared" si="1"/>
        <v>79588.179136871433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724.53200000000004</v>
      </c>
      <c r="D22" s="713">
        <f>+landbouw!C8</f>
        <v>0</v>
      </c>
      <c r="E22" s="713">
        <f>+landbouw!D8</f>
        <v>207.71616800000001</v>
      </c>
      <c r="F22" s="713">
        <f>+landbouw!E8</f>
        <v>9.1300365869927802</v>
      </c>
      <c r="G22" s="713">
        <f>+landbouw!F8</f>
        <v>2499.8169061114349</v>
      </c>
      <c r="H22" s="713">
        <f>+landbouw!G8</f>
        <v>0</v>
      </c>
      <c r="I22" s="713">
        <f>+landbouw!H8</f>
        <v>0</v>
      </c>
      <c r="J22" s="713">
        <f>+landbouw!I8</f>
        <v>0</v>
      </c>
      <c r="K22" s="713">
        <f>+landbouw!J8</f>
        <v>108.96137661090617</v>
      </c>
      <c r="L22" s="713">
        <f>+landbouw!K8</f>
        <v>0</v>
      </c>
      <c r="M22" s="713">
        <f>+landbouw!L8</f>
        <v>0</v>
      </c>
      <c r="N22" s="713">
        <f>+landbouw!M8</f>
        <v>0</v>
      </c>
      <c r="O22" s="713">
        <f>+landbouw!N8</f>
        <v>0</v>
      </c>
      <c r="P22" s="713">
        <f>+landbouw!O8</f>
        <v>0</v>
      </c>
      <c r="Q22" s="714">
        <f>+landbouw!P8</f>
        <v>0</v>
      </c>
      <c r="R22" s="715">
        <f>SUM(C22:Q22)</f>
        <v>3550.1564873093339</v>
      </c>
      <c r="S22" s="67"/>
    </row>
    <row r="23" spans="1:19" s="459" customFormat="1" ht="17.25" thickTop="1" thickBot="1">
      <c r="A23" s="720" t="s">
        <v>116</v>
      </c>
      <c r="B23" s="852"/>
      <c r="C23" s="721">
        <f ca="1">C20+C15+C22</f>
        <v>44733.516797450444</v>
      </c>
      <c r="D23" s="721">
        <f t="shared" ref="D23:Q23" ca="1" si="2">D20+D15+D22</f>
        <v>0</v>
      </c>
      <c r="E23" s="721">
        <f t="shared" ca="1" si="2"/>
        <v>39074.469710447047</v>
      </c>
      <c r="F23" s="721">
        <f t="shared" si="2"/>
        <v>4004.8729843822425</v>
      </c>
      <c r="G23" s="721">
        <f t="shared" ca="1" si="2"/>
        <v>68882.960022861298</v>
      </c>
      <c r="H23" s="721">
        <f t="shared" si="2"/>
        <v>64480.509991837775</v>
      </c>
      <c r="I23" s="721">
        <f t="shared" si="2"/>
        <v>11465.846547249537</v>
      </c>
      <c r="J23" s="721">
        <f t="shared" si="2"/>
        <v>0</v>
      </c>
      <c r="K23" s="721">
        <f t="shared" si="2"/>
        <v>111.2339484816042</v>
      </c>
      <c r="L23" s="721">
        <f t="shared" si="2"/>
        <v>0</v>
      </c>
      <c r="M23" s="721">
        <f t="shared" ca="1" si="2"/>
        <v>0</v>
      </c>
      <c r="N23" s="721">
        <f t="shared" si="2"/>
        <v>3397.2916384424379</v>
      </c>
      <c r="O23" s="721">
        <f t="shared" ca="1" si="2"/>
        <v>8597.0610088712001</v>
      </c>
      <c r="P23" s="721">
        <f t="shared" si="2"/>
        <v>250.13333333333333</v>
      </c>
      <c r="Q23" s="722">
        <f t="shared" si="2"/>
        <v>877.06666666666672</v>
      </c>
      <c r="R23" s="723">
        <f ca="1">R20+R15+R22</f>
        <v>245874.96265002355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2862.9321338531126</v>
      </c>
      <c r="D36" s="704">
        <f ca="1">tertiair!C20</f>
        <v>0</v>
      </c>
      <c r="E36" s="704">
        <f ca="1">tertiair!D20</f>
        <v>1358.0285435640001</v>
      </c>
      <c r="F36" s="704">
        <f>tertiair!E20</f>
        <v>29.172062547021312</v>
      </c>
      <c r="G36" s="704">
        <f ca="1">tertiair!F20</f>
        <v>626.61548877017526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4876.7482287343091</v>
      </c>
    </row>
    <row r="37" spans="1:18">
      <c r="A37" s="873" t="s">
        <v>225</v>
      </c>
      <c r="B37" s="880"/>
      <c r="C37" s="704">
        <f ca="1">huishoudens!B12</f>
        <v>5435.4443605345614</v>
      </c>
      <c r="D37" s="704">
        <f ca="1">huishoudens!C12</f>
        <v>0</v>
      </c>
      <c r="E37" s="704">
        <f>huishoudens!D12</f>
        <v>6373.5817380839999</v>
      </c>
      <c r="F37" s="704">
        <f>huishoudens!E12</f>
        <v>785.90600086399195</v>
      </c>
      <c r="G37" s="704">
        <f>huishoudens!F12</f>
        <v>16863.463268333504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29458.395367816054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241.17100098759713</v>
      </c>
      <c r="D39" s="704">
        <f ca="1">industrie!C22</f>
        <v>0</v>
      </c>
      <c r="E39" s="704">
        <f>industrie!D22</f>
        <v>117.92333982000001</v>
      </c>
      <c r="F39" s="704">
        <f>industrie!E22</f>
        <v>39.176648345313779</v>
      </c>
      <c r="G39" s="704">
        <f>industrie!F22</f>
        <v>234.22045506853627</v>
      </c>
      <c r="H39" s="704">
        <f>industrie!G22</f>
        <v>0</v>
      </c>
      <c r="I39" s="704">
        <f>industrie!H22</f>
        <v>0</v>
      </c>
      <c r="J39" s="704">
        <f>industrie!I22</f>
        <v>0</v>
      </c>
      <c r="K39" s="704">
        <f>industrie!J22</f>
        <v>0.80449044222710409</v>
      </c>
      <c r="L39" s="704">
        <f>industrie!K22</f>
        <v>0</v>
      </c>
      <c r="M39" s="704">
        <f>industrie!L22</f>
        <v>0</v>
      </c>
      <c r="N39" s="704">
        <f>industrie!M22</f>
        <v>0</v>
      </c>
      <c r="O39" s="704">
        <f>industrie!N22</f>
        <v>0</v>
      </c>
      <c r="P39" s="704">
        <f>industrie!O22</f>
        <v>0</v>
      </c>
      <c r="Q39" s="814">
        <f>industrie!P22</f>
        <v>0</v>
      </c>
      <c r="R39" s="906">
        <f ca="1">SUM(C39:Q39)</f>
        <v>633.2959346636743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8539.547495375271</v>
      </c>
      <c r="D41" s="749">
        <f t="shared" ref="D41:R41" ca="1" si="4">SUM(D35:D40)</f>
        <v>0</v>
      </c>
      <c r="E41" s="749">
        <f t="shared" ca="1" si="4"/>
        <v>7849.5336214680001</v>
      </c>
      <c r="F41" s="749">
        <f t="shared" si="4"/>
        <v>854.25471175632708</v>
      </c>
      <c r="G41" s="749">
        <f t="shared" ca="1" si="4"/>
        <v>17724.299212172213</v>
      </c>
      <c r="H41" s="749">
        <f t="shared" si="4"/>
        <v>0</v>
      </c>
      <c r="I41" s="749">
        <f t="shared" si="4"/>
        <v>0</v>
      </c>
      <c r="J41" s="749">
        <f t="shared" si="4"/>
        <v>0</v>
      </c>
      <c r="K41" s="749">
        <f t="shared" si="4"/>
        <v>0.80449044222710409</v>
      </c>
      <c r="L41" s="749">
        <f t="shared" si="4"/>
        <v>0</v>
      </c>
      <c r="M41" s="749">
        <f t="shared" ca="1" si="4"/>
        <v>0</v>
      </c>
      <c r="N41" s="749">
        <f t="shared" si="4"/>
        <v>0</v>
      </c>
      <c r="O41" s="749">
        <f t="shared" ca="1" si="4"/>
        <v>0</v>
      </c>
      <c r="P41" s="749">
        <f t="shared" si="4"/>
        <v>0</v>
      </c>
      <c r="Q41" s="750">
        <f t="shared" si="4"/>
        <v>0</v>
      </c>
      <c r="R41" s="751">
        <f t="shared" ca="1" si="4"/>
        <v>34968.439531214033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993.52815021350182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993.52815021350182</v>
      </c>
    </row>
    <row r="45" spans="1:18" ht="15" thickBot="1">
      <c r="A45" s="876" t="s">
        <v>307</v>
      </c>
      <c r="B45" s="886"/>
      <c r="C45" s="713">
        <f ca="1">transport!B18</f>
        <v>0.84385491252923084</v>
      </c>
      <c r="D45" s="713">
        <f>transport!C18</f>
        <v>0</v>
      </c>
      <c r="E45" s="713">
        <f>transport!D18</f>
        <v>1.5505941063034865</v>
      </c>
      <c r="F45" s="713">
        <f>transport!E18</f>
        <v>52.778937393194688</v>
      </c>
      <c r="G45" s="713">
        <f>transport!F18</f>
        <v>0</v>
      </c>
      <c r="H45" s="713">
        <f>transport!G18</f>
        <v>16222.768017607184</v>
      </c>
      <c r="I45" s="713">
        <f>transport!H18</f>
        <v>2854.9957902651349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19132.937194284346</v>
      </c>
    </row>
    <row r="46" spans="1:18" ht="15.75" thickBot="1">
      <c r="A46" s="874" t="s">
        <v>230</v>
      </c>
      <c r="B46" s="887"/>
      <c r="C46" s="749">
        <f t="shared" ref="C46:R46" ca="1" si="5">SUM(C43:C45)</f>
        <v>0.84385491252923084</v>
      </c>
      <c r="D46" s="749">
        <f t="shared" ca="1" si="5"/>
        <v>0</v>
      </c>
      <c r="E46" s="749">
        <f t="shared" si="5"/>
        <v>1.5505941063034865</v>
      </c>
      <c r="F46" s="749">
        <f t="shared" si="5"/>
        <v>52.778937393194688</v>
      </c>
      <c r="G46" s="749">
        <f t="shared" si="5"/>
        <v>0</v>
      </c>
      <c r="H46" s="749">
        <f t="shared" si="5"/>
        <v>17216.296167820685</v>
      </c>
      <c r="I46" s="749">
        <f t="shared" si="5"/>
        <v>2854.9957902651349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20126.465344497847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140.60280768315283</v>
      </c>
      <c r="D48" s="704">
        <f ca="1">+landbouw!C12</f>
        <v>0</v>
      </c>
      <c r="E48" s="704">
        <f>+landbouw!D12</f>
        <v>41.958665936000003</v>
      </c>
      <c r="F48" s="704">
        <f>+landbouw!E12</f>
        <v>2.0725183052473612</v>
      </c>
      <c r="G48" s="704">
        <f>+landbouw!F12</f>
        <v>667.45111393175318</v>
      </c>
      <c r="H48" s="704">
        <f>+landbouw!G12</f>
        <v>0</v>
      </c>
      <c r="I48" s="704">
        <f>+landbouw!H12</f>
        <v>0</v>
      </c>
      <c r="J48" s="704">
        <f>+landbouw!I12</f>
        <v>0</v>
      </c>
      <c r="K48" s="704">
        <f>+landbouw!J12</f>
        <v>38.572327320260783</v>
      </c>
      <c r="L48" s="704">
        <f>+landbouw!K12</f>
        <v>0</v>
      </c>
      <c r="M48" s="704">
        <f>+landbouw!L12</f>
        <v>0</v>
      </c>
      <c r="N48" s="704">
        <f>+landbouw!M12</f>
        <v>0</v>
      </c>
      <c r="O48" s="704">
        <f>+landbouw!N12</f>
        <v>0</v>
      </c>
      <c r="P48" s="704">
        <f>+landbouw!O12</f>
        <v>0</v>
      </c>
      <c r="Q48" s="705">
        <f>+landbouw!P12</f>
        <v>0</v>
      </c>
      <c r="R48" s="747">
        <f ca="1">SUM(C48:Q48)</f>
        <v>890.6574331764142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8680.9941579709539</v>
      </c>
      <c r="D53" s="759">
        <f t="shared" ref="D53:Q53" ca="1" si="6">D41+D46+D48</f>
        <v>0</v>
      </c>
      <c r="E53" s="759">
        <f t="shared" ca="1" si="6"/>
        <v>7893.0428815103041</v>
      </c>
      <c r="F53" s="759">
        <f t="shared" si="6"/>
        <v>909.10616745476921</v>
      </c>
      <c r="G53" s="759">
        <f t="shared" ca="1" si="6"/>
        <v>18391.750326103967</v>
      </c>
      <c r="H53" s="759">
        <f t="shared" si="6"/>
        <v>17216.296167820685</v>
      </c>
      <c r="I53" s="759">
        <f t="shared" si="6"/>
        <v>2854.9957902651349</v>
      </c>
      <c r="J53" s="759">
        <f t="shared" si="6"/>
        <v>0</v>
      </c>
      <c r="K53" s="759">
        <f t="shared" si="6"/>
        <v>39.376817762487889</v>
      </c>
      <c r="L53" s="759">
        <f t="shared" si="6"/>
        <v>0</v>
      </c>
      <c r="M53" s="759">
        <f t="shared" ca="1" si="6"/>
        <v>0</v>
      </c>
      <c r="N53" s="759">
        <f t="shared" si="6"/>
        <v>0</v>
      </c>
      <c r="O53" s="759">
        <f t="shared" ca="1" si="6"/>
        <v>0</v>
      </c>
      <c r="P53" s="759">
        <f>P41+P46+P48</f>
        <v>0</v>
      </c>
      <c r="Q53" s="760">
        <f t="shared" si="6"/>
        <v>0</v>
      </c>
      <c r="R53" s="761">
        <f ca="1">R41+R46+R48</f>
        <v>55985.562308888293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0.19406017633886816</v>
      </c>
      <c r="D55" s="824">
        <f t="shared" ca="1" si="7"/>
        <v>0</v>
      </c>
      <c r="E55" s="824">
        <f t="shared" ca="1" si="7"/>
        <v>0.20200000000000001</v>
      </c>
      <c r="F55" s="824">
        <f t="shared" si="7"/>
        <v>0.22700000000000004</v>
      </c>
      <c r="G55" s="824">
        <f t="shared" ca="1" si="7"/>
        <v>0.26700000000000002</v>
      </c>
      <c r="H55" s="824">
        <f t="shared" si="7"/>
        <v>0.26699999999999996</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4638.5002455456788</v>
      </c>
      <c r="C66" s="781">
        <f>'lokale energieproductie'!B6</f>
        <v>4638.5002455456788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814.5</v>
      </c>
      <c r="C68" s="780">
        <f>B68*IFERROR(SUM(J68:L68)/SUM(D68:M68),0)</f>
        <v>814.5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2327.1428571428573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5453.0002455456788</v>
      </c>
      <c r="C69" s="789">
        <f>SUM(C64:C68)</f>
        <v>5453.0002455456788</v>
      </c>
      <c r="D69" s="790">
        <f t="shared" ref="D69:M69" si="8">SUM(D67:D68)</f>
        <v>0</v>
      </c>
      <c r="E69" s="790">
        <f t="shared" si="8"/>
        <v>0</v>
      </c>
      <c r="F69" s="790">
        <f t="shared" si="8"/>
        <v>0</v>
      </c>
      <c r="G69" s="790">
        <f t="shared" si="8"/>
        <v>0</v>
      </c>
      <c r="H69" s="790">
        <f t="shared" si="8"/>
        <v>0</v>
      </c>
      <c r="I69" s="790">
        <f t="shared" si="8"/>
        <v>0</v>
      </c>
      <c r="J69" s="790">
        <f t="shared" si="8"/>
        <v>0</v>
      </c>
      <c r="K69" s="790">
        <f t="shared" si="8"/>
        <v>2327.1428571428573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28009.066378684416</v>
      </c>
      <c r="C4" s="463">
        <f>huishoudens!C8</f>
        <v>0</v>
      </c>
      <c r="D4" s="463">
        <f>huishoudens!D8</f>
        <v>31552.384841999999</v>
      </c>
      <c r="E4" s="463">
        <f>huishoudens!E8</f>
        <v>3462.1409729691272</v>
      </c>
      <c r="F4" s="463">
        <f>huishoudens!F8</f>
        <v>63159.038458177914</v>
      </c>
      <c r="G4" s="463">
        <f>huishoudens!G8</f>
        <v>0</v>
      </c>
      <c r="H4" s="463">
        <f>huishoudens!H8</f>
        <v>0</v>
      </c>
      <c r="I4" s="463">
        <f>huishoudens!I8</f>
        <v>0</v>
      </c>
      <c r="J4" s="463">
        <f>huishoudens!J8</f>
        <v>0</v>
      </c>
      <c r="K4" s="463">
        <f>huishoudens!K8</f>
        <v>0</v>
      </c>
      <c r="L4" s="463">
        <f>huishoudens!L8</f>
        <v>0</v>
      </c>
      <c r="M4" s="463">
        <f>huishoudens!M8</f>
        <v>0</v>
      </c>
      <c r="N4" s="463">
        <f>huishoudens!N8</f>
        <v>8343.8453976393303</v>
      </c>
      <c r="O4" s="463">
        <f>huishoudens!O8</f>
        <v>245.44333333333333</v>
      </c>
      <c r="P4" s="464">
        <f>huishoudens!P8</f>
        <v>838.93333333333339</v>
      </c>
      <c r="Q4" s="465">
        <f>SUM(B4:P4)</f>
        <v>135610.85271613742</v>
      </c>
    </row>
    <row r="5" spans="1:17">
      <c r="A5" s="462" t="s">
        <v>156</v>
      </c>
      <c r="B5" s="463">
        <f ca="1">tertiair!B16</f>
        <v>13873.996000000001</v>
      </c>
      <c r="C5" s="463">
        <f ca="1">tertiair!C16</f>
        <v>0</v>
      </c>
      <c r="D5" s="463">
        <f ca="1">tertiair!D16</f>
        <v>6722.9135820000001</v>
      </c>
      <c r="E5" s="463">
        <f>tertiair!E16</f>
        <v>128.51128875339785</v>
      </c>
      <c r="F5" s="463">
        <f ca="1">tertiair!F16</f>
        <v>2346.874489775937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38.133333333333333</v>
      </c>
      <c r="Q5" s="462">
        <f t="shared" ref="Q5:Q13" ca="1" si="0">SUM(B5:P5)</f>
        <v>23115.118693862671</v>
      </c>
    </row>
    <row r="6" spans="1:17">
      <c r="A6" s="462" t="s">
        <v>194</v>
      </c>
      <c r="B6" s="463">
        <f>'openbare verlichting'!B8</f>
        <v>878.81</v>
      </c>
      <c r="C6" s="463"/>
      <c r="D6" s="463"/>
      <c r="E6" s="463"/>
      <c r="F6" s="463"/>
      <c r="G6" s="463"/>
      <c r="H6" s="463"/>
      <c r="I6" s="463"/>
      <c r="J6" s="463"/>
      <c r="K6" s="463"/>
      <c r="L6" s="463"/>
      <c r="M6" s="463"/>
      <c r="N6" s="463"/>
      <c r="O6" s="463"/>
      <c r="P6" s="464"/>
      <c r="Q6" s="462">
        <f t="shared" si="0"/>
        <v>878.81</v>
      </c>
    </row>
    <row r="7" spans="1:17">
      <c r="A7" s="462" t="s">
        <v>112</v>
      </c>
      <c r="B7" s="463">
        <f>landbouw!B8</f>
        <v>724.53200000000004</v>
      </c>
      <c r="C7" s="463">
        <f>landbouw!C8</f>
        <v>0</v>
      </c>
      <c r="D7" s="463">
        <f>landbouw!D8</f>
        <v>207.71616800000001</v>
      </c>
      <c r="E7" s="463">
        <f>landbouw!E8</f>
        <v>9.1300365869927802</v>
      </c>
      <c r="F7" s="463">
        <f>landbouw!F8</f>
        <v>2499.8169061114349</v>
      </c>
      <c r="G7" s="463">
        <f>landbouw!G8</f>
        <v>0</v>
      </c>
      <c r="H7" s="463">
        <f>landbouw!H8</f>
        <v>0</v>
      </c>
      <c r="I7" s="463">
        <f>landbouw!I8</f>
        <v>0</v>
      </c>
      <c r="J7" s="463">
        <f>landbouw!J8</f>
        <v>108.96137661090617</v>
      </c>
      <c r="K7" s="463">
        <f>landbouw!K8</f>
        <v>0</v>
      </c>
      <c r="L7" s="463">
        <f>landbouw!L8</f>
        <v>0</v>
      </c>
      <c r="M7" s="463">
        <f>landbouw!M8</f>
        <v>0</v>
      </c>
      <c r="N7" s="463">
        <f>landbouw!N8</f>
        <v>0</v>
      </c>
      <c r="O7" s="463">
        <f>landbouw!O8</f>
        <v>0</v>
      </c>
      <c r="P7" s="464">
        <f>landbouw!P8</f>
        <v>0</v>
      </c>
      <c r="Q7" s="462">
        <f t="shared" si="0"/>
        <v>3550.1564873093339</v>
      </c>
    </row>
    <row r="8" spans="1:17">
      <c r="A8" s="462" t="s">
        <v>657</v>
      </c>
      <c r="B8" s="463">
        <f>industrie!B18</f>
        <v>1242.7639999999999</v>
      </c>
      <c r="C8" s="463">
        <f>industrie!C18</f>
        <v>0</v>
      </c>
      <c r="D8" s="463">
        <f>industrie!D18</f>
        <v>583.77891</v>
      </c>
      <c r="E8" s="463">
        <f>industrie!E18</f>
        <v>172.58435394411356</v>
      </c>
      <c r="F8" s="463">
        <f>industrie!F18</f>
        <v>877.23016879601596</v>
      </c>
      <c r="G8" s="463">
        <f>industrie!G18</f>
        <v>0</v>
      </c>
      <c r="H8" s="463">
        <f>industrie!H18</f>
        <v>0</v>
      </c>
      <c r="I8" s="463">
        <f>industrie!I18</f>
        <v>0</v>
      </c>
      <c r="J8" s="463">
        <f>industrie!J18</f>
        <v>2.2725718706980342</v>
      </c>
      <c r="K8" s="463">
        <f>industrie!K18</f>
        <v>0</v>
      </c>
      <c r="L8" s="463">
        <f>industrie!L18</f>
        <v>0</v>
      </c>
      <c r="M8" s="463">
        <f>industrie!M18</f>
        <v>0</v>
      </c>
      <c r="N8" s="463">
        <f>industrie!N18</f>
        <v>253.21561123186899</v>
      </c>
      <c r="O8" s="463">
        <f>industrie!O18</f>
        <v>0</v>
      </c>
      <c r="P8" s="464">
        <f>industrie!P18</f>
        <v>0</v>
      </c>
      <c r="Q8" s="462">
        <f t="shared" si="0"/>
        <v>3131.8456158426961</v>
      </c>
    </row>
    <row r="9" spans="1:17" s="468" customFormat="1">
      <c r="A9" s="466" t="s">
        <v>574</v>
      </c>
      <c r="B9" s="467">
        <f>transport!B14</f>
        <v>4.3484187660207532</v>
      </c>
      <c r="C9" s="467">
        <f>transport!C14</f>
        <v>0</v>
      </c>
      <c r="D9" s="467">
        <f>transport!D14</f>
        <v>7.676208447046962</v>
      </c>
      <c r="E9" s="467">
        <f>transport!E14</f>
        <v>232.50633212861095</v>
      </c>
      <c r="F9" s="467">
        <f>transport!F14</f>
        <v>0</v>
      </c>
      <c r="G9" s="467">
        <f>transport!G14</f>
        <v>60759.430777554997</v>
      </c>
      <c r="H9" s="467">
        <f>transport!H14</f>
        <v>11465.846547249537</v>
      </c>
      <c r="I9" s="467">
        <f>transport!I14</f>
        <v>0</v>
      </c>
      <c r="J9" s="467">
        <f>transport!J14</f>
        <v>0</v>
      </c>
      <c r="K9" s="467">
        <f>transport!K14</f>
        <v>0</v>
      </c>
      <c r="L9" s="467">
        <f>transport!L14</f>
        <v>0</v>
      </c>
      <c r="M9" s="467">
        <f>transport!M14</f>
        <v>3231.8061443346874</v>
      </c>
      <c r="N9" s="467">
        <f>transport!N14</f>
        <v>0</v>
      </c>
      <c r="O9" s="467">
        <f>transport!O14</f>
        <v>0</v>
      </c>
      <c r="P9" s="467">
        <f>transport!P14</f>
        <v>0</v>
      </c>
      <c r="Q9" s="466">
        <f>SUM(B9:P9)</f>
        <v>75701.614428480898</v>
      </c>
    </row>
    <row r="10" spans="1:17">
      <c r="A10" s="462" t="s">
        <v>564</v>
      </c>
      <c r="B10" s="463">
        <f>transport!B54</f>
        <v>0</v>
      </c>
      <c r="C10" s="463">
        <f>transport!C54</f>
        <v>0</v>
      </c>
      <c r="D10" s="463">
        <f>transport!D54</f>
        <v>0</v>
      </c>
      <c r="E10" s="463">
        <f>transport!E54</f>
        <v>0</v>
      </c>
      <c r="F10" s="463">
        <f>transport!F54</f>
        <v>0</v>
      </c>
      <c r="G10" s="463">
        <f>transport!G54</f>
        <v>3721.0792142827781</v>
      </c>
      <c r="H10" s="463">
        <f>transport!H54</f>
        <v>0</v>
      </c>
      <c r="I10" s="463">
        <f>transport!I54</f>
        <v>0</v>
      </c>
      <c r="J10" s="463">
        <f>transport!J54</f>
        <v>0</v>
      </c>
      <c r="K10" s="463">
        <f>transport!K54</f>
        <v>0</v>
      </c>
      <c r="L10" s="463">
        <f>transport!L54</f>
        <v>0</v>
      </c>
      <c r="M10" s="463">
        <f>transport!M54</f>
        <v>165.48549410775064</v>
      </c>
      <c r="N10" s="463">
        <f>transport!N54</f>
        <v>0</v>
      </c>
      <c r="O10" s="463">
        <f>transport!O54</f>
        <v>0</v>
      </c>
      <c r="P10" s="464">
        <f>transport!P54</f>
        <v>0</v>
      </c>
      <c r="Q10" s="462">
        <f t="shared" si="0"/>
        <v>3886.5647083905287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44733.516797450437</v>
      </c>
      <c r="C14" s="473">
        <f t="shared" ref="C14:Q14" ca="1" si="1">SUM(C4:C13)</f>
        <v>0</v>
      </c>
      <c r="D14" s="473">
        <f t="shared" ca="1" si="1"/>
        <v>39074.469710447047</v>
      </c>
      <c r="E14" s="473">
        <f t="shared" si="1"/>
        <v>4004.8729843822425</v>
      </c>
      <c r="F14" s="473">
        <f t="shared" ca="1" si="1"/>
        <v>68882.960022861298</v>
      </c>
      <c r="G14" s="473">
        <f t="shared" si="1"/>
        <v>64480.509991837775</v>
      </c>
      <c r="H14" s="473">
        <f t="shared" si="1"/>
        <v>11465.846547249537</v>
      </c>
      <c r="I14" s="473">
        <f t="shared" si="1"/>
        <v>0</v>
      </c>
      <c r="J14" s="473">
        <f t="shared" si="1"/>
        <v>111.2339484816042</v>
      </c>
      <c r="K14" s="473">
        <f t="shared" si="1"/>
        <v>0</v>
      </c>
      <c r="L14" s="473">
        <f t="shared" ca="1" si="1"/>
        <v>0</v>
      </c>
      <c r="M14" s="473">
        <f t="shared" si="1"/>
        <v>3397.2916384424379</v>
      </c>
      <c r="N14" s="473">
        <f t="shared" ca="1" si="1"/>
        <v>8597.0610088712001</v>
      </c>
      <c r="O14" s="473">
        <f t="shared" si="1"/>
        <v>250.13333333333333</v>
      </c>
      <c r="P14" s="474">
        <f t="shared" si="1"/>
        <v>877.06666666666672</v>
      </c>
      <c r="Q14" s="474">
        <f t="shared" ca="1" si="1"/>
        <v>245874.96265002355</v>
      </c>
    </row>
    <row r="16" spans="1:17">
      <c r="A16" s="476" t="s">
        <v>569</v>
      </c>
      <c r="B16" s="829">
        <f ca="1">huishoudens!B10</f>
        <v>0.19406017633886816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5435.4443605345614</v>
      </c>
      <c r="C21" s="463">
        <f t="shared" ref="C21:C30" ca="1" si="3">C4*$C$16</f>
        <v>0</v>
      </c>
      <c r="D21" s="463">
        <f t="shared" ref="D21:D30" si="4">D4*$D$16</f>
        <v>6373.5817380839999</v>
      </c>
      <c r="E21" s="463">
        <f t="shared" ref="E21:E30" si="5">E4*$E$16</f>
        <v>785.90600086399195</v>
      </c>
      <c r="F21" s="463">
        <f t="shared" ref="F21:F30" si="6">F4*$F$16</f>
        <v>16863.463268333504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29458.395367816054</v>
      </c>
    </row>
    <row r="22" spans="1:17">
      <c r="A22" s="462" t="s">
        <v>156</v>
      </c>
      <c r="B22" s="463">
        <f t="shared" ca="1" si="2"/>
        <v>2692.3901102847517</v>
      </c>
      <c r="C22" s="463">
        <f t="shared" ca="1" si="3"/>
        <v>0</v>
      </c>
      <c r="D22" s="463">
        <f t="shared" ca="1" si="4"/>
        <v>1358.0285435640001</v>
      </c>
      <c r="E22" s="463">
        <f t="shared" si="5"/>
        <v>29.172062547021312</v>
      </c>
      <c r="F22" s="463">
        <f t="shared" ca="1" si="6"/>
        <v>626.61548877017526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4706.2062051659486</v>
      </c>
    </row>
    <row r="23" spans="1:17">
      <c r="A23" s="462" t="s">
        <v>194</v>
      </c>
      <c r="B23" s="463">
        <f t="shared" ca="1" si="2"/>
        <v>170.54202356836072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170.54202356836072</v>
      </c>
    </row>
    <row r="24" spans="1:17">
      <c r="A24" s="462" t="s">
        <v>112</v>
      </c>
      <c r="B24" s="463">
        <f t="shared" ca="1" si="2"/>
        <v>140.60280768315283</v>
      </c>
      <c r="C24" s="463">
        <f t="shared" ca="1" si="3"/>
        <v>0</v>
      </c>
      <c r="D24" s="463">
        <f t="shared" si="4"/>
        <v>41.958665936000003</v>
      </c>
      <c r="E24" s="463">
        <f t="shared" si="5"/>
        <v>2.0725183052473612</v>
      </c>
      <c r="F24" s="463">
        <f t="shared" si="6"/>
        <v>667.45111393175318</v>
      </c>
      <c r="G24" s="463">
        <f t="shared" si="7"/>
        <v>0</v>
      </c>
      <c r="H24" s="463">
        <f t="shared" si="8"/>
        <v>0</v>
      </c>
      <c r="I24" s="463">
        <f t="shared" si="9"/>
        <v>0</v>
      </c>
      <c r="J24" s="463">
        <f t="shared" si="10"/>
        <v>38.572327320260783</v>
      </c>
      <c r="K24" s="463">
        <f t="shared" si="11"/>
        <v>0</v>
      </c>
      <c r="L24" s="463">
        <f t="shared" si="12"/>
        <v>0</v>
      </c>
      <c r="M24" s="463">
        <f t="shared" si="13"/>
        <v>0</v>
      </c>
      <c r="N24" s="463">
        <f t="shared" si="14"/>
        <v>0</v>
      </c>
      <c r="O24" s="463">
        <f t="shared" si="15"/>
        <v>0</v>
      </c>
      <c r="P24" s="464">
        <f t="shared" si="16"/>
        <v>0</v>
      </c>
      <c r="Q24" s="462">
        <f t="shared" ca="1" si="17"/>
        <v>890.6574331764142</v>
      </c>
    </row>
    <row r="25" spans="1:17">
      <c r="A25" s="462" t="s">
        <v>657</v>
      </c>
      <c r="B25" s="463">
        <f t="shared" ca="1" si="2"/>
        <v>241.17100098759713</v>
      </c>
      <c r="C25" s="463">
        <f t="shared" ca="1" si="3"/>
        <v>0</v>
      </c>
      <c r="D25" s="463">
        <f t="shared" si="4"/>
        <v>117.92333982000001</v>
      </c>
      <c r="E25" s="463">
        <f t="shared" si="5"/>
        <v>39.176648345313779</v>
      </c>
      <c r="F25" s="463">
        <f t="shared" si="6"/>
        <v>234.22045506853627</v>
      </c>
      <c r="G25" s="463">
        <f t="shared" si="7"/>
        <v>0</v>
      </c>
      <c r="H25" s="463">
        <f t="shared" si="8"/>
        <v>0</v>
      </c>
      <c r="I25" s="463">
        <f t="shared" si="9"/>
        <v>0</v>
      </c>
      <c r="J25" s="463">
        <f t="shared" si="10"/>
        <v>0.80449044222710409</v>
      </c>
      <c r="K25" s="463">
        <f t="shared" si="11"/>
        <v>0</v>
      </c>
      <c r="L25" s="463">
        <f t="shared" si="12"/>
        <v>0</v>
      </c>
      <c r="M25" s="463">
        <f t="shared" si="13"/>
        <v>0</v>
      </c>
      <c r="N25" s="463">
        <f t="shared" si="14"/>
        <v>0</v>
      </c>
      <c r="O25" s="463">
        <f t="shared" si="15"/>
        <v>0</v>
      </c>
      <c r="P25" s="464">
        <f t="shared" si="16"/>
        <v>0</v>
      </c>
      <c r="Q25" s="462">
        <f t="shared" ca="1" si="17"/>
        <v>633.2959346636743</v>
      </c>
    </row>
    <row r="26" spans="1:17" s="468" customFormat="1">
      <c r="A26" s="466" t="s">
        <v>574</v>
      </c>
      <c r="B26" s="823">
        <f t="shared" ca="1" si="2"/>
        <v>0.84385491252923084</v>
      </c>
      <c r="C26" s="467">
        <f t="shared" ca="1" si="3"/>
        <v>0</v>
      </c>
      <c r="D26" s="467">
        <f t="shared" si="4"/>
        <v>1.5505941063034865</v>
      </c>
      <c r="E26" s="467">
        <f t="shared" si="5"/>
        <v>52.778937393194688</v>
      </c>
      <c r="F26" s="467">
        <f t="shared" si="6"/>
        <v>0</v>
      </c>
      <c r="G26" s="467">
        <f t="shared" si="7"/>
        <v>16222.768017607184</v>
      </c>
      <c r="H26" s="467">
        <f t="shared" si="8"/>
        <v>2854.9957902651349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19132.937194284346</v>
      </c>
    </row>
    <row r="27" spans="1:17">
      <c r="A27" s="462" t="s">
        <v>564</v>
      </c>
      <c r="B27" s="463">
        <f t="shared" ca="1" si="2"/>
        <v>0</v>
      </c>
      <c r="C27" s="463">
        <f t="shared" ca="1" si="3"/>
        <v>0</v>
      </c>
      <c r="D27" s="463">
        <f t="shared" si="4"/>
        <v>0</v>
      </c>
      <c r="E27" s="463">
        <f t="shared" si="5"/>
        <v>0</v>
      </c>
      <c r="F27" s="463">
        <f t="shared" si="6"/>
        <v>0</v>
      </c>
      <c r="G27" s="463">
        <f t="shared" si="7"/>
        <v>993.52815021350182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993.52815021350182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8680.9941579709539</v>
      </c>
      <c r="C31" s="473">
        <f t="shared" ca="1" si="18"/>
        <v>0</v>
      </c>
      <c r="D31" s="473">
        <f t="shared" ca="1" si="18"/>
        <v>7893.0428815103041</v>
      </c>
      <c r="E31" s="473">
        <f t="shared" si="18"/>
        <v>909.10616745476921</v>
      </c>
      <c r="F31" s="473">
        <f t="shared" ca="1" si="18"/>
        <v>18391.750326103967</v>
      </c>
      <c r="G31" s="473">
        <f t="shared" si="18"/>
        <v>17216.296167820685</v>
      </c>
      <c r="H31" s="473">
        <f t="shared" si="18"/>
        <v>2854.9957902651349</v>
      </c>
      <c r="I31" s="473">
        <f t="shared" si="18"/>
        <v>0</v>
      </c>
      <c r="J31" s="473">
        <f t="shared" si="18"/>
        <v>39.376817762487889</v>
      </c>
      <c r="K31" s="473">
        <f t="shared" si="18"/>
        <v>0</v>
      </c>
      <c r="L31" s="473">
        <f t="shared" ca="1" si="18"/>
        <v>0</v>
      </c>
      <c r="M31" s="473">
        <f t="shared" si="18"/>
        <v>0</v>
      </c>
      <c r="N31" s="473">
        <f t="shared" ca="1" si="18"/>
        <v>0</v>
      </c>
      <c r="O31" s="473">
        <f t="shared" si="18"/>
        <v>0</v>
      </c>
      <c r="P31" s="474">
        <f t="shared" si="18"/>
        <v>0</v>
      </c>
      <c r="Q31" s="474">
        <f t="shared" ca="1" si="18"/>
        <v>55985.5623088883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0.19406017633886816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0.19406017633886816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0.19406017633886816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2018-06-27T09:30:25Z</dcterms:modified>
</cp:coreProperties>
</file>