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F13" i="15"/>
  <c r="D6" i="17"/>
  <c r="J15" i="16"/>
  <c r="F16"/>
  <c r="B8" i="9"/>
  <c r="C16" i="15"/>
  <c r="D10" i="14" s="1"/>
  <c r="I14" i="15"/>
  <c r="I16" s="1"/>
  <c r="J10" i="14" s="1"/>
  <c r="J15" s="1"/>
  <c r="B13" i="16"/>
  <c r="C35"/>
  <c r="E9" i="14"/>
  <c r="D14" i="15"/>
  <c r="P22" i="16"/>
  <c r="Q39" i="14" s="1"/>
  <c r="P18" i="16"/>
  <c r="L16"/>
  <c r="L18" s="1"/>
  <c r="N6" i="17"/>
  <c r="N5" s="1"/>
  <c r="K22" i="14"/>
  <c r="J8" i="17"/>
  <c r="J12" s="1"/>
  <c r="K48"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E22"/>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D31"/>
  <c r="J5"/>
  <c r="J22" s="1"/>
  <c r="J20" i="15"/>
  <c r="K36" i="14" s="1"/>
  <c r="N46"/>
  <c r="N53" s="1"/>
  <c r="M16" i="18"/>
  <c r="M1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F8" i="48"/>
  <c r="Q4"/>
  <c r="N22"/>
  <c r="R11" i="14"/>
  <c r="J21" i="48"/>
  <c r="R10" i="14"/>
  <c r="Q5" i="48" l="1"/>
  <c r="O13" i="14"/>
  <c r="O15" s="1"/>
  <c r="F13"/>
  <c r="F15" s="1"/>
  <c r="F23" s="1"/>
  <c r="F55" s="1"/>
  <c r="K13"/>
  <c r="K15" s="1"/>
  <c r="K23" s="1"/>
  <c r="N22" i="16"/>
  <c r="O39" i="14" s="1"/>
  <c r="O41" s="1"/>
  <c r="O53" s="1"/>
  <c r="E22" i="16"/>
  <c r="F39" i="14" s="1"/>
  <c r="F41" s="1"/>
  <c r="F53"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3" i="48"/>
  <c r="C24"/>
  <c r="C27"/>
  <c r="C28"/>
  <c r="C22"/>
  <c r="C25"/>
  <c r="C29"/>
  <c r="C21"/>
  <c r="C26"/>
  <c r="K55" i="14"/>
  <c r="F25" i="48"/>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<sst xmlns="http://schemas.openxmlformats.org/spreadsheetml/2006/main" count="1961" uniqueCount="840">
  <si>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</si>
  <si>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</si>
  <si>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</si>
  <si>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</si>
  <si>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</si>
  <si>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</si>
  <si>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</si>
  <si>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</si>
  <si>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</si>
  <si>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</si>
  <si>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</si>
  <si>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</si>
  <si>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</si>
  <si>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</si>
  <si>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</si>
  <si>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</si>
  <si>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</si>
  <si>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</si>
  <si>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</si>
  <si>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</si>
  <si>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</si>
  <si>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</si>
  <si>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</si>
  <si>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</si>
  <si>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</si>
  <si>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</si>
  <si>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</si>
  <si>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</si>
  <si>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</si>
  <si>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</si>
  <si>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</si>
  <si>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</si>
  <si>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</si>
  <si>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</si>
  <si>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</si>
  <si>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</si>
  <si>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</si>
  <si>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</si>
  <si>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</si>
  <si>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</si>
  <si>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</si>
  <si>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</si>
  <si>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</si>
  <si>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</si>
  <si>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</si>
  <si>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</si>
  <si>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</si>
  <si>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</si>
  <si>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</si>
  <si>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</si>
  <si>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</si>
  <si>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</si>
  <si>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</si>
  <si>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</si>
  <si>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</si>
  <si>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</si>
  <si>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</si>
  <si>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</si>
  <si>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</si>
  <si>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</si>
  <si>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</si>
  <si>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</si>
  <si>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</si>
  <si>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</si>
  <si>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</si>
  <si>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</si>
  <si>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</si>
  <si>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</si>
  <si>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</si>
  <si>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</si>
  <si>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</si>
  <si>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</si>
  <si>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</si>
  <si>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</si>
  <si>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</si>
  <si>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</si>
  <si>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</si>
  <si>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</si>
  <si>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</si>
  <si>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</si>
  <si>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</si>
  <si>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</si>
  <si>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</si>
  <si>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</si>
  <si>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</si>
  <si>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</si>
  <si>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</si>
  <si>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</si>
  <si>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</si>
  <si>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</si>
  <si>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</si>
  <si>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</si>
  <si>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</si>
  <si>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</si>
  <si>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</si>
  <si>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</si>
  <si>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</si>
  <si>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</si>
  <si>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</si>
  <si>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</si>
  <si>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</si>
  <si>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</si>
  <si>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</si>
  <si>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</si>
  <si>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</si>
  <si>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</si>
  <si>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</si>
  <si>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</si>
  <si>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</si>
  <si>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</si>
  <si>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</si>
  <si>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</si>
  <si>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</si>
  <si>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</si>
  <si>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</si>
  <si>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</si>
  <si>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</si>
  <si>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</si>
  <si>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</si>
  <si>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</si>
  <si>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</si>
  <si>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</si>
  <si>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</si>
  <si>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</si>
  <si>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</si>
  <si>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</si>
  <si>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</si>
  <si>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</si>
  <si>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</si>
  <si>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</si>
  <si>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</si>
  <si>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</si>
  <si>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</si>
  <si>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</si>
  <si>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</si>
  <si>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</si>
  <si>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</si>
  <si>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</si>
  <si>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</si>
  <si>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</si>
  <si>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</si>
  <si>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</si>
  <si>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</si>
  <si>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</si>
  <si>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</si>
  <si>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</si>
  <si>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</si>
  <si>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</si>
  <si>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</si>
  <si>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</si>
  <si>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</si>
  <si>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</si>
  <si>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</si>
  <si>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</si>
  <si>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</si>
  <si>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</si>
  <si>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</si>
  <si>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</si>
  <si>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</si>
  <si>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</si>
  <si>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</si>
  <si>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</si>
  <si>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</si>
  <si>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</si>
  <si>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</si>
  <si>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</si>
  <si>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</si>
  <si>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</si>
  <si>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</si>
  <si>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</si>
  <si>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</si>
  <si>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</si>
  <si>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</si>
  <si>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</si>
  <si>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</si>
  <si>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</si>
  <si>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</si>
  <si>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</si>
  <si>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</si>
  <si>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</si>
  <si>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</si>
  <si>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</si>
  <si>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</si>
  <si>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</si>
  <si>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</si>
  <si>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</si>
  <si>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</si>
  <si>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</si>
  <si>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</si>
  <si>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</si>
  <si>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</si>
  <si>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</si>
  <si>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</si>
  <si>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</si>
  <si>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</si>
  <si>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</si>
  <si>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</si>
  <si>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</si>
  <si>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</si>
  <si>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</si>
  <si>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</si>
  <si>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</si>
  <si>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</si>
  <si>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</si>
  <si>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</si>
  <si>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</si>
  <si>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</si>
  <si>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</si>
  <si>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</si>
  <si>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</si>
  <si>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</si>
  <si>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</si>
  <si>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</si>
  <si>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</si>
  <si>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</si>
  <si>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</si>
  <si>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</si>
  <si>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</si>
  <si>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</si>
  <si>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</si>
  <si>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</si>
  <si>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</si>
  <si>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</si>
  <si>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</si>
  <si>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</si>
  <si>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</si>
  <si>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</si>
  <si>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</si>
  <si>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</si>
  <si>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</si>
  <si>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</si>
  <si>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</si>
  <si>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</si>
  <si>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</si>
  <si>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</si>
  <si>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</si>
  <si>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</si>
  <si>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</si>
  <si>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</si>
  <si>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</si>
  <si>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</si>
  <si>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</si>
  <si>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</si>
  <si>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</si>
  <si>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</si>
  <si>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</si>
  <si>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</si>
  <si>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</si>
  <si>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</si>
  <si>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</si>
  <si>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</si>
  <si>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</si>
  <si>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</si>
  <si>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</si>
  <si>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</si>
  <si>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</si>
  <si>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</si>
  <si>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</si>
  <si>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</si>
  <si>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</si>
  <si>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</si>
  <si>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</si>
  <si>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</si>
  <si>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</si>
  <si>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</si>
  <si>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</si>
  <si>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</si>
  <si>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</si>
  <si>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</si>
  <si>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</si>
  <si>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</si>
  <si>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</si>
  <si>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</si>
  <si>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</si>
  <si>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</si>
  <si>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</si>
  <si>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</si>
  <si>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</si>
  <si>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</si>
  <si>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</si>
  <si>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</si>
  <si>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</si>
  <si>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</si>
  <si>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</si>
  <si>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</si>
  <si>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</si>
  <si>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</si>
  <si>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</si>
  <si>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</si>
  <si>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</si>
  <si>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</si>
  <si>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</si>
  <si>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</si>
  <si>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</si>
  <si>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</si>
  <si>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</si>
  <si>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</si>
  <si>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</si>
  <si>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</si>
  <si>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</si>
  <si>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</si>
  <si>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</si>
  <si>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</si>
  <si>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</si>
  <si>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</si>
  <si>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</si>
  <si>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</si>
  <si>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</si>
  <si>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</si>
  <si>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</si>
  <si>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</si>
  <si>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</si>
  <si>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</si>
  <si>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</si>
  <si>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</si>
  <si>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</si>
  <si>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</si>
  <si>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</si>
  <si>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</si>
  <si>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</si>
  <si>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</si>
  <si>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</si>
  <si>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</si>
  <si>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</si>
  <si>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</si>
  <si>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</si>
  <si>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</si>
  <si>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</si>
  <si>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</si>
  <si>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</si>
  <si>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</si>
  <si>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</si>
  <si>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</si>
  <si>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</si>
  <si>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</si>
  <si>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</si>
  <si>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</si>
  <si>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</si>
  <si>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</si>
  <si>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</si>
  <si>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</si>
  <si>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</si>
  <si>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</si>
  <si>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</si>
  <si>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</si>
  <si>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</si>
  <si>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</si>
  <si>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</si>
  <si>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</si>
  <si>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</si>
  <si>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</si>
  <si>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</si>
  <si>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</si>
  <si>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</si>
  <si>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</si>
  <si>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</si>
  <si>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</si>
  <si>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</si>
  <si>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</si>
  <si>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</si>
  <si>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</si>
  <si>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</si>
  <si>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</si>
  <si>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</si>
  <si>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</si>
  <si>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</si>
  <si>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</si>
  <si>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</si>
  <si>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</si>
  <si>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</si>
  <si>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</si>
  <si>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</si>
  <si>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</si>
  <si>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</si>
  <si>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</si>
  <si>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</si>
  <si>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</si>
  <si>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</si>
  <si>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</si>
  <si>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</si>
  <si>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</si>
  <si>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</si>
  <si>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</si>
  <si>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</si>
  <si>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</si>
  <si>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</si>
  <si>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</si>
  <si>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</si>
  <si>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</si>
  <si>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</si>
  <si>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</si>
  <si>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</si>
  <si>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</si>
  <si>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</si>
  <si>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</si>
  <si>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</si>
  <si>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</si>
  <si>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</si>
  <si>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</si>
  <si>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</si>
  <si>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</si>
  <si>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</si>
  <si>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</si>
  <si>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</si>
  <si>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</si>
  <si>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</si>
  <si>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</si>
  <si>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</si>
  <si>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</si>
  <si>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</si>
  <si>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</si>
  <si>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</si>
  <si>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</si>
  <si>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</si>
  <si>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</si>
  <si>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</si>
  <si>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</si>
  <si>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</si>
  <si>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</si>
  <si>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</si>
  <si>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</si>
  <si>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</si>
  <si>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</si>
  <si>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</si>
  <si>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</si>
  <si>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</si>
  <si>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</si>
  <si>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</si>
  <si>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</si>
  <si>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</si>
  <si>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</si>
  <si>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</si>
  <si>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</si>
  <si>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</si>
  <si>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</si>
  <si>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</si>
  <si>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</si>
  <si>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</si>
  <si>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</si>
  <si>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</si>
  <si>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</si>
  <si>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</si>
  <si>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</si>
  <si>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</si>
  <si>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</si>
  <si>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</si>
  <si>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</si>
  <si>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</si>
  <si>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</si>
  <si>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</si>
  <si>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</si>
  <si>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</si>
  <si>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</si>
  <si>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</si>
  <si>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</si>
  <si>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</si>
  <si>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</si>
  <si>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</si>
  <si>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</si>
  <si>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</si>
  <si>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</si>
  <si>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</si>
  <si>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</si>
  <si>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</si>
  <si>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</si>
  <si>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</si>
  <si>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</si>
  <si>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</si>
  <si>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</si>
  <si>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</si>
  <si>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</si>
  <si>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</si>
  <si>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</si>
  <si>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</si>
  <si>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</si>
  <si>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</si>
  <si>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</si>
  <si>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</si>
  <si>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</si>
  <si>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</si>
  <si>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</si>
  <si>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</si>
  <si>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</si>
  <si>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</si>
  <si>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</si>
  <si>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</si>
  <si>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</si>
  <si>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</si>
  <si>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</si>
  <si>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</si>
  <si>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</si>
  <si>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</si>
  <si>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</si>
  <si>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</si>
  <si>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</si>
  <si>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</si>
  <si>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</si>
  <si>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</si>
  <si>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</si>
  <si>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</si>
  <si>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</si>
  <si>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</si>
  <si>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</si>
  <si>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</si>
  <si>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</si>
  <si>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</si>
  <si>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</si>
  <si>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</si>
  <si>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</si>
  <si>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</si>
  <si>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</si>
  <si>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</si>
  <si>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</si>
  <si>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</si>
  <si>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</si>
  <si>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</si>
  <si>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</si>
  <si>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</si>
  <si>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</si>
  <si>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</si>
  <si>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</si>
  <si>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</si>
  <si>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</si>
  <si>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</si>
  <si>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</si>
  <si>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</si>
  <si>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</si>
  <si>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</si>
  <si>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</si>
  <si>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</si>
  <si>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</si>
  <si>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</si>
  <si>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</si>
  <si>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</si>
  <si>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</si>
  <si>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</si>
  <si>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</si>
  <si>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</si>
  <si>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</si>
  <si>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</si>
  <si>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</si>
  <si>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</si>
  <si>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</si>
  <si>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</si>
  <si>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</si>
  <si>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</si>
  <si>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</si>
  <si>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</si>
  <si>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</si>
  <si>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</si>
  <si>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</si>
  <si>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</si>
  <si>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</si>
  <si>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</si>
  <si>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</si>
  <si>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</si>
  <si>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</si>
  <si>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</si>
  <si>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</si>
  <si>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</si>
  <si>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</si>
  <si>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</si>
  <si>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</si>
  <si>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</si>
  <si>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</si>
  <si>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</si>
  <si>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</si>
  <si>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</si>
  <si>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</si>
  <si>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</si>
  <si>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</si>
  <si>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</si>
  <si>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</si>
  <si>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</si>
  <si>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</si>
  <si>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</si>
  <si>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</si>
  <si>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</si>
  <si>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</si>
  <si>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</si>
  <si>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</si>
  <si>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</si>
  <si>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</si>
  <si>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</si>
  <si>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</si>
  <si>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</si>
  <si>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</si>
  <si>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</si>
  <si>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</si>
  <si>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</si>
  <si>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</si>
  <si>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</si>
  <si>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</si>
  <si>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</si>
  <si>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</si>
  <si>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</si>
  <si>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</si>
  <si>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</si>
  <si>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</si>
  <si>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</si>
  <si>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</si>
  <si>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</si>
  <si>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</si>
  <si>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</si>
  <si>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</si>
  <si>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</si>
  <si>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</si>
  <si>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</si>
  <si>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</si>
  <si>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</si>
  <si>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</si>
  <si>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</si>
  <si>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</si>
  <si>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</si>
  <si>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</si>
  <si>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</si>
  <si>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</si>
  <si>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</si>
  <si>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</si>
  <si>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</si>
  <si>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</si>
  <si>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</si>
  <si>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</si>
  <si>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</si>
  <si>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</si>
  <si>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</si>
  <si>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</si>
  <si>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</si>
  <si>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</si>
  <si>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</si>
  <si>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</si>
  <si>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</si>
  <si>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</si>
  <si>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</si>
  <si>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</si>
  <si>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</si>
  <si>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</si>
  <si>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</si>
  <si>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</si>
  <si>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</si>
  <si>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</si>
  <si>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</si>
  <si>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</si>
  <si>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</si>
  <si>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</si>
  <si>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</si>
  <si>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</si>
  <si>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</si>
  <si>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</si>
  <si>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</si>
  <si>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</si>
  <si>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</si>
  <si>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</si>
  <si>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</si>
  <si>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</si>
  <si>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</si>
  <si>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</si>
  <si>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</si>
  <si>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</si>
  <si>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</si>
  <si>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</si>
  <si>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</si>
  <si>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</si>
  <si>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</si>
  <si>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</si>
  <si>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</si>
  <si>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</si>
  <si>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</si>
  <si>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</si>
  <si>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</si>
  <si>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</si>
  <si>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</si>
  <si>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</si>
  <si>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</si>
  <si>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</si>
  <si>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</si>
  <si>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</si>
  <si>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</si>
  <si>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</si>
  <si>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</si>
  <si>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</si>
  <si>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</si>
  <si>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</si>
  <si>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</si>
  <si>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</si>
  <si>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</si>
  <si>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</si>
  <si>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</si>
  <si>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</si>
  <si>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</si>
  <si>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</si>
  <si>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</si>
  <si>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</si>
  <si>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</si>
  <si>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</si>
  <si>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</si>
  <si>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</si>
  <si>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</si>
  <si>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</si>
  <si>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</si>
  <si>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</si>
  <si>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</si>
  <si>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</si>
  <si>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</si>
  <si>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</si>
  <si>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</si>
  <si>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</si>
  <si>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</si>
  <si>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</si>
  <si>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</si>
  <si>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</si>
  <si>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</si>
  <si>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</si>
  <si>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</si>
  <si>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</si>
  <si>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</si>
  <si>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</si>
  <si>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</si>
  <si>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</si>
  <si>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</si>
  <si>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</si>
  <si>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</si>
  <si>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</si>
  <si>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</si>
  <si>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</si>
  <si>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</si>
  <si>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</si>
  <si>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</si>
  <si>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</si>
  <si>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</si>
  <si>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</si>
  <si>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</si>
  <si>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</si>
  <si>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</si>
  <si>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</si>
  <si>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</si>
  <si>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</si>
  <si>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</si>
  <si>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</si>
  <si>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</si>
  <si>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</si>
  <si>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</si>
  <si>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</si>
  <si>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</si>
  <si>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</si>
  <si>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</si>
  <si>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</si>
  <si>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</si>
  <si>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</si>
  <si>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</si>
  <si>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</si>
  <si>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</si>
  <si>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</si>
  <si>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</si>
  <si>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</si>
  <si>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</si>
  <si>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</si>
  <si>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</si>
  <si>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</si>
  <si>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</si>
  <si>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</si>
  <si>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</si>
  <si>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</si>
  <si>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</si>
  <si>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</si>
  <si>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</si>
  <si>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</si>
  <si>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</si>
  <si>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</si>
  <si>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</si>
  <si>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</si>
  <si>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</si>
  <si>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</si>
  <si>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</si>
  <si>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</si>
  <si>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</si>
  <si>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</si>
  <si>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</si>
  <si>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</si>
  <si>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</si>
  <si>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</si>
  <si>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</si>
  <si>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</si>
  <si>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</si>
  <si>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</si>
  <si>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</si>
  <si>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</si>
  <si>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</si>
  <si>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</si>
  <si>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</si>
  <si>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</si>
  <si>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</si>
  <si>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</si>
  <si>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</si>
  <si>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</si>
  <si>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</si>
  <si>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</si>
  <si>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</si>
  <si>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</si>
  <si>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</si>
  <si>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</si>
  <si>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</si>
  <si>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</si>
  <si>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</si>
  <si>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</si>
  <si>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</si>
  <si>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</si>
  <si>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</si>
  <si>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</si>
  <si>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</si>
  <si>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</si>
  <si>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</si>
  <si>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</si>
  <si>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</si>
  <si>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</si>
  <si>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</si>
  <si>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</si>
  <si>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</si>
  <si>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</si>
  <si>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</si>
  <si>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</si>
  <si>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</si>
  <si>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</si>
  <si>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</si>
  <si>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</si>
  <si>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</si>
  <si>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</si>
  <si>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</si>
  <si>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</si>
  <si>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</si>
  <si>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</si>
  <si>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</si>
  <si>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</si>
  <si>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24033</t>
  </si>
  <si>
    <t>HAACHT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</si>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</sst>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136260.88055632397</c:v>
                </c:pt>
                <c:pt idx="1">
                  <c:v>25336.552012136712</c:v>
                </c:pt>
                <c:pt idx="2">
                  <c:v>1164.96</c:v>
                </c:pt>
                <c:pt idx="3">
                  <c:v>4737.6469993033652</c:v>
                </c:pt>
                <c:pt idx="4">
                  <c:v>13990.308015746326</c:v>
                </c:pt>
                <c:pt idx="5">
                  <c:v>58743.222141116399</c:v>
                </c:pt>
                <c:pt idx="6">
                  <c:v>1815.5651992777534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1264"/>
        <c:axId val="182412800"/>
      </c:barChart>
      <c:catAx>
        <c:axId val="182411264"/>
        <c:scaling>
          <c:orientation val="minMax"/>
        </c:scaling>
        <c:axPos val="b"/>
        <c:numFmt formatCode="General" sourceLinked="0"/>
        <c:tickLblPos val="nextTo"/>
        <c:crossAx val="182412800"/>
        <c:crosses val="autoZero"/>
        <c:auto val="1"/>
        <c:lblAlgn val="ctr"/>
        <c:lblOffset val="100"/>
      </c:catAx>
      <c:valAx>
        <c:axId val="182412800"/>
        <c:scaling>
          <c:orientation val="minMax"/>
        </c:scaling>
        <c:axPos val="l"/>
        <c:majorGridlines/>
        <c:numFmt formatCode="#,##0" sourceLinked="1"/>
        <c:tickLblPos val="nextTo"/>
        <c:crossAx val="182411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136260.88055632397</c:v>
                </c:pt>
                <c:pt idx="1">
                  <c:v>25336.552012136712</c:v>
                </c:pt>
                <c:pt idx="2">
                  <c:v>1164.96</c:v>
                </c:pt>
                <c:pt idx="3">
                  <c:v>4737.6469993033652</c:v>
                </c:pt>
                <c:pt idx="4">
                  <c:v>13990.308015746326</c:v>
                </c:pt>
                <c:pt idx="5">
                  <c:v>58743.222141116399</c:v>
                </c:pt>
                <c:pt idx="6">
                  <c:v>1815.5651992777534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29505.695351557715</c:v>
                </c:pt>
                <c:pt idx="1">
                  <c:v>5109.9061726015079</c:v>
                </c:pt>
                <c:pt idx="2">
                  <c:v>239.37944393415668</c:v>
                </c:pt>
                <c:pt idx="3">
                  <c:v>1082.6430133099632</c:v>
                </c:pt>
                <c:pt idx="4">
                  <c:v>2686.9233450117481</c:v>
                </c:pt>
                <c:pt idx="5">
                  <c:v>14838.182279905235</c:v>
                </c:pt>
                <c:pt idx="6">
                  <c:v>464.11555431876877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29505.695351557715</c:v>
                </c:pt>
                <c:pt idx="1">
                  <c:v>5109.9061726015079</c:v>
                </c:pt>
                <c:pt idx="2">
                  <c:v>239.37944393415668</c:v>
                </c:pt>
                <c:pt idx="3">
                  <c:v>1082.6430133099632</c:v>
                </c:pt>
                <c:pt idx="4">
                  <c:v>2686.9233450117481</c:v>
                </c:pt>
                <c:pt idx="5">
                  <c:v>14838.182279905235</c:v>
                </c:pt>
                <c:pt idx="6">
                  <c:v>464.11555431876877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24033</v>
      </c>
      <c r="B6" s="398"/>
      <c r="C6" s="399"/>
    </row>
    <row r="7" spans="1:7" s="396" customFormat="1" ht="15.75" customHeight="1">
      <c r="A7" s="400" t="str">
        <f>txtMunicipality</f>
        <v>HAACHT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14174.449966777622</v>
      </c>
      <c r="D10" s="704">
        <f ca="1">tertiair!C16</f>
        <v>0</v>
      </c>
      <c r="E10" s="704">
        <f ca="1">tertiair!D16</f>
        <v>8429.0426052656057</v>
      </c>
      <c r="F10" s="704">
        <f>tertiair!E16</f>
        <v>160.38548371508065</v>
      </c>
      <c r="G10" s="704">
        <f ca="1">tertiair!F16</f>
        <v>2612.7467760576706</v>
      </c>
      <c r="H10" s="704">
        <f>tertiair!G16</f>
        <v>0</v>
      </c>
      <c r="I10" s="704">
        <f>tertiair!H16</f>
        <v>0</v>
      </c>
      <c r="J10" s="704">
        <f>tertiair!I16</f>
        <v>0</v>
      </c>
      <c r="K10" s="704">
        <f>tertiair!J16</f>
        <v>0</v>
      </c>
      <c r="L10" s="704">
        <f>tertiair!K16</f>
        <v>0</v>
      </c>
      <c r="M10" s="704">
        <f ca="1">tertiair!L16</f>
        <v>0</v>
      </c>
      <c r="N10" s="704">
        <f>tertiair!M16</f>
        <v>0</v>
      </c>
      <c r="O10" s="704">
        <f ca="1">tertiair!N16</f>
        <v>1047.0571803207354</v>
      </c>
      <c r="P10" s="704">
        <f>tertiair!O16</f>
        <v>1.5633333333333335</v>
      </c>
      <c r="Q10" s="705">
        <f>tertiair!P16</f>
        <v>76.266666666666666</v>
      </c>
      <c r="R10" s="707">
        <f ca="1">SUM(C10:Q10)</f>
        <v>26501.512012136711</v>
      </c>
      <c r="S10" s="67"/>
    </row>
    <row r="11" spans="1:19" s="459" customFormat="1">
      <c r="A11" s="858" t="s">
        <v>225</v>
      </c>
      <c r="B11" s="863"/>
      <c r="C11" s="704">
        <f>huishoudens!B8</f>
        <v>28728.808679876431</v>
      </c>
      <c r="D11" s="704">
        <f>huishoudens!C8</f>
        <v>0</v>
      </c>
      <c r="E11" s="704">
        <f>huishoudens!D8</f>
        <v>35827.183988810175</v>
      </c>
      <c r="F11" s="704">
        <f>huishoudens!E8</f>
        <v>5830.2092350239573</v>
      </c>
      <c r="G11" s="704">
        <f>huishoudens!F8</f>
        <v>55770.212323141852</v>
      </c>
      <c r="H11" s="704">
        <f>huishoudens!G8</f>
        <v>0</v>
      </c>
      <c r="I11" s="704">
        <f>huishoudens!H8</f>
        <v>0</v>
      </c>
      <c r="J11" s="704">
        <f>huishoudens!I8</f>
        <v>0</v>
      </c>
      <c r="K11" s="704">
        <f>huishoudens!J8</f>
        <v>427.17228276436708</v>
      </c>
      <c r="L11" s="704">
        <f>huishoudens!K8</f>
        <v>0</v>
      </c>
      <c r="M11" s="704">
        <f>huishoudens!L8</f>
        <v>0</v>
      </c>
      <c r="N11" s="704">
        <f>huishoudens!M8</f>
        <v>0</v>
      </c>
      <c r="O11" s="704">
        <f>huishoudens!N8</f>
        <v>8898.9340467072161</v>
      </c>
      <c r="P11" s="704">
        <f>huishoudens!O8</f>
        <v>206.35999999999999</v>
      </c>
      <c r="Q11" s="705">
        <f>huishoudens!P8</f>
        <v>572</v>
      </c>
      <c r="R11" s="707">
        <f>SUM(C11:Q11)</f>
        <v>136260.88055632397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8290.7676105378159</v>
      </c>
      <c r="D13" s="704">
        <f>industrie!C18</f>
        <v>0</v>
      </c>
      <c r="E13" s="704">
        <f>industrie!D18</f>
        <v>1138.262985252069</v>
      </c>
      <c r="F13" s="704">
        <f>industrie!E18</f>
        <v>599.39354540538238</v>
      </c>
      <c r="G13" s="704">
        <f>industrie!F18</f>
        <v>2289.7277075596085</v>
      </c>
      <c r="H13" s="704">
        <f>industrie!G18</f>
        <v>0</v>
      </c>
      <c r="I13" s="704">
        <f>industrie!H18</f>
        <v>0</v>
      </c>
      <c r="J13" s="704">
        <f>industrie!I18</f>
        <v>0</v>
      </c>
      <c r="K13" s="704">
        <f>industrie!J18</f>
        <v>16.844673100370471</v>
      </c>
      <c r="L13" s="704">
        <f>industrie!K18</f>
        <v>0</v>
      </c>
      <c r="M13" s="704">
        <f>industrie!L18</f>
        <v>0</v>
      </c>
      <c r="N13" s="704">
        <f>industrie!M18</f>
        <v>0</v>
      </c>
      <c r="O13" s="704">
        <f>industrie!N18</f>
        <v>1655.311493891081</v>
      </c>
      <c r="P13" s="704">
        <f>industrie!O18</f>
        <v>0</v>
      </c>
      <c r="Q13" s="705">
        <f>industrie!P18</f>
        <v>0</v>
      </c>
      <c r="R13" s="707">
        <f>SUM(C13:Q13)</f>
        <v>13990.308015746326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51194.026257191872</v>
      </c>
      <c r="D15" s="709">
        <f t="shared" ref="D15:Q15" ca="1" si="0">SUM(D9:D14)</f>
        <v>0</v>
      </c>
      <c r="E15" s="709">
        <f t="shared" ca="1" si="0"/>
        <v>45394.489579327848</v>
      </c>
      <c r="F15" s="709">
        <f t="shared" si="0"/>
        <v>6589.9882641444201</v>
      </c>
      <c r="G15" s="709">
        <f t="shared" ca="1" si="0"/>
        <v>60672.686806759128</v>
      </c>
      <c r="H15" s="709">
        <f t="shared" si="0"/>
        <v>0</v>
      </c>
      <c r="I15" s="709">
        <f t="shared" si="0"/>
        <v>0</v>
      </c>
      <c r="J15" s="709">
        <f t="shared" si="0"/>
        <v>0</v>
      </c>
      <c r="K15" s="709">
        <f t="shared" si="0"/>
        <v>444.01695586473755</v>
      </c>
      <c r="L15" s="709">
        <f t="shared" si="0"/>
        <v>0</v>
      </c>
      <c r="M15" s="709">
        <f t="shared" ca="1" si="0"/>
        <v>0</v>
      </c>
      <c r="N15" s="709">
        <f t="shared" si="0"/>
        <v>0</v>
      </c>
      <c r="O15" s="709">
        <f t="shared" ca="1" si="0"/>
        <v>11601.302720919031</v>
      </c>
      <c r="P15" s="709">
        <f t="shared" si="0"/>
        <v>207.92333333333332</v>
      </c>
      <c r="Q15" s="710">
        <f t="shared" si="0"/>
        <v>648.26666666666665</v>
      </c>
      <c r="R15" s="711">
        <f ca="1">SUM(R9:R14)</f>
        <v>176752.70058420702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1738.2605030665495</v>
      </c>
      <c r="I18" s="704">
        <f>transport!H54</f>
        <v>0</v>
      </c>
      <c r="J18" s="704">
        <f>transport!I54</f>
        <v>0</v>
      </c>
      <c r="K18" s="704">
        <f>transport!J54</f>
        <v>0</v>
      </c>
      <c r="L18" s="704">
        <f>transport!K54</f>
        <v>0</v>
      </c>
      <c r="M18" s="704">
        <f>transport!L54</f>
        <v>0</v>
      </c>
      <c r="N18" s="704">
        <f>transport!M54</f>
        <v>77.304696211203833</v>
      </c>
      <c r="O18" s="704">
        <f>transport!N54</f>
        <v>0</v>
      </c>
      <c r="P18" s="704">
        <f>transport!O54</f>
        <v>0</v>
      </c>
      <c r="Q18" s="705">
        <f>transport!P54</f>
        <v>0</v>
      </c>
      <c r="R18" s="707">
        <f>SUM(C18:Q18)</f>
        <v>1815.5651992777534</v>
      </c>
      <c r="S18" s="67"/>
    </row>
    <row r="19" spans="1:19" s="459" customFormat="1" ht="15" thickBot="1">
      <c r="A19" s="858" t="s">
        <v>307</v>
      </c>
      <c r="B19" s="863"/>
      <c r="C19" s="713">
        <f>transport!B14</f>
        <v>3.3365493843495333</v>
      </c>
      <c r="D19" s="713">
        <f>transport!C14</f>
        <v>0</v>
      </c>
      <c r="E19" s="713">
        <f>transport!D14</f>
        <v>6.3089960009371158</v>
      </c>
      <c r="F19" s="713">
        <f>transport!E14</f>
        <v>189.19490094761454</v>
      </c>
      <c r="G19" s="713">
        <f>transport!F14</f>
        <v>0</v>
      </c>
      <c r="H19" s="713">
        <f>transport!G14</f>
        <v>46656.151976057423</v>
      </c>
      <c r="I19" s="713">
        <f>transport!H14</f>
        <v>9381.8571827485248</v>
      </c>
      <c r="J19" s="713">
        <f>transport!I14</f>
        <v>0</v>
      </c>
      <c r="K19" s="713">
        <f>transport!J14</f>
        <v>0</v>
      </c>
      <c r="L19" s="713">
        <f>transport!K14</f>
        <v>0</v>
      </c>
      <c r="M19" s="713">
        <f>transport!L14</f>
        <v>0</v>
      </c>
      <c r="N19" s="713">
        <f>transport!M14</f>
        <v>2506.3725359775476</v>
      </c>
      <c r="O19" s="713">
        <f>transport!N14</f>
        <v>0</v>
      </c>
      <c r="P19" s="713">
        <f>transport!O14</f>
        <v>0</v>
      </c>
      <c r="Q19" s="714">
        <f>transport!P14</f>
        <v>0</v>
      </c>
      <c r="R19" s="715">
        <f>SUM(C19:Q19)</f>
        <v>58743.222141116399</v>
      </c>
      <c r="S19" s="67"/>
    </row>
    <row r="20" spans="1:19" s="459" customFormat="1" ht="15.75" thickBot="1">
      <c r="A20" s="716" t="s">
        <v>230</v>
      </c>
      <c r="B20" s="866"/>
      <c r="C20" s="861">
        <f>SUM(C17:C19)</f>
        <v>3.3365493843495333</v>
      </c>
      <c r="D20" s="717">
        <f t="shared" ref="D20:R20" si="1">SUM(D17:D19)</f>
        <v>0</v>
      </c>
      <c r="E20" s="717">
        <f t="shared" si="1"/>
        <v>6.3089960009371158</v>
      </c>
      <c r="F20" s="717">
        <f t="shared" si="1"/>
        <v>189.19490094761454</v>
      </c>
      <c r="G20" s="717">
        <f t="shared" si="1"/>
        <v>0</v>
      </c>
      <c r="H20" s="717">
        <f t="shared" si="1"/>
        <v>48394.412479123974</v>
      </c>
      <c r="I20" s="717">
        <f t="shared" si="1"/>
        <v>9381.8571827485248</v>
      </c>
      <c r="J20" s="717">
        <f t="shared" si="1"/>
        <v>0</v>
      </c>
      <c r="K20" s="717">
        <f t="shared" si="1"/>
        <v>0</v>
      </c>
      <c r="L20" s="717">
        <f t="shared" si="1"/>
        <v>0</v>
      </c>
      <c r="M20" s="717">
        <f t="shared" si="1"/>
        <v>0</v>
      </c>
      <c r="N20" s="717">
        <f t="shared" si="1"/>
        <v>2583.6772321887515</v>
      </c>
      <c r="O20" s="717">
        <f t="shared" si="1"/>
        <v>0</v>
      </c>
      <c r="P20" s="717">
        <f t="shared" si="1"/>
        <v>0</v>
      </c>
      <c r="Q20" s="718">
        <f t="shared" si="1"/>
        <v>0</v>
      </c>
      <c r="R20" s="719">
        <f t="shared" si="1"/>
        <v>60558.787340394156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500.70395667160096</v>
      </c>
      <c r="D22" s="713">
        <f>+landbouw!C8</f>
        <v>0</v>
      </c>
      <c r="E22" s="713">
        <f>+landbouw!D8</f>
        <v>2427.779260104996</v>
      </c>
      <c r="F22" s="713">
        <f>+landbouw!E8</f>
        <v>6.3095148919078312</v>
      </c>
      <c r="G22" s="713">
        <f>+landbouw!F8</f>
        <v>1727.5540843531487</v>
      </c>
      <c r="H22" s="713">
        <f>+landbouw!G8</f>
        <v>0</v>
      </c>
      <c r="I22" s="713">
        <f>+landbouw!H8</f>
        <v>0</v>
      </c>
      <c r="J22" s="713">
        <f>+landbouw!I8</f>
        <v>0</v>
      </c>
      <c r="K22" s="713">
        <f>+landbouw!J8</f>
        <v>75.300183281711725</v>
      </c>
      <c r="L22" s="713">
        <f>+landbouw!K8</f>
        <v>0</v>
      </c>
      <c r="M22" s="713">
        <f>+landbouw!L8</f>
        <v>0</v>
      </c>
      <c r="N22" s="713">
        <f>+landbouw!M8</f>
        <v>0</v>
      </c>
      <c r="O22" s="713">
        <f>+landbouw!N8</f>
        <v>0</v>
      </c>
      <c r="P22" s="713">
        <f>+landbouw!O8</f>
        <v>0</v>
      </c>
      <c r="Q22" s="714">
        <f>+landbouw!P8</f>
        <v>0</v>
      </c>
      <c r="R22" s="715">
        <f>SUM(C22:Q22)</f>
        <v>4737.6469993033652</v>
      </c>
      <c r="S22" s="67"/>
    </row>
    <row r="23" spans="1:19" s="459" customFormat="1" ht="17.25" thickTop="1" thickBot="1">
      <c r="A23" s="720" t="s">
        <v>116</v>
      </c>
      <c r="B23" s="852"/>
      <c r="C23" s="721">
        <f ca="1">C20+C15+C22</f>
        <v>51698.066763247822</v>
      </c>
      <c r="D23" s="721">
        <f t="shared" ref="D23:Q23" ca="1" si="2">D20+D15+D22</f>
        <v>0</v>
      </c>
      <c r="E23" s="721">
        <f t="shared" ca="1" si="2"/>
        <v>47828.577835433782</v>
      </c>
      <c r="F23" s="721">
        <f t="shared" si="2"/>
        <v>6785.4926799839423</v>
      </c>
      <c r="G23" s="721">
        <f t="shared" ca="1" si="2"/>
        <v>62400.240891112277</v>
      </c>
      <c r="H23" s="721">
        <f t="shared" si="2"/>
        <v>48394.412479123974</v>
      </c>
      <c r="I23" s="721">
        <f t="shared" si="2"/>
        <v>9381.8571827485248</v>
      </c>
      <c r="J23" s="721">
        <f t="shared" si="2"/>
        <v>0</v>
      </c>
      <c r="K23" s="721">
        <f t="shared" si="2"/>
        <v>519.31713914644934</v>
      </c>
      <c r="L23" s="721">
        <f t="shared" si="2"/>
        <v>0</v>
      </c>
      <c r="M23" s="721">
        <f t="shared" ca="1" si="2"/>
        <v>0</v>
      </c>
      <c r="N23" s="721">
        <f t="shared" si="2"/>
        <v>2583.6772321887515</v>
      </c>
      <c r="O23" s="721">
        <f t="shared" ca="1" si="2"/>
        <v>11601.302720919031</v>
      </c>
      <c r="P23" s="721">
        <f t="shared" si="2"/>
        <v>207.92333333333332</v>
      </c>
      <c r="Q23" s="722">
        <f t="shared" si="2"/>
        <v>648.26666666666665</v>
      </c>
      <c r="R23" s="723">
        <f ca="1">R20+R15+R22</f>
        <v>242049.13492390455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2912.6081162612904</v>
      </c>
      <c r="D36" s="704">
        <f ca="1">tertiair!C20</f>
        <v>0</v>
      </c>
      <c r="E36" s="704">
        <f ca="1">tertiair!D20</f>
        <v>1702.6666062636525</v>
      </c>
      <c r="F36" s="704">
        <f>tertiair!E20</f>
        <v>36.407504803323306</v>
      </c>
      <c r="G36" s="704">
        <f ca="1">tertiair!F20</f>
        <v>697.6033892073981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5349.2856165356652</v>
      </c>
    </row>
    <row r="37" spans="1:18">
      <c r="A37" s="873" t="s">
        <v>225</v>
      </c>
      <c r="B37" s="880"/>
      <c r="C37" s="704">
        <f ca="1">huishoudens!B12</f>
        <v>5903.281011090161</v>
      </c>
      <c r="D37" s="704">
        <f ca="1">huishoudens!C12</f>
        <v>0</v>
      </c>
      <c r="E37" s="704">
        <f>huishoudens!D12</f>
        <v>7237.0911657396555</v>
      </c>
      <c r="F37" s="704">
        <f>huishoudens!E12</f>
        <v>1323.4574963504383</v>
      </c>
      <c r="G37" s="704">
        <f>huishoudens!F12</f>
        <v>14890.646690278876</v>
      </c>
      <c r="H37" s="704">
        <f>huishoudens!G12</f>
        <v>0</v>
      </c>
      <c r="I37" s="704">
        <f>huishoudens!H12</f>
        <v>0</v>
      </c>
      <c r="J37" s="704">
        <f>huishoudens!I12</f>
        <v>0</v>
      </c>
      <c r="K37" s="704">
        <f>huishoudens!J12</f>
        <v>151.21898809858595</v>
      </c>
      <c r="L37" s="704">
        <f>huishoudens!K12</f>
        <v>0</v>
      </c>
      <c r="M37" s="704">
        <f>huishoudens!L12</f>
        <v>0</v>
      </c>
      <c r="N37" s="704">
        <f>huishoudens!M12</f>
        <v>0</v>
      </c>
      <c r="O37" s="704">
        <f>huishoudens!N12</f>
        <v>0</v>
      </c>
      <c r="P37" s="704">
        <f>huishoudens!O12</f>
        <v>0</v>
      </c>
      <c r="Q37" s="814">
        <f>huishoudens!P12</f>
        <v>0</v>
      </c>
      <c r="R37" s="905">
        <f ca="1">SUM(C37:Q37)</f>
        <v>29505.695351557715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1703.6115749878616</v>
      </c>
      <c r="D39" s="704">
        <f ca="1">industrie!C22</f>
        <v>0</v>
      </c>
      <c r="E39" s="704">
        <f>industrie!D22</f>
        <v>229.92912302091796</v>
      </c>
      <c r="F39" s="704">
        <f>industrie!E22</f>
        <v>136.06233480702181</v>
      </c>
      <c r="G39" s="704">
        <f>industrie!F22</f>
        <v>611.3572979184155</v>
      </c>
      <c r="H39" s="704">
        <f>industrie!G22</f>
        <v>0</v>
      </c>
      <c r="I39" s="704">
        <f>industrie!H22</f>
        <v>0</v>
      </c>
      <c r="J39" s="704">
        <f>industrie!I22</f>
        <v>0</v>
      </c>
      <c r="K39" s="704">
        <f>industrie!J22</f>
        <v>5.9630142775311468</v>
      </c>
      <c r="L39" s="704">
        <f>industrie!K22</f>
        <v>0</v>
      </c>
      <c r="M39" s="704">
        <f>industrie!L22</f>
        <v>0</v>
      </c>
      <c r="N39" s="704">
        <f>industrie!M22</f>
        <v>0</v>
      </c>
      <c r="O39" s="704">
        <f>industrie!N22</f>
        <v>0</v>
      </c>
      <c r="P39" s="704">
        <f>industrie!O22</f>
        <v>0</v>
      </c>
      <c r="Q39" s="814">
        <f>industrie!P22</f>
        <v>0</v>
      </c>
      <c r="R39" s="906">
        <f ca="1">SUM(C39:Q39)</f>
        <v>2686.9233450117481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10519.500702339312</v>
      </c>
      <c r="D41" s="749">
        <f t="shared" ref="D41:R41" ca="1" si="4">SUM(D35:D40)</f>
        <v>0</v>
      </c>
      <c r="E41" s="749">
        <f t="shared" ca="1" si="4"/>
        <v>9169.686895024226</v>
      </c>
      <c r="F41" s="749">
        <f t="shared" si="4"/>
        <v>1495.9273359607835</v>
      </c>
      <c r="G41" s="749">
        <f t="shared" ca="1" si="4"/>
        <v>16199.607377404689</v>
      </c>
      <c r="H41" s="749">
        <f t="shared" si="4"/>
        <v>0</v>
      </c>
      <c r="I41" s="749">
        <f t="shared" si="4"/>
        <v>0</v>
      </c>
      <c r="J41" s="749">
        <f t="shared" si="4"/>
        <v>0</v>
      </c>
      <c r="K41" s="749">
        <f t="shared" si="4"/>
        <v>157.18200237611711</v>
      </c>
      <c r="L41" s="749">
        <f t="shared" si="4"/>
        <v>0</v>
      </c>
      <c r="M41" s="749">
        <f t="shared" ca="1" si="4"/>
        <v>0</v>
      </c>
      <c r="N41" s="749">
        <f t="shared" si="4"/>
        <v>0</v>
      </c>
      <c r="O41" s="749">
        <f t="shared" ca="1" si="4"/>
        <v>0</v>
      </c>
      <c r="P41" s="749">
        <f t="shared" si="4"/>
        <v>0</v>
      </c>
      <c r="Q41" s="750">
        <f t="shared" si="4"/>
        <v>0</v>
      </c>
      <c r="R41" s="751">
        <f t="shared" ca="1" si="4"/>
        <v>37541.904313105129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464.11555431876877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464.11555431876877</v>
      </c>
    </row>
    <row r="45" spans="1:18" ht="15" thickBot="1">
      <c r="A45" s="876" t="s">
        <v>307</v>
      </c>
      <c r="B45" s="886"/>
      <c r="C45" s="713">
        <f ca="1">transport!B18</f>
        <v>0.68560408622136737</v>
      </c>
      <c r="D45" s="713">
        <f>transport!C18</f>
        <v>0</v>
      </c>
      <c r="E45" s="713">
        <f>transport!D18</f>
        <v>1.2744171921892975</v>
      </c>
      <c r="F45" s="713">
        <f>transport!E18</f>
        <v>42.947242515108499</v>
      </c>
      <c r="G45" s="713">
        <f>transport!F18</f>
        <v>0</v>
      </c>
      <c r="H45" s="713">
        <f>transport!G18</f>
        <v>12457.192577607333</v>
      </c>
      <c r="I45" s="713">
        <f>transport!H18</f>
        <v>2336.0824385043825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14838.182279905235</v>
      </c>
    </row>
    <row r="46" spans="1:18" ht="15.75" thickBot="1">
      <c r="A46" s="874" t="s">
        <v>230</v>
      </c>
      <c r="B46" s="887"/>
      <c r="C46" s="749">
        <f t="shared" ref="C46:R46" ca="1" si="5">SUM(C43:C45)</f>
        <v>0.68560408622136737</v>
      </c>
      <c r="D46" s="749">
        <f t="shared" ca="1" si="5"/>
        <v>0</v>
      </c>
      <c r="E46" s="749">
        <f t="shared" si="5"/>
        <v>1.2744171921892975</v>
      </c>
      <c r="F46" s="749">
        <f t="shared" si="5"/>
        <v>42.947242515108499</v>
      </c>
      <c r="G46" s="749">
        <f t="shared" si="5"/>
        <v>0</v>
      </c>
      <c r="H46" s="749">
        <f t="shared" si="5"/>
        <v>12921.308131926102</v>
      </c>
      <c r="I46" s="749">
        <f t="shared" si="5"/>
        <v>2336.0824385043825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15302.297834224004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102.88613748427406</v>
      </c>
      <c r="D48" s="704">
        <f ca="1">+landbouw!C12</f>
        <v>0</v>
      </c>
      <c r="E48" s="704">
        <f>+landbouw!D12</f>
        <v>490.41141054120919</v>
      </c>
      <c r="F48" s="704">
        <f>+landbouw!E12</f>
        <v>1.4322598804630777</v>
      </c>
      <c r="G48" s="704">
        <f>+landbouw!F12</f>
        <v>461.25694052229073</v>
      </c>
      <c r="H48" s="704">
        <f>+landbouw!G12</f>
        <v>0</v>
      </c>
      <c r="I48" s="704">
        <f>+landbouw!H12</f>
        <v>0</v>
      </c>
      <c r="J48" s="704">
        <f>+landbouw!I12</f>
        <v>0</v>
      </c>
      <c r="K48" s="704">
        <f>+landbouw!J12</f>
        <v>26.656264881725949</v>
      </c>
      <c r="L48" s="704">
        <f>+landbouw!K12</f>
        <v>0</v>
      </c>
      <c r="M48" s="704">
        <f>+landbouw!L12</f>
        <v>0</v>
      </c>
      <c r="N48" s="704">
        <f>+landbouw!M12</f>
        <v>0</v>
      </c>
      <c r="O48" s="704">
        <f>+landbouw!N12</f>
        <v>0</v>
      </c>
      <c r="P48" s="704">
        <f>+landbouw!O12</f>
        <v>0</v>
      </c>
      <c r="Q48" s="705">
        <f>+landbouw!P12</f>
        <v>0</v>
      </c>
      <c r="R48" s="747">
        <f ca="1">SUM(C48:Q48)</f>
        <v>1082.6430133099632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10623.072443909808</v>
      </c>
      <c r="D53" s="759">
        <f t="shared" ref="D53:Q53" ca="1" si="6">D41+D46+D48</f>
        <v>0</v>
      </c>
      <c r="E53" s="759">
        <f t="shared" ca="1" si="6"/>
        <v>9661.3727227576255</v>
      </c>
      <c r="F53" s="759">
        <f t="shared" si="6"/>
        <v>1540.306838356355</v>
      </c>
      <c r="G53" s="759">
        <f t="shared" ca="1" si="6"/>
        <v>16660.864317926978</v>
      </c>
      <c r="H53" s="759">
        <f t="shared" si="6"/>
        <v>12921.308131926102</v>
      </c>
      <c r="I53" s="759">
        <f t="shared" si="6"/>
        <v>2336.0824385043825</v>
      </c>
      <c r="J53" s="759">
        <f t="shared" si="6"/>
        <v>0</v>
      </c>
      <c r="K53" s="759">
        <f t="shared" si="6"/>
        <v>183.83826725784306</v>
      </c>
      <c r="L53" s="759">
        <f t="shared" si="6"/>
        <v>0</v>
      </c>
      <c r="M53" s="759">
        <f t="shared" ca="1" si="6"/>
        <v>0</v>
      </c>
      <c r="N53" s="759">
        <f t="shared" si="6"/>
        <v>0</v>
      </c>
      <c r="O53" s="759">
        <f t="shared" ca="1" si="6"/>
        <v>0</v>
      </c>
      <c r="P53" s="759">
        <f>P41+P46+P48</f>
        <v>0</v>
      </c>
      <c r="Q53" s="760">
        <f t="shared" si="6"/>
        <v>0</v>
      </c>
      <c r="R53" s="761">
        <f ca="1">R41+R46+R48</f>
        <v>53926.845160639095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0.20548297274941343</v>
      </c>
      <c r="D55" s="824">
        <f t="shared" ca="1" si="7"/>
        <v>0</v>
      </c>
      <c r="E55" s="824">
        <f t="shared" ca="1" si="7"/>
        <v>0.20200000000000004</v>
      </c>
      <c r="F55" s="824">
        <f t="shared" si="7"/>
        <v>0.22700000000000001</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87.134529147982065</v>
      </c>
      <c r="C65" s="781">
        <f>'lokale energieproductie'!B5</f>
        <v>87.134529147982065</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3542.7311304355444</v>
      </c>
      <c r="C66" s="781">
        <f>'lokale energieproductie'!B6</f>
        <v>3542.7311304355444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3629.8656595835264</v>
      </c>
      <c r="C69" s="789">
        <f>SUM(C64:C68)</f>
        <v>3629.8656595835264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28728.808679876431</v>
      </c>
      <c r="C4" s="463">
        <f>huishoudens!C8</f>
        <v>0</v>
      </c>
      <c r="D4" s="463">
        <f>huishoudens!D8</f>
        <v>35827.183988810175</v>
      </c>
      <c r="E4" s="463">
        <f>huishoudens!E8</f>
        <v>5830.2092350239573</v>
      </c>
      <c r="F4" s="463">
        <f>huishoudens!F8</f>
        <v>55770.212323141852</v>
      </c>
      <c r="G4" s="463">
        <f>huishoudens!G8</f>
        <v>0</v>
      </c>
      <c r="H4" s="463">
        <f>huishoudens!H8</f>
        <v>0</v>
      </c>
      <c r="I4" s="463">
        <f>huishoudens!I8</f>
        <v>0</v>
      </c>
      <c r="J4" s="463">
        <f>huishoudens!J8</f>
        <v>427.17228276436708</v>
      </c>
      <c r="K4" s="463">
        <f>huishoudens!K8</f>
        <v>0</v>
      </c>
      <c r="L4" s="463">
        <f>huishoudens!L8</f>
        <v>0</v>
      </c>
      <c r="M4" s="463">
        <f>huishoudens!M8</f>
        <v>0</v>
      </c>
      <c r="N4" s="463">
        <f>huishoudens!N8</f>
        <v>8898.9340467072161</v>
      </c>
      <c r="O4" s="463">
        <f>huishoudens!O8</f>
        <v>206.35999999999999</v>
      </c>
      <c r="P4" s="464">
        <f>huishoudens!P8</f>
        <v>572</v>
      </c>
      <c r="Q4" s="465">
        <f>SUM(B4:P4)</f>
        <v>136260.88055632397</v>
      </c>
    </row>
    <row r="5" spans="1:17">
      <c r="A5" s="462" t="s">
        <v>156</v>
      </c>
      <c r="B5" s="463">
        <f ca="1">tertiair!B16</f>
        <v>13009.489966777623</v>
      </c>
      <c r="C5" s="463">
        <f ca="1">tertiair!C16</f>
        <v>0</v>
      </c>
      <c r="D5" s="463">
        <f ca="1">tertiair!D16</f>
        <v>8429.0426052656057</v>
      </c>
      <c r="E5" s="463">
        <f>tertiair!E16</f>
        <v>160.38548371508065</v>
      </c>
      <c r="F5" s="463">
        <f ca="1">tertiair!F16</f>
        <v>2612.7467760576706</v>
      </c>
      <c r="G5" s="463">
        <f>tertiair!G16</f>
        <v>0</v>
      </c>
      <c r="H5" s="463">
        <f>tertiair!H16</f>
        <v>0</v>
      </c>
      <c r="I5" s="463">
        <f>tertiair!I16</f>
        <v>0</v>
      </c>
      <c r="J5" s="463">
        <f>tertiair!J16</f>
        <v>0</v>
      </c>
      <c r="K5" s="463">
        <f>tertiair!K16</f>
        <v>0</v>
      </c>
      <c r="L5" s="463">
        <f ca="1">tertiair!L16</f>
        <v>0</v>
      </c>
      <c r="M5" s="463">
        <f>tertiair!M16</f>
        <v>0</v>
      </c>
      <c r="N5" s="463">
        <f ca="1">tertiair!N16</f>
        <v>1047.0571803207354</v>
      </c>
      <c r="O5" s="463">
        <f>tertiair!O16</f>
        <v>1.5633333333333335</v>
      </c>
      <c r="P5" s="464">
        <f>tertiair!P16</f>
        <v>76.266666666666666</v>
      </c>
      <c r="Q5" s="462">
        <f t="shared" ref="Q5:Q13" ca="1" si="0">SUM(B5:P5)</f>
        <v>25336.552012136712</v>
      </c>
    </row>
    <row r="6" spans="1:17">
      <c r="A6" s="462" t="s">
        <v>194</v>
      </c>
      <c r="B6" s="463">
        <f>'openbare verlichting'!B8</f>
        <v>1164.96</v>
      </c>
      <c r="C6" s="463"/>
      <c r="D6" s="463"/>
      <c r="E6" s="463"/>
      <c r="F6" s="463"/>
      <c r="G6" s="463"/>
      <c r="H6" s="463"/>
      <c r="I6" s="463"/>
      <c r="J6" s="463"/>
      <c r="K6" s="463"/>
      <c r="L6" s="463"/>
      <c r="M6" s="463"/>
      <c r="N6" s="463"/>
      <c r="O6" s="463"/>
      <c r="P6" s="464"/>
      <c r="Q6" s="462">
        <f t="shared" si="0"/>
        <v>1164.96</v>
      </c>
    </row>
    <row r="7" spans="1:17">
      <c r="A7" s="462" t="s">
        <v>112</v>
      </c>
      <c r="B7" s="463">
        <f>landbouw!B8</f>
        <v>500.70395667160096</v>
      </c>
      <c r="C7" s="463">
        <f>landbouw!C8</f>
        <v>0</v>
      </c>
      <c r="D7" s="463">
        <f>landbouw!D8</f>
        <v>2427.779260104996</v>
      </c>
      <c r="E7" s="463">
        <f>landbouw!E8</f>
        <v>6.3095148919078312</v>
      </c>
      <c r="F7" s="463">
        <f>landbouw!F8</f>
        <v>1727.5540843531487</v>
      </c>
      <c r="G7" s="463">
        <f>landbouw!G8</f>
        <v>0</v>
      </c>
      <c r="H7" s="463">
        <f>landbouw!H8</f>
        <v>0</v>
      </c>
      <c r="I7" s="463">
        <f>landbouw!I8</f>
        <v>0</v>
      </c>
      <c r="J7" s="463">
        <f>landbouw!J8</f>
        <v>75.300183281711725</v>
      </c>
      <c r="K7" s="463">
        <f>landbouw!K8</f>
        <v>0</v>
      </c>
      <c r="L7" s="463">
        <f>landbouw!L8</f>
        <v>0</v>
      </c>
      <c r="M7" s="463">
        <f>landbouw!M8</f>
        <v>0</v>
      </c>
      <c r="N7" s="463">
        <f>landbouw!N8</f>
        <v>0</v>
      </c>
      <c r="O7" s="463">
        <f>landbouw!O8</f>
        <v>0</v>
      </c>
      <c r="P7" s="464">
        <f>landbouw!P8</f>
        <v>0</v>
      </c>
      <c r="Q7" s="462">
        <f t="shared" si="0"/>
        <v>4737.6469993033652</v>
      </c>
    </row>
    <row r="8" spans="1:17">
      <c r="A8" s="462" t="s">
        <v>657</v>
      </c>
      <c r="B8" s="463">
        <f>industrie!B18</f>
        <v>8290.7676105378159</v>
      </c>
      <c r="C8" s="463">
        <f>industrie!C18</f>
        <v>0</v>
      </c>
      <c r="D8" s="463">
        <f>industrie!D18</f>
        <v>1138.262985252069</v>
      </c>
      <c r="E8" s="463">
        <f>industrie!E18</f>
        <v>599.39354540538238</v>
      </c>
      <c r="F8" s="463">
        <f>industrie!F18</f>
        <v>2289.7277075596085</v>
      </c>
      <c r="G8" s="463">
        <f>industrie!G18</f>
        <v>0</v>
      </c>
      <c r="H8" s="463">
        <f>industrie!H18</f>
        <v>0</v>
      </c>
      <c r="I8" s="463">
        <f>industrie!I18</f>
        <v>0</v>
      </c>
      <c r="J8" s="463">
        <f>industrie!J18</f>
        <v>16.844673100370471</v>
      </c>
      <c r="K8" s="463">
        <f>industrie!K18</f>
        <v>0</v>
      </c>
      <c r="L8" s="463">
        <f>industrie!L18</f>
        <v>0</v>
      </c>
      <c r="M8" s="463">
        <f>industrie!M18</f>
        <v>0</v>
      </c>
      <c r="N8" s="463">
        <f>industrie!N18</f>
        <v>1655.311493891081</v>
      </c>
      <c r="O8" s="463">
        <f>industrie!O18</f>
        <v>0</v>
      </c>
      <c r="P8" s="464">
        <f>industrie!P18</f>
        <v>0</v>
      </c>
      <c r="Q8" s="462">
        <f t="shared" si="0"/>
        <v>13990.308015746326</v>
      </c>
    </row>
    <row r="9" spans="1:17" s="468" customFormat="1">
      <c r="A9" s="466" t="s">
        <v>574</v>
      </c>
      <c r="B9" s="467">
        <f>transport!B14</f>
        <v>3.3365493843495333</v>
      </c>
      <c r="C9" s="467">
        <f>transport!C14</f>
        <v>0</v>
      </c>
      <c r="D9" s="467">
        <f>transport!D14</f>
        <v>6.3089960009371158</v>
      </c>
      <c r="E9" s="467">
        <f>transport!E14</f>
        <v>189.19490094761454</v>
      </c>
      <c r="F9" s="467">
        <f>transport!F14</f>
        <v>0</v>
      </c>
      <c r="G9" s="467">
        <f>transport!G14</f>
        <v>46656.151976057423</v>
      </c>
      <c r="H9" s="467">
        <f>transport!H14</f>
        <v>9381.8571827485248</v>
      </c>
      <c r="I9" s="467">
        <f>transport!I14</f>
        <v>0</v>
      </c>
      <c r="J9" s="467">
        <f>transport!J14</f>
        <v>0</v>
      </c>
      <c r="K9" s="467">
        <f>transport!K14</f>
        <v>0</v>
      </c>
      <c r="L9" s="467">
        <f>transport!L14</f>
        <v>0</v>
      </c>
      <c r="M9" s="467">
        <f>transport!M14</f>
        <v>2506.3725359775476</v>
      </c>
      <c r="N9" s="467">
        <f>transport!N14</f>
        <v>0</v>
      </c>
      <c r="O9" s="467">
        <f>transport!O14</f>
        <v>0</v>
      </c>
      <c r="P9" s="467">
        <f>transport!P14</f>
        <v>0</v>
      </c>
      <c r="Q9" s="466">
        <f>SUM(B9:P9)</f>
        <v>58743.222141116399</v>
      </c>
    </row>
    <row r="10" spans="1:17">
      <c r="A10" s="462" t="s">
        <v>564</v>
      </c>
      <c r="B10" s="463">
        <f>transport!B54</f>
        <v>0</v>
      </c>
      <c r="C10" s="463">
        <f>transport!C54</f>
        <v>0</v>
      </c>
      <c r="D10" s="463">
        <f>transport!D54</f>
        <v>0</v>
      </c>
      <c r="E10" s="463">
        <f>transport!E54</f>
        <v>0</v>
      </c>
      <c r="F10" s="463">
        <f>transport!F54</f>
        <v>0</v>
      </c>
      <c r="G10" s="463">
        <f>transport!G54</f>
        <v>1738.2605030665495</v>
      </c>
      <c r="H10" s="463">
        <f>transport!H54</f>
        <v>0</v>
      </c>
      <c r="I10" s="463">
        <f>transport!I54</f>
        <v>0</v>
      </c>
      <c r="J10" s="463">
        <f>transport!J54</f>
        <v>0</v>
      </c>
      <c r="K10" s="463">
        <f>transport!K54</f>
        <v>0</v>
      </c>
      <c r="L10" s="463">
        <f>transport!L54</f>
        <v>0</v>
      </c>
      <c r="M10" s="463">
        <f>transport!M54</f>
        <v>77.304696211203833</v>
      </c>
      <c r="N10" s="463">
        <f>transport!N54</f>
        <v>0</v>
      </c>
      <c r="O10" s="463">
        <f>transport!O54</f>
        <v>0</v>
      </c>
      <c r="P10" s="464">
        <f>transport!P54</f>
        <v>0</v>
      </c>
      <c r="Q10" s="462">
        <f t="shared" si="0"/>
        <v>1815.5651992777534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51698.066763247822</v>
      </c>
      <c r="C14" s="473">
        <f t="shared" ref="C14:Q14" ca="1" si="1">SUM(C4:C13)</f>
        <v>0</v>
      </c>
      <c r="D14" s="473">
        <f t="shared" ca="1" si="1"/>
        <v>47828.577835433782</v>
      </c>
      <c r="E14" s="473">
        <f t="shared" si="1"/>
        <v>6785.4926799839423</v>
      </c>
      <c r="F14" s="473">
        <f t="shared" ca="1" si="1"/>
        <v>62400.240891112277</v>
      </c>
      <c r="G14" s="473">
        <f t="shared" si="1"/>
        <v>48394.412479123974</v>
      </c>
      <c r="H14" s="473">
        <f t="shared" si="1"/>
        <v>9381.8571827485248</v>
      </c>
      <c r="I14" s="473">
        <f t="shared" si="1"/>
        <v>0</v>
      </c>
      <c r="J14" s="473">
        <f t="shared" si="1"/>
        <v>519.31713914644934</v>
      </c>
      <c r="K14" s="473">
        <f t="shared" si="1"/>
        <v>0</v>
      </c>
      <c r="L14" s="473">
        <f t="shared" ca="1" si="1"/>
        <v>0</v>
      </c>
      <c r="M14" s="473">
        <f t="shared" si="1"/>
        <v>2583.6772321887515</v>
      </c>
      <c r="N14" s="473">
        <f t="shared" ca="1" si="1"/>
        <v>11601.302720919031</v>
      </c>
      <c r="O14" s="473">
        <f t="shared" si="1"/>
        <v>207.92333333333332</v>
      </c>
      <c r="P14" s="474">
        <f t="shared" si="1"/>
        <v>648.26666666666665</v>
      </c>
      <c r="Q14" s="474">
        <f t="shared" ca="1" si="1"/>
        <v>242049.13492390449</v>
      </c>
    </row>
    <row r="16" spans="1:17">
      <c r="A16" s="476" t="s">
        <v>569</v>
      </c>
      <c r="B16" s="829">
        <f ca="1">huishoudens!B10</f>
        <v>0.20548297274941343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5903.281011090161</v>
      </c>
      <c r="C21" s="463">
        <f t="shared" ref="C21:C30" ca="1" si="3">C4*$C$16</f>
        <v>0</v>
      </c>
      <c r="D21" s="463">
        <f t="shared" ref="D21:D30" si="4">D4*$D$16</f>
        <v>7237.0911657396555</v>
      </c>
      <c r="E21" s="463">
        <f t="shared" ref="E21:E30" si="5">E4*$E$16</f>
        <v>1323.4574963504383</v>
      </c>
      <c r="F21" s="463">
        <f t="shared" ref="F21:F30" si="6">F4*$F$16</f>
        <v>14890.646690278876</v>
      </c>
      <c r="G21" s="463">
        <f t="shared" ref="G21:G30" si="7">G4*$G$16</f>
        <v>0</v>
      </c>
      <c r="H21" s="463">
        <f t="shared" ref="H21:H30" si="8">H4*$H$16</f>
        <v>0</v>
      </c>
      <c r="I21" s="463">
        <f t="shared" ref="I21:I30" si="9">I4*$I$16</f>
        <v>0</v>
      </c>
      <c r="J21" s="463">
        <f t="shared" ref="J21:J30" si="10">J4*$J$16</f>
        <v>151.21898809858595</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29505.695351557715</v>
      </c>
    </row>
    <row r="22" spans="1:17">
      <c r="A22" s="462" t="s">
        <v>156</v>
      </c>
      <c r="B22" s="463">
        <f t="shared" ca="1" si="2"/>
        <v>2673.2286723271336</v>
      </c>
      <c r="C22" s="463">
        <f t="shared" ca="1" si="3"/>
        <v>0</v>
      </c>
      <c r="D22" s="463">
        <f t="shared" ca="1" si="4"/>
        <v>1702.6666062636525</v>
      </c>
      <c r="E22" s="463">
        <f t="shared" si="5"/>
        <v>36.407504803323306</v>
      </c>
      <c r="F22" s="463">
        <f t="shared" ca="1" si="6"/>
        <v>697.6033892073981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5109.9061726015079</v>
      </c>
    </row>
    <row r="23" spans="1:17">
      <c r="A23" s="462" t="s">
        <v>194</v>
      </c>
      <c r="B23" s="463">
        <f t="shared" ca="1" si="2"/>
        <v>239.37944393415668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239.37944393415668</v>
      </c>
    </row>
    <row r="24" spans="1:17">
      <c r="A24" s="462" t="s">
        <v>112</v>
      </c>
      <c r="B24" s="463">
        <f t="shared" ca="1" si="2"/>
        <v>102.88613748427406</v>
      </c>
      <c r="C24" s="463">
        <f t="shared" ca="1" si="3"/>
        <v>0</v>
      </c>
      <c r="D24" s="463">
        <f t="shared" si="4"/>
        <v>490.41141054120919</v>
      </c>
      <c r="E24" s="463">
        <f t="shared" si="5"/>
        <v>1.4322598804630777</v>
      </c>
      <c r="F24" s="463">
        <f t="shared" si="6"/>
        <v>461.25694052229073</v>
      </c>
      <c r="G24" s="463">
        <f t="shared" si="7"/>
        <v>0</v>
      </c>
      <c r="H24" s="463">
        <f t="shared" si="8"/>
        <v>0</v>
      </c>
      <c r="I24" s="463">
        <f t="shared" si="9"/>
        <v>0</v>
      </c>
      <c r="J24" s="463">
        <f t="shared" si="10"/>
        <v>26.656264881725949</v>
      </c>
      <c r="K24" s="463">
        <f t="shared" si="11"/>
        <v>0</v>
      </c>
      <c r="L24" s="463">
        <f t="shared" si="12"/>
        <v>0</v>
      </c>
      <c r="M24" s="463">
        <f t="shared" si="13"/>
        <v>0</v>
      </c>
      <c r="N24" s="463">
        <f t="shared" si="14"/>
        <v>0</v>
      </c>
      <c r="O24" s="463">
        <f t="shared" si="15"/>
        <v>0</v>
      </c>
      <c r="P24" s="464">
        <f t="shared" si="16"/>
        <v>0</v>
      </c>
      <c r="Q24" s="462">
        <f t="shared" ca="1" si="17"/>
        <v>1082.6430133099632</v>
      </c>
    </row>
    <row r="25" spans="1:17">
      <c r="A25" s="462" t="s">
        <v>657</v>
      </c>
      <c r="B25" s="463">
        <f t="shared" ca="1" si="2"/>
        <v>1703.6115749878616</v>
      </c>
      <c r="C25" s="463">
        <f t="shared" ca="1" si="3"/>
        <v>0</v>
      </c>
      <c r="D25" s="463">
        <f t="shared" si="4"/>
        <v>229.92912302091796</v>
      </c>
      <c r="E25" s="463">
        <f t="shared" si="5"/>
        <v>136.06233480702181</v>
      </c>
      <c r="F25" s="463">
        <f t="shared" si="6"/>
        <v>611.3572979184155</v>
      </c>
      <c r="G25" s="463">
        <f t="shared" si="7"/>
        <v>0</v>
      </c>
      <c r="H25" s="463">
        <f t="shared" si="8"/>
        <v>0</v>
      </c>
      <c r="I25" s="463">
        <f t="shared" si="9"/>
        <v>0</v>
      </c>
      <c r="J25" s="463">
        <f t="shared" si="10"/>
        <v>5.9630142775311468</v>
      </c>
      <c r="K25" s="463">
        <f t="shared" si="11"/>
        <v>0</v>
      </c>
      <c r="L25" s="463">
        <f t="shared" si="12"/>
        <v>0</v>
      </c>
      <c r="M25" s="463">
        <f t="shared" si="13"/>
        <v>0</v>
      </c>
      <c r="N25" s="463">
        <f t="shared" si="14"/>
        <v>0</v>
      </c>
      <c r="O25" s="463">
        <f t="shared" si="15"/>
        <v>0</v>
      </c>
      <c r="P25" s="464">
        <f t="shared" si="16"/>
        <v>0</v>
      </c>
      <c r="Q25" s="462">
        <f t="shared" ca="1" si="17"/>
        <v>2686.9233450117481</v>
      </c>
    </row>
    <row r="26" spans="1:17" s="468" customFormat="1">
      <c r="A26" s="466" t="s">
        <v>574</v>
      </c>
      <c r="B26" s="823">
        <f t="shared" ca="1" si="2"/>
        <v>0.68560408622136737</v>
      </c>
      <c r="C26" s="467">
        <f t="shared" ca="1" si="3"/>
        <v>0</v>
      </c>
      <c r="D26" s="467">
        <f t="shared" si="4"/>
        <v>1.2744171921892975</v>
      </c>
      <c r="E26" s="467">
        <f t="shared" si="5"/>
        <v>42.947242515108499</v>
      </c>
      <c r="F26" s="467">
        <f t="shared" si="6"/>
        <v>0</v>
      </c>
      <c r="G26" s="467">
        <f t="shared" si="7"/>
        <v>12457.192577607333</v>
      </c>
      <c r="H26" s="467">
        <f t="shared" si="8"/>
        <v>2336.0824385043825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14838.182279905235</v>
      </c>
    </row>
    <row r="27" spans="1:17">
      <c r="A27" s="462" t="s">
        <v>564</v>
      </c>
      <c r="B27" s="463">
        <f t="shared" ca="1" si="2"/>
        <v>0</v>
      </c>
      <c r="C27" s="463">
        <f t="shared" ca="1" si="3"/>
        <v>0</v>
      </c>
      <c r="D27" s="463">
        <f t="shared" si="4"/>
        <v>0</v>
      </c>
      <c r="E27" s="463">
        <f t="shared" si="5"/>
        <v>0</v>
      </c>
      <c r="F27" s="463">
        <f t="shared" si="6"/>
        <v>0</v>
      </c>
      <c r="G27" s="463">
        <f t="shared" si="7"/>
        <v>464.11555431876877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464.11555431876877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10623.072443909808</v>
      </c>
      <c r="C31" s="473">
        <f t="shared" ca="1" si="18"/>
        <v>0</v>
      </c>
      <c r="D31" s="473">
        <f t="shared" ca="1" si="18"/>
        <v>9661.3727227576255</v>
      </c>
      <c r="E31" s="473">
        <f t="shared" si="18"/>
        <v>1540.306838356355</v>
      </c>
      <c r="F31" s="473">
        <f t="shared" ca="1" si="18"/>
        <v>16660.864317926978</v>
      </c>
      <c r="G31" s="473">
        <f t="shared" si="18"/>
        <v>12921.308131926102</v>
      </c>
      <c r="H31" s="473">
        <f t="shared" si="18"/>
        <v>2336.0824385043825</v>
      </c>
      <c r="I31" s="473">
        <f t="shared" si="18"/>
        <v>0</v>
      </c>
      <c r="J31" s="473">
        <f t="shared" si="18"/>
        <v>183.83826725784306</v>
      </c>
      <c r="K31" s="473">
        <f t="shared" si="18"/>
        <v>0</v>
      </c>
      <c r="L31" s="473">
        <f t="shared" ca="1" si="18"/>
        <v>0</v>
      </c>
      <c r="M31" s="473">
        <f t="shared" si="18"/>
        <v>0</v>
      </c>
      <c r="N31" s="473">
        <f t="shared" ca="1" si="18"/>
        <v>0</v>
      </c>
      <c r="O31" s="473">
        <f t="shared" si="18"/>
        <v>0</v>
      </c>
      <c r="P31" s="474">
        <f t="shared" si="18"/>
        <v>0</v>
      </c>
      <c r="Q31" s="474">
        <f t="shared" ca="1" si="18"/>
        <v>53926.845160639095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0.20548297274941343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0.20548297274941343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0.20548297274941343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24033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5661</v>
      </c>
      <c r="C9" s="338">
        <v>6134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1084</v>
      </c>
    </row>
    <row r="15" spans="1:6">
      <c r="A15" s="1212" t="s">
        <v>184</v>
      </c>
      <c r="B15" s="335">
        <v>1</v>
      </c>
    </row>
    <row r="16" spans="1:6">
      <c r="A16" s="1212" t="s">
        <v>6</v>
      </c>
      <c r="B16" s="335">
        <v>0</v>
      </c>
    </row>
    <row r="17" spans="1:6">
      <c r="A17" s="1212" t="s">
        <v>7</v>
      </c>
      <c r="B17" s="335">
        <v>159</v>
      </c>
    </row>
    <row r="18" spans="1:6">
      <c r="A18" s="1212" t="s">
        <v>8</v>
      </c>
      <c r="B18" s="335">
        <v>294</v>
      </c>
    </row>
    <row r="19" spans="1:6">
      <c r="A19" s="1212" t="s">
        <v>9</v>
      </c>
      <c r="B19" s="335">
        <v>679</v>
      </c>
    </row>
    <row r="20" spans="1:6">
      <c r="A20" s="1212" t="s">
        <v>10</v>
      </c>
      <c r="B20" s="335">
        <v>190</v>
      </c>
    </row>
    <row r="21" spans="1:6">
      <c r="A21" s="1212" t="s">
        <v>11</v>
      </c>
      <c r="B21" s="335">
        <v>2143</v>
      </c>
    </row>
    <row r="22" spans="1:6">
      <c r="A22" s="1212" t="s">
        <v>12</v>
      </c>
      <c r="B22" s="335">
        <v>2549</v>
      </c>
    </row>
    <row r="23" spans="1:6">
      <c r="A23" s="1212" t="s">
        <v>13</v>
      </c>
      <c r="B23" s="335">
        <v>68</v>
      </c>
    </row>
    <row r="24" spans="1:6">
      <c r="A24" s="1212" t="s">
        <v>14</v>
      </c>
      <c r="B24" s="335">
        <v>3</v>
      </c>
    </row>
    <row r="25" spans="1:6">
      <c r="A25" s="1212" t="s">
        <v>15</v>
      </c>
      <c r="B25" s="335">
        <v>481</v>
      </c>
    </row>
    <row r="26" spans="1:6">
      <c r="A26" s="1212" t="s">
        <v>16</v>
      </c>
      <c r="B26" s="335">
        <v>43</v>
      </c>
    </row>
    <row r="27" spans="1:6">
      <c r="A27" s="1212" t="s">
        <v>17</v>
      </c>
      <c r="B27" s="335">
        <v>8</v>
      </c>
    </row>
    <row r="28" spans="1:6" s="341" customFormat="1">
      <c r="A28" s="1213" t="s">
        <v>18</v>
      </c>
      <c r="B28" s="1213">
        <v>7</v>
      </c>
    </row>
    <row r="29" spans="1:6">
      <c r="A29" s="1213" t="s">
        <v>836</v>
      </c>
      <c r="B29" s="1213">
        <v>86</v>
      </c>
      <c r="C29" s="341"/>
      <c r="D29" s="341"/>
      <c r="E29" s="341"/>
      <c r="F29" s="341"/>
    </row>
    <row r="30" spans="1:6">
      <c r="A30" s="1208" t="s">
        <v>837</v>
      </c>
      <c r="B30" s="1208">
        <v>26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2</v>
      </c>
      <c r="D38" s="335">
        <v>187562.72696143101</v>
      </c>
      <c r="E38" s="335">
        <v>1</v>
      </c>
      <c r="F38" s="335">
        <v>10906.667414797501</v>
      </c>
    </row>
    <row r="39" spans="1:6">
      <c r="A39" s="1212" t="s">
        <v>30</v>
      </c>
      <c r="B39" s="1212" t="s">
        <v>31</v>
      </c>
      <c r="C39" s="335">
        <v>2074</v>
      </c>
      <c r="D39" s="335">
        <v>39719716.173847198</v>
      </c>
      <c r="E39" s="335">
        <v>5577</v>
      </c>
      <c r="F39" s="335">
        <v>25873598.829166502</v>
      </c>
    </row>
    <row r="40" spans="1:6">
      <c r="A40" s="1212" t="s">
        <v>30</v>
      </c>
      <c r="B40" s="1212" t="s">
        <v>29</v>
      </c>
      <c r="C40" s="335">
        <v>0</v>
      </c>
      <c r="D40" s="335">
        <v>0</v>
      </c>
      <c r="E40" s="335">
        <v>0</v>
      </c>
      <c r="F40" s="335">
        <v>0</v>
      </c>
    </row>
    <row r="41" spans="1:6">
      <c r="A41" s="1212" t="s">
        <v>32</v>
      </c>
      <c r="B41" s="1212" t="s">
        <v>33</v>
      </c>
      <c r="C41" s="335">
        <v>21</v>
      </c>
      <c r="D41" s="335">
        <v>394331.40211700299</v>
      </c>
      <c r="E41" s="335">
        <v>74</v>
      </c>
      <c r="F41" s="335">
        <v>761180.293791014</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12</v>
      </c>
      <c r="F44" s="335">
        <v>914373.21783322596</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43126.776796596401</v>
      </c>
    </row>
    <row r="48" spans="1:6">
      <c r="A48" s="1212" t="s">
        <v>32</v>
      </c>
      <c r="B48" s="1212" t="s">
        <v>29</v>
      </c>
      <c r="C48" s="335">
        <v>16</v>
      </c>
      <c r="D48" s="335">
        <v>867600.95403828402</v>
      </c>
      <c r="E48" s="335">
        <v>29</v>
      </c>
      <c r="F48" s="335">
        <v>6572087.3221169803</v>
      </c>
    </row>
    <row r="49" spans="1:6">
      <c r="A49" s="1212" t="s">
        <v>32</v>
      </c>
      <c r="B49" s="1212" t="s">
        <v>40</v>
      </c>
      <c r="C49" s="335">
        <v>0</v>
      </c>
      <c r="D49" s="335">
        <v>0</v>
      </c>
      <c r="E49" s="335">
        <v>0</v>
      </c>
      <c r="F49" s="335">
        <v>0</v>
      </c>
    </row>
    <row r="50" spans="1:6">
      <c r="A50" s="1212" t="s">
        <v>32</v>
      </c>
      <c r="B50" s="1212" t="s">
        <v>41</v>
      </c>
      <c r="C50" s="335">
        <v>0</v>
      </c>
      <c r="D50" s="335">
        <v>0</v>
      </c>
      <c r="E50" s="335">
        <v>0</v>
      </c>
      <c r="F50" s="335">
        <v>0</v>
      </c>
    </row>
    <row r="51" spans="1:6">
      <c r="A51" s="1212" t="s">
        <v>42</v>
      </c>
      <c r="B51" s="1212" t="s">
        <v>43</v>
      </c>
      <c r="C51" s="335">
        <v>0</v>
      </c>
      <c r="D51" s="335">
        <v>0</v>
      </c>
      <c r="E51" s="335">
        <v>28</v>
      </c>
      <c r="F51" s="335">
        <v>325663.292065894</v>
      </c>
    </row>
    <row r="52" spans="1:6">
      <c r="A52" s="1212" t="s">
        <v>42</v>
      </c>
      <c r="B52" s="1212" t="s">
        <v>29</v>
      </c>
      <c r="C52" s="335">
        <v>4</v>
      </c>
      <c r="D52" s="335">
        <v>219134.73825807599</v>
      </c>
      <c r="E52" s="335">
        <v>10</v>
      </c>
      <c r="F52" s="335">
        <v>175040.66460570699</v>
      </c>
    </row>
    <row r="53" spans="1:6">
      <c r="A53" s="1212" t="s">
        <v>44</v>
      </c>
      <c r="B53" s="1212" t="s">
        <v>45</v>
      </c>
      <c r="C53" s="335">
        <v>51</v>
      </c>
      <c r="D53" s="335">
        <v>2472416.54788937</v>
      </c>
      <c r="E53" s="335">
        <v>145</v>
      </c>
      <c r="F53" s="335">
        <v>780113.66400080605</v>
      </c>
    </row>
    <row r="54" spans="1:6">
      <c r="A54" s="1212" t="s">
        <v>46</v>
      </c>
      <c r="B54" s="1212" t="s">
        <v>47</v>
      </c>
      <c r="C54" s="335">
        <v>0</v>
      </c>
      <c r="D54" s="335">
        <v>0</v>
      </c>
      <c r="E54" s="335">
        <v>1</v>
      </c>
      <c r="F54" s="335">
        <v>1164960</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14</v>
      </c>
      <c r="D57" s="335">
        <v>497958.52926982398</v>
      </c>
      <c r="E57" s="335">
        <v>64</v>
      </c>
      <c r="F57" s="335">
        <v>1192254.1576592501</v>
      </c>
    </row>
    <row r="58" spans="1:6">
      <c r="A58" s="1212" t="s">
        <v>49</v>
      </c>
      <c r="B58" s="1212" t="s">
        <v>51</v>
      </c>
      <c r="C58" s="335">
        <v>9</v>
      </c>
      <c r="D58" s="335">
        <v>316251.62100182101</v>
      </c>
      <c r="E58" s="335">
        <v>37</v>
      </c>
      <c r="F58" s="335">
        <v>356159.78431004001</v>
      </c>
    </row>
    <row r="59" spans="1:6">
      <c r="A59" s="1212" t="s">
        <v>49</v>
      </c>
      <c r="B59" s="1212" t="s">
        <v>52</v>
      </c>
      <c r="C59" s="335">
        <v>22</v>
      </c>
      <c r="D59" s="335">
        <v>819892.535511347</v>
      </c>
      <c r="E59" s="335">
        <v>94</v>
      </c>
      <c r="F59" s="335">
        <v>3858480.78826275</v>
      </c>
    </row>
    <row r="60" spans="1:6">
      <c r="A60" s="1212" t="s">
        <v>49</v>
      </c>
      <c r="B60" s="1212" t="s">
        <v>53</v>
      </c>
      <c r="C60" s="335">
        <v>21</v>
      </c>
      <c r="D60" s="335">
        <v>869717.32583565195</v>
      </c>
      <c r="E60" s="335">
        <v>49</v>
      </c>
      <c r="F60" s="335">
        <v>962367.42449896096</v>
      </c>
    </row>
    <row r="61" spans="1:6">
      <c r="A61" s="1212" t="s">
        <v>49</v>
      </c>
      <c r="B61" s="1212" t="s">
        <v>54</v>
      </c>
      <c r="C61" s="335">
        <v>62</v>
      </c>
      <c r="D61" s="335">
        <v>2857697.8832125599</v>
      </c>
      <c r="E61" s="335">
        <v>256</v>
      </c>
      <c r="F61" s="335">
        <v>3499589.25010589</v>
      </c>
    </row>
    <row r="62" spans="1:6">
      <c r="A62" s="1212" t="s">
        <v>49</v>
      </c>
      <c r="B62" s="1212" t="s">
        <v>55</v>
      </c>
      <c r="C62" s="335">
        <v>3</v>
      </c>
      <c r="D62" s="335">
        <v>1775413.7057644599</v>
      </c>
      <c r="E62" s="335">
        <v>12</v>
      </c>
      <c r="F62" s="335">
        <v>624290.80747481901</v>
      </c>
    </row>
    <row r="63" spans="1:6">
      <c r="A63" s="1212" t="s">
        <v>49</v>
      </c>
      <c r="B63" s="1212" t="s">
        <v>29</v>
      </c>
      <c r="C63" s="335">
        <v>74</v>
      </c>
      <c r="D63" s="335">
        <v>2207904.9906078898</v>
      </c>
      <c r="E63" s="335">
        <v>106</v>
      </c>
      <c r="F63" s="335">
        <v>2516347.7544659101</v>
      </c>
    </row>
    <row r="64" spans="1:6">
      <c r="A64" s="1212" t="s">
        <v>56</v>
      </c>
      <c r="B64" s="1212" t="s">
        <v>57</v>
      </c>
      <c r="C64" s="335">
        <v>0</v>
      </c>
      <c r="D64" s="335">
        <v>0</v>
      </c>
      <c r="E64" s="335">
        <v>0</v>
      </c>
      <c r="F64" s="335">
        <v>0</v>
      </c>
    </row>
    <row r="65" spans="1:6">
      <c r="A65" s="1212" t="s">
        <v>56</v>
      </c>
      <c r="B65" s="1212" t="s">
        <v>29</v>
      </c>
      <c r="C65" s="335">
        <v>4</v>
      </c>
      <c r="D65" s="335">
        <v>71468.642571963297</v>
      </c>
      <c r="E65" s="335">
        <v>2</v>
      </c>
      <c r="F65" s="335">
        <v>4761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7</v>
      </c>
      <c r="F68" s="335">
        <v>29996.543548160898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34897883</v>
      </c>
      <c r="E73" s="335">
        <v>39004321.44021707</v>
      </c>
    </row>
    <row r="74" spans="1:6">
      <c r="A74" s="1212" t="s">
        <v>64</v>
      </c>
      <c r="B74" s="1212" t="s">
        <v>727</v>
      </c>
      <c r="C74" s="1212" t="s">
        <v>728</v>
      </c>
      <c r="D74" s="335">
        <v>3023679.6623746972</v>
      </c>
      <c r="E74" s="335">
        <v>3403499.9615664319</v>
      </c>
    </row>
    <row r="75" spans="1:6">
      <c r="A75" s="1212" t="s">
        <v>65</v>
      </c>
      <c r="B75" s="1212" t="s">
        <v>725</v>
      </c>
      <c r="C75" s="1212" t="s">
        <v>729</v>
      </c>
      <c r="D75" s="335">
        <v>26206664</v>
      </c>
      <c r="E75" s="335">
        <v>28885145.087026451</v>
      </c>
    </row>
    <row r="76" spans="1:6">
      <c r="A76" s="1212" t="s">
        <v>65</v>
      </c>
      <c r="B76" s="1212" t="s">
        <v>727</v>
      </c>
      <c r="C76" s="1212" t="s">
        <v>730</v>
      </c>
      <c r="D76" s="335">
        <v>1731355.6623746972</v>
      </c>
      <c r="E76" s="335">
        <v>1927436.7236967636</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479650.67525060551</v>
      </c>
      <c r="C83" s="335">
        <v>475449.26273762615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87.134529147982065</v>
      </c>
    </row>
    <row r="90" spans="1:6">
      <c r="A90" s="1212" t="s">
        <v>562</v>
      </c>
      <c r="B90" s="1225">
        <v>0</v>
      </c>
    </row>
    <row r="91" spans="1:6">
      <c r="A91" s="1212" t="s">
        <v>68</v>
      </c>
      <c r="B91" s="335">
        <v>2855.2098507099295</v>
      </c>
    </row>
    <row r="92" spans="1:6">
      <c r="A92" s="1208" t="s">
        <v>69</v>
      </c>
      <c r="B92" s="338">
        <v>687.52127972561505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689</v>
      </c>
    </row>
    <row r="98" spans="1:6">
      <c r="A98" s="1212" t="s">
        <v>72</v>
      </c>
      <c r="B98" s="335">
        <v>1</v>
      </c>
    </row>
    <row r="99" spans="1:6">
      <c r="A99" s="1212" t="s">
        <v>73</v>
      </c>
      <c r="B99" s="335">
        <v>140</v>
      </c>
    </row>
    <row r="100" spans="1:6">
      <c r="A100" s="1212" t="s">
        <v>74</v>
      </c>
      <c r="B100" s="335">
        <v>474</v>
      </c>
    </row>
    <row r="101" spans="1:6">
      <c r="A101" s="1212" t="s">
        <v>75</v>
      </c>
      <c r="B101" s="335">
        <v>57</v>
      </c>
    </row>
    <row r="102" spans="1:6">
      <c r="A102" s="1212" t="s">
        <v>76</v>
      </c>
      <c r="B102" s="335">
        <v>47</v>
      </c>
    </row>
    <row r="103" spans="1:6">
      <c r="A103" s="1212" t="s">
        <v>77</v>
      </c>
      <c r="B103" s="335">
        <v>149</v>
      </c>
    </row>
    <row r="104" spans="1:6">
      <c r="A104" s="1212" t="s">
        <v>78</v>
      </c>
      <c r="B104" s="335">
        <v>3452</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16</v>
      </c>
      <c r="C123" s="335">
        <v>16</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116</v>
      </c>
    </row>
    <row r="130" spans="1:6">
      <c r="A130" s="1212" t="s">
        <v>295</v>
      </c>
      <c r="B130" s="335">
        <v>1</v>
      </c>
    </row>
    <row r="131" spans="1:6">
      <c r="A131" s="1212" t="s">
        <v>296</v>
      </c>
      <c r="B131" s="335">
        <v>4</v>
      </c>
    </row>
    <row r="132" spans="1:6">
      <c r="A132" s="1208" t="s">
        <v>297</v>
      </c>
      <c r="B132" s="338">
        <v>14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51698.066763247822</v>
      </c>
      <c r="C3" s="43" t="s">
        <v>170</v>
      </c>
      <c r="D3" s="43"/>
      <c r="E3" s="156"/>
      <c r="F3" s="43"/>
      <c r="G3" s="43"/>
      <c r="H3" s="43"/>
      <c r="I3" s="43"/>
      <c r="J3" s="43"/>
      <c r="K3" s="96"/>
    </row>
    <row r="4" spans="1:11">
      <c r="A4" s="366" t="s">
        <v>171</v>
      </c>
      <c r="B4" s="49">
        <f>IF(ISERROR('SEAP template'!B69),0,'SEAP template'!B69)</f>
        <v>3629.8656595835264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0.20548297274941343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1164.96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1164.96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0.20548297274941343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239.37944393415668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25873.598829166502</v>
      </c>
      <c r="C5" s="17">
        <f>IF(ISERROR('Eigen informatie GS &amp; warmtenet'!B57),0,'Eigen informatie GS &amp; warmtenet'!B57)</f>
        <v>0</v>
      </c>
      <c r="D5" s="30">
        <f>(SUM(HH_hh_gas_kWh,HH_rest_gas_kWh)/1000)*0.902</f>
        <v>35827.183988810175</v>
      </c>
      <c r="E5" s="17">
        <f>B46*B57</f>
        <v>5830.2092350239573</v>
      </c>
      <c r="F5" s="17">
        <f>B51*B62</f>
        <v>55770.212323141852</v>
      </c>
      <c r="G5" s="18"/>
      <c r="H5" s="17"/>
      <c r="I5" s="17"/>
      <c r="J5" s="17">
        <f>B50*B61+C50*C61</f>
        <v>427.17228276436708</v>
      </c>
      <c r="K5" s="17"/>
      <c r="L5" s="17"/>
      <c r="M5" s="17"/>
      <c r="N5" s="17">
        <f>B48*B59+C48*C59</f>
        <v>8898.9340467072161</v>
      </c>
      <c r="O5" s="17">
        <f>B69*B70*B71</f>
        <v>206.35999999999999</v>
      </c>
      <c r="P5" s="17">
        <f>B77*B78*B79/1000-B77*B78*B79/1000/B80</f>
        <v>572</v>
      </c>
    </row>
    <row r="6" spans="1:16">
      <c r="A6" s="16" t="s">
        <v>634</v>
      </c>
      <c r="B6" s="831">
        <f>kWh_PV_kleiner_dan_10kW</f>
        <v>2855.2098507099295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28728.808679876431</v>
      </c>
      <c r="C8" s="21">
        <f>C5</f>
        <v>0</v>
      </c>
      <c r="D8" s="21">
        <f>D5</f>
        <v>35827.183988810175</v>
      </c>
      <c r="E8" s="21">
        <f>E5</f>
        <v>5830.2092350239573</v>
      </c>
      <c r="F8" s="21">
        <f>F5</f>
        <v>55770.212323141852</v>
      </c>
      <c r="G8" s="21"/>
      <c r="H8" s="21"/>
      <c r="I8" s="21"/>
      <c r="J8" s="21">
        <f>J5</f>
        <v>427.17228276436708</v>
      </c>
      <c r="K8" s="21"/>
      <c r="L8" s="21">
        <f>L5</f>
        <v>0</v>
      </c>
      <c r="M8" s="21">
        <f>M5</f>
        <v>0</v>
      </c>
      <c r="N8" s="21">
        <f>N5</f>
        <v>8898.9340467072161</v>
      </c>
      <c r="O8" s="21">
        <f>O5</f>
        <v>206.35999999999999</v>
      </c>
      <c r="P8" s="21">
        <f>P5</f>
        <v>572</v>
      </c>
    </row>
    <row r="9" spans="1:16">
      <c r="B9" s="19"/>
      <c r="C9" s="19"/>
      <c r="D9" s="261"/>
      <c r="E9" s="19"/>
      <c r="F9" s="19"/>
      <c r="G9" s="19"/>
      <c r="H9" s="19"/>
      <c r="I9" s="19"/>
      <c r="J9" s="19"/>
      <c r="K9" s="19"/>
      <c r="L9" s="19"/>
      <c r="M9" s="19"/>
      <c r="N9" s="19"/>
      <c r="O9" s="19"/>
      <c r="P9" s="19"/>
    </row>
    <row r="10" spans="1:16">
      <c r="A10" s="24" t="s">
        <v>214</v>
      </c>
      <c r="B10" s="25">
        <f ca="1">'EF ele_warmte'!B12</f>
        <v>0.20548297274941343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5903.281011090161</v>
      </c>
      <c r="C12" s="23">
        <f ca="1">C10*C8</f>
        <v>0</v>
      </c>
      <c r="D12" s="23">
        <f>D8*D10</f>
        <v>7237.0911657396555</v>
      </c>
      <c r="E12" s="23">
        <f>E10*E8</f>
        <v>1323.4574963504383</v>
      </c>
      <c r="F12" s="23">
        <f>F10*F8</f>
        <v>14890.646690278876</v>
      </c>
      <c r="G12" s="23"/>
      <c r="H12" s="23"/>
      <c r="I12" s="23"/>
      <c r="J12" s="23">
        <f>J10*J8</f>
        <v>151.21898809858595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689</v>
      </c>
      <c r="C18" s="168" t="s">
        <v>111</v>
      </c>
      <c r="D18" s="230"/>
      <c r="E18" s="15"/>
    </row>
    <row r="19" spans="1:7">
      <c r="A19" s="173" t="s">
        <v>72</v>
      </c>
      <c r="B19" s="37">
        <f>aantalw2001_ander</f>
        <v>1</v>
      </c>
      <c r="C19" s="168" t="s">
        <v>111</v>
      </c>
      <c r="D19" s="231"/>
      <c r="E19" s="15"/>
    </row>
    <row r="20" spans="1:7">
      <c r="A20" s="173" t="s">
        <v>73</v>
      </c>
      <c r="B20" s="37">
        <f>aantalw2001_propaan</f>
        <v>140</v>
      </c>
      <c r="C20" s="169">
        <f>IF(ISERROR(B20/SUM($B$20,$B$21,$B$22)*100),0,B20/SUM($B$20,$B$21,$B$22)*100)</f>
        <v>20.864381520119224</v>
      </c>
      <c r="D20" s="231"/>
      <c r="E20" s="15"/>
    </row>
    <row r="21" spans="1:7">
      <c r="A21" s="173" t="s">
        <v>74</v>
      </c>
      <c r="B21" s="37">
        <f>aantalw2001_elektriciteit</f>
        <v>474</v>
      </c>
      <c r="C21" s="169">
        <f>IF(ISERROR(B21/SUM($B$20,$B$21,$B$22)*100),0,B21/SUM($B$20,$B$21,$B$22)*100)</f>
        <v>70.640834575260797</v>
      </c>
      <c r="D21" s="231"/>
      <c r="E21" s="15"/>
    </row>
    <row r="22" spans="1:7">
      <c r="A22" s="173" t="s">
        <v>75</v>
      </c>
      <c r="B22" s="37">
        <f>aantalw2001_hout</f>
        <v>57</v>
      </c>
      <c r="C22" s="169">
        <f>IF(ISERROR(B22/SUM($B$20,$B$21,$B$22)*100),0,B22/SUM($B$20,$B$21,$B$22)*100)</f>
        <v>8.49478390461997</v>
      </c>
      <c r="D22" s="231"/>
      <c r="E22" s="15"/>
    </row>
    <row r="23" spans="1:7">
      <c r="A23" s="173" t="s">
        <v>76</v>
      </c>
      <c r="B23" s="37">
        <f>aantalw2001_niet_gespec</f>
        <v>47</v>
      </c>
      <c r="C23" s="168" t="s">
        <v>111</v>
      </c>
      <c r="D23" s="230"/>
      <c r="E23" s="15"/>
    </row>
    <row r="24" spans="1:7">
      <c r="A24" s="173" t="s">
        <v>77</v>
      </c>
      <c r="B24" s="37">
        <f>aantalw2001_steenkool</f>
        <v>149</v>
      </c>
      <c r="C24" s="168" t="s">
        <v>111</v>
      </c>
      <c r="D24" s="231"/>
      <c r="E24" s="15"/>
    </row>
    <row r="25" spans="1:7">
      <c r="A25" s="173" t="s">
        <v>78</v>
      </c>
      <c r="B25" s="37">
        <f>aantalw2001_stookolie</f>
        <v>3452</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5661</v>
      </c>
      <c r="C28" s="36"/>
      <c r="D28" s="230"/>
    </row>
    <row r="29" spans="1:7" s="15" customFormat="1">
      <c r="A29" s="232" t="s">
        <v>746</v>
      </c>
      <c r="B29" s="37">
        <f>SUM(HH_hh_gas_aantal,HH_rest_gas_aantal)</f>
        <v>2074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2074</v>
      </c>
      <c r="C32" s="169">
        <f>IF(ISERROR(B32/SUM($B$32,$B$34,$B$35,$B$36,$B$38,$B$39)*100),0,B32/SUM($B$32,$B$34,$B$35,$B$36,$B$38,$B$39)*100)</f>
        <v>36.831823832356598</v>
      </c>
      <c r="D32" s="235"/>
      <c r="G32" s="15"/>
    </row>
    <row r="33" spans="1:7">
      <c r="A33" s="173" t="s">
        <v>72</v>
      </c>
      <c r="B33" s="34" t="s">
        <v>111</v>
      </c>
      <c r="C33" s="169"/>
      <c r="D33" s="235"/>
      <c r="G33" s="15"/>
    </row>
    <row r="34" spans="1:7">
      <c r="A34" s="173" t="s">
        <v>73</v>
      </c>
      <c r="B34" s="33">
        <f>IF((($B$28-$B$32-$B$39-$B$77-$B$38)*C20/100)&lt;0,0,($B$28-$B$32-$B$39-$B$77-$B$38)*C20/100)</f>
        <v>279.79135618479881</v>
      </c>
      <c r="C34" s="169">
        <f>IF(ISERROR(B34/SUM($B$32,$B$34,$B$35,$B$36,$B$38,$B$39)*100),0,B34/SUM($B$32,$B$34,$B$35,$B$36,$B$38,$B$39)*100)</f>
        <v>4.9687685346261556</v>
      </c>
      <c r="D34" s="235"/>
      <c r="G34" s="15"/>
    </row>
    <row r="35" spans="1:7">
      <c r="A35" s="173" t="s">
        <v>74</v>
      </c>
      <c r="B35" s="33">
        <f>IF((($B$28-$B$32-$B$39-$B$77-$B$38)*C21/100)&lt;0,0,($B$28-$B$32-$B$39-$B$77-$B$38)*C21/100)</f>
        <v>947.29359165424728</v>
      </c>
      <c r="C35" s="169">
        <f>IF(ISERROR(B35/SUM($B$32,$B$34,$B$35,$B$36,$B$38,$B$39)*100),0,B35/SUM($B$32,$B$34,$B$35,$B$36,$B$38,$B$39)*100)</f>
        <v>16.822830610091412</v>
      </c>
      <c r="D35" s="235"/>
      <c r="G35" s="15"/>
    </row>
    <row r="36" spans="1:7">
      <c r="A36" s="173" t="s">
        <v>75</v>
      </c>
      <c r="B36" s="33">
        <f>IF((($B$28-$B$32-$B$39-$B$77-$B$38)*C22/100)&lt;0,0,($B$28-$B$32-$B$39-$B$77-$B$38)*C22/100)</f>
        <v>113.91505216095381</v>
      </c>
      <c r="C36" s="169">
        <f>IF(ISERROR(B36/SUM($B$32,$B$34,$B$35,$B$36,$B$38,$B$39)*100),0,B36/SUM($B$32,$B$34,$B$35,$B$36,$B$38,$B$39)*100)</f>
        <v>2.0229986176692205</v>
      </c>
      <c r="D36" s="235"/>
      <c r="G36" s="15"/>
    </row>
    <row r="37" spans="1:7">
      <c r="A37" s="173" t="s">
        <v>76</v>
      </c>
      <c r="B37" s="34" t="s">
        <v>111</v>
      </c>
      <c r="C37" s="169"/>
      <c r="D37" s="175"/>
      <c r="G37" s="15"/>
    </row>
    <row r="38" spans="1:7">
      <c r="A38" s="173" t="s">
        <v>77</v>
      </c>
      <c r="B38" s="33">
        <f>IF((B24-(B29-B18)*0.1)&lt;0,0,B24-(B29-B18)*0.1)</f>
        <v>10.5</v>
      </c>
      <c r="C38" s="169">
        <f>IF(ISERROR(B38/SUM($B$32,$B$34,$B$35,$B$36,$B$38,$B$39)*100),0,B38/SUM($B$32,$B$34,$B$35,$B$36,$B$38,$B$39)*100)</f>
        <v>0.18646776771443793</v>
      </c>
      <c r="D38" s="236"/>
      <c r="G38" s="15"/>
    </row>
    <row r="39" spans="1:7">
      <c r="A39" s="173" t="s">
        <v>78</v>
      </c>
      <c r="B39" s="33">
        <f>IF((B25-(B29-B18))&lt;0,0,B25-(B29-B18)*0.9)</f>
        <v>2205.5</v>
      </c>
      <c r="C39" s="169">
        <f>IF(ISERROR(B39/SUM($B$32,$B$34,$B$35,$B$36,$B$38,$B$39)*100),0,B39/SUM($B$32,$B$34,$B$35,$B$36,$B$38,$B$39)*100)</f>
        <v>39.16711063754218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2074</v>
      </c>
      <c r="C44" s="34" t="s">
        <v>111</v>
      </c>
      <c r="D44" s="176"/>
    </row>
    <row r="45" spans="1:7">
      <c r="A45" s="173" t="s">
        <v>72</v>
      </c>
      <c r="B45" s="33" t="str">
        <f t="shared" si="0"/>
        <v>-</v>
      </c>
      <c r="C45" s="34" t="s">
        <v>111</v>
      </c>
      <c r="D45" s="176"/>
    </row>
    <row r="46" spans="1:7">
      <c r="A46" s="173" t="s">
        <v>73</v>
      </c>
      <c r="B46" s="33">
        <f t="shared" si="0"/>
        <v>279.79135618479881</v>
      </c>
      <c r="C46" s="34" t="s">
        <v>111</v>
      </c>
      <c r="D46" s="176"/>
    </row>
    <row r="47" spans="1:7">
      <c r="A47" s="173" t="s">
        <v>74</v>
      </c>
      <c r="B47" s="33">
        <f t="shared" si="0"/>
        <v>947.29359165424728</v>
      </c>
      <c r="C47" s="34" t="s">
        <v>111</v>
      </c>
      <c r="D47" s="176"/>
    </row>
    <row r="48" spans="1:7">
      <c r="A48" s="173" t="s">
        <v>75</v>
      </c>
      <c r="B48" s="33">
        <f t="shared" si="0"/>
        <v>113.91505216095381</v>
      </c>
      <c r="C48" s="33">
        <f>B48*10</f>
        <v>1139.1505216095381</v>
      </c>
      <c r="D48" s="236"/>
    </row>
    <row r="49" spans="1:6">
      <c r="A49" s="173" t="s">
        <v>76</v>
      </c>
      <c r="B49" s="33" t="str">
        <f t="shared" si="0"/>
        <v>-</v>
      </c>
      <c r="C49" s="34" t="s">
        <v>111</v>
      </c>
      <c r="D49" s="236"/>
    </row>
    <row r="50" spans="1:6">
      <c r="A50" s="173" t="s">
        <v>77</v>
      </c>
      <c r="B50" s="33">
        <f t="shared" si="0"/>
        <v>10.5</v>
      </c>
      <c r="C50" s="33">
        <f>B50*2</f>
        <v>21</v>
      </c>
      <c r="D50" s="236"/>
    </row>
    <row r="51" spans="1:6">
      <c r="A51" s="173" t="s">
        <v>78</v>
      </c>
      <c r="B51" s="33">
        <f t="shared" si="0"/>
        <v>2205.5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13009.489966777623</v>
      </c>
      <c r="C5" s="17">
        <f>IF(ISERROR('Eigen informatie GS &amp; warmtenet'!B58),0,'Eigen informatie GS &amp; warmtenet'!B58)</f>
        <v>0</v>
      </c>
      <c r="D5" s="30">
        <f>SUM(D6:D12)</f>
        <v>8429.0426052656057</v>
      </c>
      <c r="E5" s="17">
        <f>SUM(E6:E12)</f>
        <v>160.38548371508065</v>
      </c>
      <c r="F5" s="17">
        <f>SUM(F6:F12)</f>
        <v>2612.7467760576706</v>
      </c>
      <c r="G5" s="18"/>
      <c r="H5" s="17"/>
      <c r="I5" s="17"/>
      <c r="J5" s="17">
        <f>SUM(J6:J12)</f>
        <v>0</v>
      </c>
      <c r="K5" s="17"/>
      <c r="L5" s="17"/>
      <c r="M5" s="17"/>
      <c r="N5" s="17">
        <f>SUM(N6:N12)</f>
        <v>1047.0571803207354</v>
      </c>
      <c r="O5" s="17">
        <f>B38*B39*B40</f>
        <v>1.5633333333333335</v>
      </c>
      <c r="P5" s="17">
        <f>B46*B47*B48/1000-B46*B47*B48/1000/B49</f>
        <v>76.266666666666666</v>
      </c>
      <c r="R5" s="32"/>
    </row>
    <row r="6" spans="1:18">
      <c r="A6" s="32" t="s">
        <v>54</v>
      </c>
      <c r="B6" s="37">
        <f>B26</f>
        <v>3499.5892501058902</v>
      </c>
      <c r="C6" s="33"/>
      <c r="D6" s="37">
        <f>IF(ISERROR(TER_kantoor_gas_kWh/1000),0,TER_kantoor_gas_kWh/1000)*0.902</f>
        <v>2577.6434906577288</v>
      </c>
      <c r="E6" s="33">
        <f>$C$26*'E Balans VL '!I12/100/3.6*1000000</f>
        <v>13.596645142874413</v>
      </c>
      <c r="F6" s="33">
        <f>$C$26*('E Balans VL '!L12+'E Balans VL '!N12)/100/3.6*1000000</f>
        <v>532.25568121773188</v>
      </c>
      <c r="G6" s="34"/>
      <c r="H6" s="33"/>
      <c r="I6" s="33"/>
      <c r="J6" s="33">
        <f>$C$26*('E Balans VL '!D12+'E Balans VL '!E12)/100/3.6*1000000</f>
        <v>0</v>
      </c>
      <c r="K6" s="33"/>
      <c r="L6" s="33"/>
      <c r="M6" s="33"/>
      <c r="N6" s="33">
        <f>$C$26*'E Balans VL '!Y12/100/3.6*1000000</f>
        <v>1.9286929172758971</v>
      </c>
      <c r="O6" s="33"/>
      <c r="P6" s="33"/>
      <c r="R6" s="32"/>
    </row>
    <row r="7" spans="1:18">
      <c r="A7" s="32" t="s">
        <v>53</v>
      </c>
      <c r="B7" s="37">
        <f t="shared" ref="B7:B12" si="0">B27</f>
        <v>962.36742449896099</v>
      </c>
      <c r="C7" s="33"/>
      <c r="D7" s="37">
        <f>IF(ISERROR(TER_horeca_gas_kWh/1000),0,TER_horeca_gas_kWh/1000)*0.902</f>
        <v>784.48502790375812</v>
      </c>
      <c r="E7" s="33">
        <f>$C$27*'E Balans VL '!I9/100/3.6*1000000</f>
        <v>54.210414316446617</v>
      </c>
      <c r="F7" s="33">
        <f>$C$27*('E Balans VL '!L9+'E Balans VL '!N9)/100/3.6*1000000</f>
        <v>277.4891494639636</v>
      </c>
      <c r="G7" s="34"/>
      <c r="H7" s="33"/>
      <c r="I7" s="33"/>
      <c r="J7" s="33">
        <f>$C$27*('E Balans VL '!D9+'E Balans VL '!E9)/100/3.6*1000000</f>
        <v>0</v>
      </c>
      <c r="K7" s="33"/>
      <c r="L7" s="33"/>
      <c r="M7" s="33"/>
      <c r="N7" s="33">
        <f>$C$27*'E Balans VL '!Y9/100/3.6*1000000</f>
        <v>0.26570464497250323</v>
      </c>
      <c r="O7" s="33"/>
      <c r="P7" s="33"/>
      <c r="R7" s="32"/>
    </row>
    <row r="8" spans="1:18">
      <c r="A8" s="6" t="s">
        <v>52</v>
      </c>
      <c r="B8" s="37">
        <f t="shared" si="0"/>
        <v>3858.4807882627501</v>
      </c>
      <c r="C8" s="33"/>
      <c r="D8" s="37">
        <f>IF(ISERROR(TER_handel_gas_kWh/1000),0,TER_handel_gas_kWh/1000)*0.902</f>
        <v>739.54306703123495</v>
      </c>
      <c r="E8" s="33">
        <f>$C$28*'E Balans VL '!I13/100/3.6*1000000</f>
        <v>55.613798681992165</v>
      </c>
      <c r="F8" s="33">
        <f>$C$28*('E Balans VL '!L13+'E Balans VL '!N13)/100/3.6*1000000</f>
        <v>670.30797087528663</v>
      </c>
      <c r="G8" s="34"/>
      <c r="H8" s="33"/>
      <c r="I8" s="33"/>
      <c r="J8" s="33">
        <f>$C$28*('E Balans VL '!D13+'E Balans VL '!E13)/100/3.6*1000000</f>
        <v>0</v>
      </c>
      <c r="K8" s="33"/>
      <c r="L8" s="33"/>
      <c r="M8" s="33"/>
      <c r="N8" s="33">
        <f>$C$28*'E Balans VL '!Y13/100/3.6*1000000</f>
        <v>11.560437976565034</v>
      </c>
      <c r="O8" s="33"/>
      <c r="P8" s="33"/>
      <c r="R8" s="32"/>
    </row>
    <row r="9" spans="1:18">
      <c r="A9" s="32" t="s">
        <v>51</v>
      </c>
      <c r="B9" s="37">
        <f t="shared" si="0"/>
        <v>356.15978431003998</v>
      </c>
      <c r="C9" s="33"/>
      <c r="D9" s="37">
        <f>IF(ISERROR(TER_gezond_gas_kWh/1000),0,TER_gezond_gas_kWh/1000)*0.902</f>
        <v>285.25896214364258</v>
      </c>
      <c r="E9" s="33">
        <f>$C$29*'E Balans VL '!I10/100/3.6*1000000</f>
        <v>0.38047096286912002</v>
      </c>
      <c r="F9" s="33">
        <f>$C$29*('E Balans VL '!L10+'E Balans VL '!N10)/100/3.6*1000000</f>
        <v>58.100484922989729</v>
      </c>
      <c r="G9" s="34"/>
      <c r="H9" s="33"/>
      <c r="I9" s="33"/>
      <c r="J9" s="33">
        <f>$C$29*('E Balans VL '!D10+'E Balans VL '!E10)/100/3.6*1000000</f>
        <v>0</v>
      </c>
      <c r="K9" s="33"/>
      <c r="L9" s="33"/>
      <c r="M9" s="33"/>
      <c r="N9" s="33">
        <f>$C$29*'E Balans VL '!Y10/100/3.6*1000000</f>
        <v>3.66646175875325</v>
      </c>
      <c r="O9" s="33"/>
      <c r="P9" s="33"/>
      <c r="R9" s="32"/>
    </row>
    <row r="10" spans="1:18">
      <c r="A10" s="32" t="s">
        <v>50</v>
      </c>
      <c r="B10" s="37">
        <f t="shared" si="0"/>
        <v>1192.25415765925</v>
      </c>
      <c r="C10" s="33"/>
      <c r="D10" s="37">
        <f>IF(ISERROR(TER_ander_gas_kWh/1000),0,TER_ander_gas_kWh/1000)*0.902</f>
        <v>449.15859340138127</v>
      </c>
      <c r="E10" s="33">
        <f>$C$30*'E Balans VL '!I14/100/3.6*1000000</f>
        <v>5.4829955157548458</v>
      </c>
      <c r="F10" s="33">
        <f>$C$30*('E Balans VL '!L14+'E Balans VL '!N14)/100/3.6*1000000</f>
        <v>357.35617812666976</v>
      </c>
      <c r="G10" s="34"/>
      <c r="H10" s="33"/>
      <c r="I10" s="33"/>
      <c r="J10" s="33">
        <f>$C$30*('E Balans VL '!D14+'E Balans VL '!E14)/100/3.6*1000000</f>
        <v>0</v>
      </c>
      <c r="K10" s="33"/>
      <c r="L10" s="33"/>
      <c r="M10" s="33"/>
      <c r="N10" s="33">
        <f>$C$30*'E Balans VL '!Y14/100/3.6*1000000</f>
        <v>829.88759534425367</v>
      </c>
      <c r="O10" s="33"/>
      <c r="P10" s="33"/>
      <c r="R10" s="32"/>
    </row>
    <row r="11" spans="1:18">
      <c r="A11" s="32" t="s">
        <v>55</v>
      </c>
      <c r="B11" s="37">
        <f t="shared" si="0"/>
        <v>624.29080747481896</v>
      </c>
      <c r="C11" s="33"/>
      <c r="D11" s="37">
        <f>IF(ISERROR(TER_onderwijs_gas_kWh/1000),0,TER_onderwijs_gas_kWh/1000)*0.902</f>
        <v>1601.423162599543</v>
      </c>
      <c r="E11" s="33">
        <f>$C$31*'E Balans VL '!I11/100/3.6*1000000</f>
        <v>0.57911182365424185</v>
      </c>
      <c r="F11" s="33">
        <f>$C$31*('E Balans VL '!L11+'E Balans VL '!N11)/100/3.6*1000000</f>
        <v>219.29901237328198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2516.3477544659099</v>
      </c>
      <c r="C12" s="33"/>
      <c r="D12" s="37">
        <f>IF(ISERROR(TER_rest_gas_kWh/1000),0,TER_rest_gas_kWh/1000)*0.902</f>
        <v>1991.5303015283168</v>
      </c>
      <c r="E12" s="33">
        <f>$C$32*'E Balans VL '!I8/100/3.6*1000000</f>
        <v>30.522047271489239</v>
      </c>
      <c r="F12" s="33">
        <f>$C$32*('E Balans VL '!L8+'E Balans VL '!N8)/100/3.6*1000000</f>
        <v>497.93829907774688</v>
      </c>
      <c r="G12" s="34"/>
      <c r="H12" s="33"/>
      <c r="I12" s="33"/>
      <c r="J12" s="33">
        <f>$C$32*('E Balans VL '!D8+'E Balans VL '!E8)/100/3.6*1000000</f>
        <v>0</v>
      </c>
      <c r="K12" s="33"/>
      <c r="L12" s="33"/>
      <c r="M12" s="33"/>
      <c r="N12" s="33">
        <f>$C$32*'E Balans VL '!Y8/100/3.6*1000000</f>
        <v>199.74828767891501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13009.489966777623</v>
      </c>
      <c r="C16" s="21">
        <f t="shared" ca="1" si="1"/>
        <v>0</v>
      </c>
      <c r="D16" s="21">
        <f t="shared" ca="1" si="1"/>
        <v>8429.0426052656057</v>
      </c>
      <c r="E16" s="21">
        <f t="shared" si="1"/>
        <v>160.38548371508065</v>
      </c>
      <c r="F16" s="21">
        <f t="shared" ca="1" si="1"/>
        <v>2612.7467760576706</v>
      </c>
      <c r="G16" s="21">
        <f t="shared" si="1"/>
        <v>0</v>
      </c>
      <c r="H16" s="21">
        <f t="shared" si="1"/>
        <v>0</v>
      </c>
      <c r="I16" s="21">
        <f t="shared" si="1"/>
        <v>0</v>
      </c>
      <c r="J16" s="21">
        <f t="shared" si="1"/>
        <v>0</v>
      </c>
      <c r="K16" s="21">
        <f t="shared" si="1"/>
        <v>0</v>
      </c>
      <c r="L16" s="21">
        <f t="shared" ca="1" si="1"/>
        <v>0</v>
      </c>
      <c r="M16" s="21">
        <f t="shared" si="1"/>
        <v>0</v>
      </c>
      <c r="N16" s="21">
        <f t="shared" ca="1" si="1"/>
        <v>1047.0571803207354</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0.20548297274941343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2673.2286723271336</v>
      </c>
      <c r="C20" s="23">
        <f t="shared" ref="C20:P20" ca="1" si="2">C16*C18</f>
        <v>0</v>
      </c>
      <c r="D20" s="23">
        <f t="shared" ca="1" si="2"/>
        <v>1702.6666062636525</v>
      </c>
      <c r="E20" s="23">
        <f t="shared" si="2"/>
        <v>36.407504803323306</v>
      </c>
      <c r="F20" s="23">
        <f t="shared" ca="1" si="2"/>
        <v>697.6033892073981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3499.5892501058902</v>
      </c>
      <c r="C26" s="39">
        <f>IF(ISERROR(B26*3.6/1000000/'E Balans VL '!Z12*100),0,B26*3.6/1000000/'E Balans VL '!Z12*100)</f>
        <v>7.4333009143415438E-2</v>
      </c>
      <c r="D26" s="239" t="s">
        <v>692</v>
      </c>
      <c r="F26" s="6"/>
    </row>
    <row r="27" spans="1:18">
      <c r="A27" s="233" t="s">
        <v>53</v>
      </c>
      <c r="B27" s="33">
        <f>IF(ISERROR(TER_horeca_ele_kWh/1000),0,TER_horeca_ele_kWh/1000)</f>
        <v>962.36742449896099</v>
      </c>
      <c r="C27" s="39">
        <f>IF(ISERROR(B27*3.6/1000000/'E Balans VL '!Z9*100),0,B27*3.6/1000000/'E Balans VL '!Z9*100)</f>
        <v>7.482992814775874E-2</v>
      </c>
      <c r="D27" s="239" t="s">
        <v>692</v>
      </c>
      <c r="F27" s="6"/>
    </row>
    <row r="28" spans="1:18">
      <c r="A28" s="173" t="s">
        <v>52</v>
      </c>
      <c r="B28" s="33">
        <f>IF(ISERROR(TER_handel_ele_kWh/1000),0,TER_handel_ele_kWh/1000)</f>
        <v>3858.4807882627501</v>
      </c>
      <c r="C28" s="39">
        <f>IF(ISERROR(B28*3.6/1000000/'E Balans VL '!Z13*100),0,B28*3.6/1000000/'E Balans VL '!Z13*100)</f>
        <v>0.110395676329828</v>
      </c>
      <c r="D28" s="239" t="s">
        <v>692</v>
      </c>
      <c r="F28" s="6"/>
    </row>
    <row r="29" spans="1:18">
      <c r="A29" s="233" t="s">
        <v>51</v>
      </c>
      <c r="B29" s="33">
        <f>IF(ISERROR(TER_gezond_ele_kWh/1000),0,TER_gezond_ele_kWh/1000)</f>
        <v>356.15978431003998</v>
      </c>
      <c r="C29" s="39">
        <f>IF(ISERROR(B29*3.6/1000000/'E Balans VL '!Z10*100),0,B29*3.6/1000000/'E Balans VL '!Z10*100)</f>
        <v>3.8829692650606644E-2</v>
      </c>
      <c r="D29" s="239" t="s">
        <v>692</v>
      </c>
      <c r="F29" s="6"/>
    </row>
    <row r="30" spans="1:18">
      <c r="A30" s="233" t="s">
        <v>50</v>
      </c>
      <c r="B30" s="33">
        <f>IF(ISERROR(TER_ander_ele_kWh/1000),0,TER_ander_ele_kWh/1000)</f>
        <v>1192.25415765925</v>
      </c>
      <c r="C30" s="39">
        <f>IF(ISERROR(B30*3.6/1000000/'E Balans VL '!Z14*100),0,B30*3.6/1000000/'E Balans VL '!Z14*100)</f>
        <v>8.724645469306018E-2</v>
      </c>
      <c r="D30" s="239" t="s">
        <v>692</v>
      </c>
      <c r="F30" s="6"/>
    </row>
    <row r="31" spans="1:18">
      <c r="A31" s="233" t="s">
        <v>55</v>
      </c>
      <c r="B31" s="33">
        <f>IF(ISERROR(TER_onderwijs_ele_kWh/1000),0,TER_onderwijs_ele_kWh/1000)</f>
        <v>624.29080747481896</v>
      </c>
      <c r="C31" s="39">
        <f>IF(ISERROR(B31*3.6/1000000/'E Balans VL '!Z11*100),0,B31*3.6/1000000/'E Balans VL '!Z11*100)</f>
        <v>0.1253892722668877</v>
      </c>
      <c r="D31" s="239" t="s">
        <v>692</v>
      </c>
    </row>
    <row r="32" spans="1:18">
      <c r="A32" s="233" t="s">
        <v>260</v>
      </c>
      <c r="B32" s="33">
        <f>IF(ISERROR(TER_rest_ele_kWh/1000),0,TER_rest_ele_kWh/1000)</f>
        <v>2516.3477544659099</v>
      </c>
      <c r="C32" s="39">
        <f>IF(ISERROR(B32*3.6/1000000/'E Balans VL '!Z8*100),0,B32*3.6/1000000/'E Balans VL '!Z8*100)</f>
        <v>2.0506707105035389E-2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8290.7676105378159</v>
      </c>
      <c r="C5" s="17">
        <f>IF(ISERROR('Eigen informatie GS &amp; warmtenet'!B59),0,'Eigen informatie GS &amp; warmtenet'!B59)</f>
        <v>0</v>
      </c>
      <c r="D5" s="30">
        <f>SUM(D6:D15)</f>
        <v>1138.262985252069</v>
      </c>
      <c r="E5" s="17">
        <f>SUM(E6:E15)</f>
        <v>599.39354540538238</v>
      </c>
      <c r="F5" s="17">
        <f>SUM(F6:F15)</f>
        <v>2289.7277075596085</v>
      </c>
      <c r="G5" s="18"/>
      <c r="H5" s="17"/>
      <c r="I5" s="17"/>
      <c r="J5" s="17">
        <f>SUM(J6:J15)</f>
        <v>16.844673100370471</v>
      </c>
      <c r="K5" s="17"/>
      <c r="L5" s="17"/>
      <c r="M5" s="17"/>
      <c r="N5" s="17">
        <f>SUM(N6:N15)</f>
        <v>1655.311493891081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914.37321783322591</v>
      </c>
      <c r="C8" s="33"/>
      <c r="D8" s="37">
        <f>IF( ISERROR(IND_metaal_Gas_kWH/1000),0,IND_metaal_Gas_kWH/1000)*0.902</f>
        <v>0</v>
      </c>
      <c r="E8" s="33">
        <f>C30*'E Balans VL '!I18/100/3.6*1000000</f>
        <v>26.264230952180501</v>
      </c>
      <c r="F8" s="33">
        <f>C30*'E Balans VL '!L18/100/3.6*1000000+C30*'E Balans VL '!N18/100/3.6*1000000</f>
        <v>234.51914444994779</v>
      </c>
      <c r="G8" s="34"/>
      <c r="H8" s="33"/>
      <c r="I8" s="33"/>
      <c r="J8" s="40">
        <f>C30*'E Balans VL '!D18/100/3.6*1000000+C30*'E Balans VL '!E18/100/3.6*1000000</f>
        <v>0</v>
      </c>
      <c r="K8" s="33"/>
      <c r="L8" s="33"/>
      <c r="M8" s="33"/>
      <c r="N8" s="33">
        <f>C30*'E Balans VL '!Y18/100/3.6*1000000</f>
        <v>24.827099364351174</v>
      </c>
      <c r="O8" s="33"/>
      <c r="P8" s="33"/>
      <c r="R8" s="32"/>
    </row>
    <row r="9" spans="1:18">
      <c r="A9" s="6" t="s">
        <v>33</v>
      </c>
      <c r="B9" s="37">
        <f t="shared" si="0"/>
        <v>761.18029379101404</v>
      </c>
      <c r="C9" s="33"/>
      <c r="D9" s="37">
        <f>IF( ISERROR(IND_andere_gas_kWh/1000),0,IND_andere_gas_kWh/1000)*0.902</f>
        <v>355.6869247095367</v>
      </c>
      <c r="E9" s="33">
        <f>C31*'E Balans VL '!I19/100/3.6*1000000</f>
        <v>206.03279035855755</v>
      </c>
      <c r="F9" s="33">
        <f>C31*'E Balans VL '!L19/100/3.6*1000000+C31*'E Balans VL '!N19/100/3.6*1000000</f>
        <v>507.02662536594562</v>
      </c>
      <c r="G9" s="34"/>
      <c r="H9" s="33"/>
      <c r="I9" s="33"/>
      <c r="J9" s="40">
        <f>C31*'E Balans VL '!D19/100/3.6*1000000+C31*'E Balans VL '!E19/100/3.6*1000000</f>
        <v>0</v>
      </c>
      <c r="K9" s="33"/>
      <c r="L9" s="33"/>
      <c r="M9" s="33"/>
      <c r="N9" s="33">
        <f>C31*'E Balans VL '!Y19/100/3.6*1000000</f>
        <v>248.51272163559605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43.126776796596403</v>
      </c>
      <c r="C13" s="33"/>
      <c r="D13" s="37">
        <f>IF( ISERROR(IND_papier_gas_kWh/1000),0,IND_papier_gas_kWh/1000)*0.902</f>
        <v>0</v>
      </c>
      <c r="E13" s="33">
        <f>C35*'E Balans VL '!I23/100/3.6*1000000</f>
        <v>0.45183155434328542</v>
      </c>
      <c r="F13" s="33">
        <f>C35*'E Balans VL '!L23/100/3.6*1000000+C35*'E Balans VL '!N23/100/3.6*1000000</f>
        <v>3.2181277286121275</v>
      </c>
      <c r="G13" s="34"/>
      <c r="H13" s="33"/>
      <c r="I13" s="33"/>
      <c r="J13" s="40">
        <f>C35*'E Balans VL '!D23/100/3.6*1000000+C35*'E Balans VL '!E23/100/3.6*1000000</f>
        <v>0</v>
      </c>
      <c r="K13" s="33"/>
      <c r="L13" s="33"/>
      <c r="M13" s="33"/>
      <c r="N13" s="33">
        <f>C35*'E Balans VL '!Y23/100/3.6*1000000</f>
        <v>92.178983966534219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6572.0873221169804</v>
      </c>
      <c r="C15" s="33"/>
      <c r="D15" s="37">
        <f>IF( ISERROR(IND_rest_gas_kWh/1000),0,IND_rest_gas_kWh/1000)*0.902</f>
        <v>782.57606054253222</v>
      </c>
      <c r="E15" s="33">
        <f>C37*'E Balans VL '!I15/100/3.6*1000000</f>
        <v>366.64469254030109</v>
      </c>
      <c r="F15" s="33">
        <f>C37*'E Balans VL '!L15/100/3.6*1000000+C37*'E Balans VL '!N15/100/3.6*1000000</f>
        <v>1544.963810015103</v>
      </c>
      <c r="G15" s="34"/>
      <c r="H15" s="33"/>
      <c r="I15" s="33"/>
      <c r="J15" s="40">
        <f>C37*'E Balans VL '!D15/100/3.6*1000000+C37*'E Balans VL '!E15/100/3.6*1000000</f>
        <v>16.844673100370471</v>
      </c>
      <c r="K15" s="33"/>
      <c r="L15" s="33"/>
      <c r="M15" s="33"/>
      <c r="N15" s="33">
        <f>C37*'E Balans VL '!Y15/100/3.6*1000000</f>
        <v>1289.7926889245996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8290.7676105378159</v>
      </c>
      <c r="C18" s="21">
        <f>C5+C16</f>
        <v>0</v>
      </c>
      <c r="D18" s="21">
        <f>MAX((D5+D16),0)</f>
        <v>1138.262985252069</v>
      </c>
      <c r="E18" s="21">
        <f>MAX((E5+E16),0)</f>
        <v>599.39354540538238</v>
      </c>
      <c r="F18" s="21">
        <f>MAX((F5+F16),0)</f>
        <v>2289.7277075596085</v>
      </c>
      <c r="G18" s="21"/>
      <c r="H18" s="21"/>
      <c r="I18" s="21"/>
      <c r="J18" s="21">
        <f>MAX((J5+J16),0)</f>
        <v>16.844673100370471</v>
      </c>
      <c r="K18" s="21"/>
      <c r="L18" s="21">
        <f>MAX((L5+L16),0)</f>
        <v>0</v>
      </c>
      <c r="M18" s="21"/>
      <c r="N18" s="21">
        <f>MAX((N5+N16),0)</f>
        <v>1655.311493891081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0.20548297274941343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1703.6115749878616</v>
      </c>
      <c r="C22" s="23">
        <f ca="1">C18*C20</f>
        <v>0</v>
      </c>
      <c r="D22" s="23">
        <f>D18*D20</f>
        <v>229.92912302091796</v>
      </c>
      <c r="E22" s="23">
        <f>E18*E20</f>
        <v>136.06233480702181</v>
      </c>
      <c r="F22" s="23">
        <f>F18*F20</f>
        <v>611.3572979184155</v>
      </c>
      <c r="G22" s="23"/>
      <c r="H22" s="23"/>
      <c r="I22" s="23"/>
      <c r="J22" s="23">
        <f>J18*J20</f>
        <v>5.9630142775311468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914.37321783322591</v>
      </c>
      <c r="C30" s="39">
        <f>IF(ISERROR(B30*3.6/1000000/'E Balans VL '!Z18*100),0,B30*3.6/1000000/'E Balans VL '!Z18*100)</f>
        <v>8.9971990488609363E-2</v>
      </c>
      <c r="D30" s="239" t="s">
        <v>692</v>
      </c>
    </row>
    <row r="31" spans="1:18">
      <c r="A31" s="6" t="s">
        <v>33</v>
      </c>
      <c r="B31" s="37">
        <f>IF( ISERROR(IND_ander_ele_kWh/1000),0,IND_ander_ele_kWh/1000)</f>
        <v>761.18029379101404</v>
      </c>
      <c r="C31" s="39">
        <f>IF(ISERROR(B31*3.6/1000000/'E Balans VL '!Z19*100),0,B31*3.6/1000000/'E Balans VL '!Z19*100)</f>
        <v>3.3148794607059495E-2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43.126776796596403</v>
      </c>
      <c r="C35" s="39">
        <f>IF(ISERROR(B35*3.6/1000000/'E Balans VL '!Z22*100),0,B35*3.6/1000000/'E Balans VL '!Z22*100)</f>
        <v>6.0640578831955517E-3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6572.0873221169804</v>
      </c>
      <c r="C37" s="39">
        <f>IF(ISERROR(B37*3.6/1000000/'E Balans VL '!Z15*100),0,B37*3.6/1000000/'E Balans VL '!Z15*100)</f>
        <v>5.0646005004051101E-2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500.70395667160096</v>
      </c>
      <c r="C5" s="17">
        <f>'Eigen informatie GS &amp; warmtenet'!B60</f>
        <v>0</v>
      </c>
      <c r="D5" s="30">
        <f>IF(ISERROR(SUM(LB_lb_gas_kWh,LB_rest_gas_kWh,onbekend_gas_kWh)/1000),0,SUM(LB_lb_gas_kWh,LB_rest_gas_kWh,onbekend_gas_kWh)/1000)*0.902</f>
        <v>2427.779260104996</v>
      </c>
      <c r="E5" s="17">
        <f>B17*'E Balans VL '!I25/3.6*1000000/100</f>
        <v>6.3095148919078312</v>
      </c>
      <c r="F5" s="17">
        <f>B17*('E Balans VL '!L25/3.6*1000000+'E Balans VL '!N25/3.6*1000000)/100</f>
        <v>1727.5540843531487</v>
      </c>
      <c r="G5" s="18"/>
      <c r="H5" s="17"/>
      <c r="I5" s="17"/>
      <c r="J5" s="17">
        <f>('E Balans VL '!D25+'E Balans VL '!E25)/3.6*1000000*landbouw!B17/100</f>
        <v>75.300183281711725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500.70395667160096</v>
      </c>
      <c r="C8" s="21">
        <f>C5+C6</f>
        <v>0</v>
      </c>
      <c r="D8" s="21">
        <f>MAX((D5+D6),0)</f>
        <v>2427.779260104996</v>
      </c>
      <c r="E8" s="21">
        <f>MAX((E5+E6),0)</f>
        <v>6.3095148919078312</v>
      </c>
      <c r="F8" s="21">
        <f>MAX((F5+F6),0)</f>
        <v>1727.5540843531487</v>
      </c>
      <c r="G8" s="21"/>
      <c r="H8" s="21"/>
      <c r="I8" s="21"/>
      <c r="J8" s="21">
        <f>MAX((J5+J6),0)</f>
        <v>75.300183281711725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0.20548297274941343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102.88613748427406</v>
      </c>
      <c r="C12" s="23">
        <f ca="1">C8*C10</f>
        <v>0</v>
      </c>
      <c r="D12" s="23">
        <f>D8*D10</f>
        <v>490.41141054120919</v>
      </c>
      <c r="E12" s="23">
        <f>E8*E10</f>
        <v>1.4322598804630777</v>
      </c>
      <c r="F12" s="23">
        <f>F8*F10</f>
        <v>461.25694052229073</v>
      </c>
      <c r="G12" s="23"/>
      <c r="H12" s="23"/>
      <c r="I12" s="23"/>
      <c r="J12" s="23">
        <f>J8*J10</f>
        <v>26.656264881725949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6.9832420683018537E-2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75.081664938359921</v>
      </c>
      <c r="C26" s="249">
        <f>B26*'GWP N2O_CH4'!B5</f>
        <v>1576.7149637055584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30.203440196247019</v>
      </c>
      <c r="C27" s="249">
        <f>B27*'GWP N2O_CH4'!B5</f>
        <v>634.27224412118744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1.3949868813141579</v>
      </c>
      <c r="C28" s="249">
        <f>B28*'GWP N2O_CH4'!B4</f>
        <v>432.44593320738898</v>
      </c>
      <c r="D28" s="50"/>
    </row>
    <row r="29" spans="1:4">
      <c r="A29" s="41" t="s">
        <v>277</v>
      </c>
      <c r="B29" s="249">
        <f>B34*'ha_N2O bodem landbouw'!B4</f>
        <v>6.4569805847554811</v>
      </c>
      <c r="C29" s="249">
        <f>B29*'GWP N2O_CH4'!B4</f>
        <v>2001.6639812741992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1.6122435320626751E-3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1.2011577783658321E-5</v>
      </c>
      <c r="C5" s="448" t="s">
        <v>211</v>
      </c>
      <c r="D5" s="433">
        <f>SUM(D6:D11)</f>
        <v>2.2712385603373615E-5</v>
      </c>
      <c r="E5" s="433">
        <f>SUM(E6:E11)</f>
        <v>6.811016434114124E-4</v>
      </c>
      <c r="F5" s="446" t="s">
        <v>211</v>
      </c>
      <c r="G5" s="433">
        <f>SUM(G6:G11)</f>
        <v>0.16796214711380672</v>
      </c>
      <c r="H5" s="433">
        <f>SUM(H6:H11)</f>
        <v>3.3774685857894692E-2</v>
      </c>
      <c r="I5" s="448" t="s">
        <v>211</v>
      </c>
      <c r="J5" s="448" t="s">
        <v>211</v>
      </c>
      <c r="K5" s="448" t="s">
        <v>211</v>
      </c>
      <c r="L5" s="448" t="s">
        <v>211</v>
      </c>
      <c r="M5" s="433">
        <f>SUM(M6:M11)</f>
        <v>9.0229411295191728E-3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6.8600236270388752E-6</v>
      </c>
      <c r="C6" s="949"/>
      <c r="D6" s="949">
        <f>vkm_2011_GW_PW*SUMIFS(TableVerdeelsleutelVkm[CNG],TableVerdeelsleutelVkm[Voertuigtype],"Lichte voertuigen")*SUMIFS(TableECFTransport[EnergieConsumptieFactor (PJ per km)],TableECFTransport[Index],CONCATENATE($A6,"_CNG_CNG"))</f>
        <v>9.7151351435231382E-6</v>
      </c>
      <c r="E6" s="949">
        <f>vkm_2011_GW_PW*SUMIFS(TableVerdeelsleutelVkm[LPG],TableVerdeelsleutelVkm[Voertuigtype],"Lichte voertuigen")*SUMIFS(TableECFTransport[EnergieConsumptieFactor (PJ per km)],TableECFTransport[Index],CONCATENATE($A6,"_LPG_LPG"))</f>
        <v>3.0512041178880968E-4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5.4838492817536486E-2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1.4735601911944441E-2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3.1047044472027928E-3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2.8542775154009985E-2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1.0169375860143467E-5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1.2880166873035644E-3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5.1515541566194463E-6</v>
      </c>
      <c r="C8" s="949"/>
      <c r="D8" s="436">
        <f>vkm_2011_NGW_PW*SUMIFS(TableVerdeelsleutelVkm[CNG],TableVerdeelsleutelVkm[Voertuigtype],"Lichte voertuigen")*SUMIFS(TableECFTransport[EnergieConsumptieFactor (PJ per km)],TableECFTransport[Index],CONCATENATE($A8,"_CNG_CNG"))</f>
        <v>1.2997250459850479E-5</v>
      </c>
      <c r="E8" s="436">
        <f>vkm_2011_NGW_PW*SUMIFS(TableVerdeelsleutelVkm[LPG],TableVerdeelsleutelVkm[Voertuigtype],"Lichte voertuigen")*SUMIFS(TableECFTransport[EnergieConsumptieFactor (PJ per km)],TableECFTransport[Index],CONCATENATE($A8,"_LPG_LPG"))</f>
        <v>3.7598123162260277E-4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6.3732464648754691E-2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1.9021885532962319E-2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3.6894348721976358E-3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2.084841449350559E-2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7.0290371277877183E-6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9.4078512281517933E-4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3.3365493843495333</v>
      </c>
      <c r="C14" s="21"/>
      <c r="D14" s="21">
        <f t="shared" ref="D14:M14" si="0">((D5)*10^9/3600)+D12</f>
        <v>6.3089960009371158</v>
      </c>
      <c r="E14" s="21">
        <f t="shared" si="0"/>
        <v>189.19490094761454</v>
      </c>
      <c r="F14" s="21"/>
      <c r="G14" s="21">
        <f t="shared" si="0"/>
        <v>46656.151976057423</v>
      </c>
      <c r="H14" s="21">
        <f t="shared" si="0"/>
        <v>9381.8571827485248</v>
      </c>
      <c r="I14" s="21"/>
      <c r="J14" s="21"/>
      <c r="K14" s="21"/>
      <c r="L14" s="21"/>
      <c r="M14" s="21">
        <f t="shared" si="0"/>
        <v>2506.3725359775476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0.20548297274941343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0.68560408622136737</v>
      </c>
      <c r="C18" s="23"/>
      <c r="D18" s="23">
        <f t="shared" ref="D18:M18" si="1">D14*D16</f>
        <v>1.2744171921892975</v>
      </c>
      <c r="E18" s="23">
        <f t="shared" si="1"/>
        <v>42.947242515108499</v>
      </c>
      <c r="F18" s="23"/>
      <c r="G18" s="23">
        <f t="shared" si="1"/>
        <v>12457.192577607333</v>
      </c>
      <c r="H18" s="23">
        <f t="shared" si="1"/>
        <v>2336.0824385043825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6.2577378110395786E-3</v>
      </c>
      <c r="H50" s="323">
        <f t="shared" si="2"/>
        <v>0</v>
      </c>
      <c r="I50" s="323">
        <f t="shared" si="2"/>
        <v>0</v>
      </c>
      <c r="J50" s="323">
        <f t="shared" si="2"/>
        <v>0</v>
      </c>
      <c r="K50" s="323">
        <f t="shared" si="2"/>
        <v>0</v>
      </c>
      <c r="L50" s="323">
        <f t="shared" si="2"/>
        <v>0</v>
      </c>
      <c r="M50" s="323">
        <f t="shared" si="2"/>
        <v>2.7829690636033377E-4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6.2577378110395786E-3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2.7829690636033377E-4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1738.2605030665495</v>
      </c>
      <c r="H54" s="21">
        <f t="shared" si="3"/>
        <v>0</v>
      </c>
      <c r="I54" s="21">
        <f t="shared" si="3"/>
        <v>0</v>
      </c>
      <c r="J54" s="21">
        <f t="shared" si="3"/>
        <v>0</v>
      </c>
      <c r="K54" s="21">
        <f t="shared" si="3"/>
        <v>0</v>
      </c>
      <c r="L54" s="21">
        <f t="shared" si="3"/>
        <v>0</v>
      </c>
      <c r="M54" s="21">
        <f t="shared" si="3"/>
        <v>77.304696211203833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0.20548297274941343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464.11555431876877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87.134529147982065</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3542.7311304355444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3629.8656595835264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2018-06-27T09:30:17Z</dcterms:modified>
</cp:coreProperties>
</file>