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B22" i="6"/>
  <c r="C17" i="4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56" i="22"/>
  <c r="C58" s="1"/>
  <c r="D44" i="14" s="1"/>
  <c r="D46" s="1"/>
  <c r="Q5" i="48"/>
  <c r="O13" i="14"/>
  <c r="O15" s="1"/>
  <c r="F22" i="16"/>
  <c r="G39" i="14" s="1"/>
  <c r="G41" s="1"/>
  <c r="N22" i="16"/>
  <c r="O39" i="14" s="1"/>
  <c r="O41" s="1"/>
  <c r="Q4" i="48"/>
  <c r="N22"/>
  <c r="R11" i="14"/>
  <c r="J21" i="48"/>
  <c r="R10" i="14"/>
  <c r="C17" i="19" l="1"/>
  <c r="C19" s="1"/>
  <c r="D35" i="14" s="1"/>
  <c r="C20" i="16"/>
  <c r="C22" s="1"/>
  <c r="D39" i="14" s="1"/>
  <c r="F8" i="48"/>
  <c r="Q8" s="1"/>
  <c r="Q14" s="1"/>
  <c r="C29" i="20"/>
  <c r="K41" i="14"/>
  <c r="K53" s="1"/>
  <c r="K55" s="1"/>
  <c r="N25" i="48"/>
  <c r="N14"/>
  <c r="E25"/>
  <c r="E31" s="1"/>
  <c r="E14"/>
  <c r="N31"/>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<sst xmlns="http://schemas.openxmlformats.org/spreadsheetml/2006/main" count="1970" uniqueCount="847">
  <si>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</si>
  <si>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</si>
  <si>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</si>
  <si>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</si>
  <si>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</si>
  <si>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</si>
  <si>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</si>
  <si>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</si>
  <si>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</si>
  <si>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</si>
  <si>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</si>
  <si>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</si>
  <si>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</si>
  <si>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</si>
  <si>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</si>
  <si>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</si>
  <si>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</si>
  <si>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</si>
  <si>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</si>
  <si>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</si>
  <si>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</si>
  <si>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</si>
  <si>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</si>
  <si>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</si>
  <si>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</si>
  <si>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</si>
  <si>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</si>
  <si>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</si>
  <si>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</si>
  <si>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</si>
  <si>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</si>
  <si>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</si>
  <si>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</si>
  <si>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</si>
  <si>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</si>
  <si>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</si>
  <si>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</si>
  <si>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</si>
  <si>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</si>
  <si>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</si>
  <si>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</si>
  <si>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</si>
  <si>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</si>
  <si>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</si>
  <si>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</si>
  <si>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</si>
  <si>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</si>
  <si>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</si>
  <si>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</si>
  <si>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</si>
  <si>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</si>
  <si>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</si>
  <si>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</si>
  <si>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</si>
  <si>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</si>
  <si>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</si>
  <si>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</si>
  <si>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</si>
  <si>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</si>
  <si>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</si>
  <si>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</si>
  <si>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</si>
  <si>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</si>
  <si>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</si>
  <si>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</si>
  <si>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</si>
  <si>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</si>
  <si>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</si>
  <si>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</si>
  <si>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</si>
  <si>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</si>
  <si>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</si>
  <si>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</si>
  <si>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</si>
  <si>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</si>
  <si>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</si>
  <si>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</si>
  <si>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</si>
  <si>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</si>
  <si>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</si>
  <si>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</si>
  <si>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</si>
  <si>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</si>
  <si>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</si>
  <si>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</si>
  <si>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</si>
  <si>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</si>
  <si>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</si>
  <si>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</si>
  <si>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</si>
  <si>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</si>
  <si>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</si>
  <si>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</si>
  <si>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</si>
  <si>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</si>
  <si>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</si>
  <si>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</si>
  <si>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</si>
  <si>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</si>
  <si>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</si>
  <si>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</si>
  <si>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</si>
  <si>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</si>
  <si>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</si>
  <si>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</si>
  <si>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</si>
  <si>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</si>
  <si>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</si>
  <si>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</si>
  <si>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</si>
  <si>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</si>
  <si>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</si>
  <si>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</si>
  <si>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</si>
  <si>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</si>
  <si>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</si>
  <si>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</si>
  <si>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</si>
  <si>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</si>
  <si>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</si>
  <si>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</si>
  <si>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</si>
  <si>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</si>
  <si>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</si>
  <si>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</si>
  <si>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</si>
  <si>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</si>
  <si>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</si>
  <si>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</si>
  <si>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</si>
  <si>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</si>
  <si>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</si>
  <si>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</si>
  <si>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</si>
  <si>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</si>
  <si>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</si>
  <si>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</si>
  <si>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</si>
  <si>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</si>
  <si>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</si>
  <si>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</si>
  <si>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</si>
  <si>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</si>
  <si>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</si>
  <si>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</si>
  <si>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</si>
  <si>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</si>
  <si>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</si>
  <si>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</si>
  <si>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</si>
  <si>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</si>
  <si>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</si>
  <si>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</si>
  <si>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</si>
  <si>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</si>
  <si>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</si>
  <si>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</si>
  <si>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</si>
  <si>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</si>
  <si>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</si>
  <si>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</si>
  <si>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</si>
  <si>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</si>
  <si>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</si>
  <si>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</si>
  <si>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</si>
  <si>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</si>
  <si>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</si>
  <si>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</si>
  <si>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</si>
  <si>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</si>
  <si>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</si>
  <si>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</si>
  <si>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</si>
  <si>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</si>
  <si>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</si>
  <si>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</si>
  <si>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</si>
  <si>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</si>
  <si>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</si>
  <si>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</si>
  <si>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</si>
  <si>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</si>
  <si>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</si>
  <si>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</si>
  <si>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</si>
  <si>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</si>
  <si>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</si>
  <si>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</si>
  <si>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</si>
  <si>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</si>
  <si>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</si>
  <si>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</si>
  <si>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</si>
  <si>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</si>
  <si>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</si>
  <si>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</si>
  <si>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</si>
  <si>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</si>
  <si>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</si>
  <si>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</si>
  <si>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</si>
  <si>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</si>
  <si>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</si>
  <si>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</si>
  <si>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</si>
  <si>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</si>
  <si>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</si>
  <si>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</si>
  <si>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</si>
  <si>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</si>
  <si>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</si>
  <si>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</si>
  <si>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</si>
  <si>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</si>
  <si>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</si>
  <si>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</si>
  <si>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</si>
  <si>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</si>
  <si>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</si>
  <si>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</si>
  <si>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</si>
  <si>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</si>
  <si>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</si>
  <si>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</si>
  <si>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</si>
  <si>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</si>
  <si>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</si>
  <si>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</si>
  <si>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</si>
  <si>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</si>
  <si>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</si>
  <si>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</si>
  <si>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</si>
  <si>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</si>
  <si>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</si>
  <si>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</si>
  <si>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</si>
  <si>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</si>
  <si>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</si>
  <si>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</si>
  <si>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</si>
  <si>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</si>
  <si>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</si>
  <si>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</si>
  <si>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</si>
  <si>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</si>
  <si>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</si>
  <si>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</si>
  <si>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</si>
  <si>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</si>
  <si>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</si>
  <si>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</si>
  <si>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</si>
  <si>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</si>
  <si>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</si>
  <si>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</si>
  <si>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</si>
  <si>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</si>
  <si>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</si>
  <si>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</si>
  <si>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</si>
  <si>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</si>
  <si>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</si>
  <si>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</si>
  <si>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</si>
  <si>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</si>
  <si>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</si>
  <si>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</si>
  <si>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</si>
  <si>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</si>
  <si>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</si>
  <si>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</si>
  <si>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</si>
  <si>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</si>
  <si>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</si>
  <si>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</si>
  <si>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</si>
  <si>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</si>
  <si>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</si>
  <si>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</si>
  <si>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</si>
  <si>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</si>
  <si>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</si>
  <si>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</si>
  <si>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</si>
  <si>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</si>
  <si>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</si>
  <si>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</si>
  <si>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</si>
  <si>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</si>
  <si>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</si>
  <si>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</si>
  <si>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</si>
  <si>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</si>
  <si>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</si>
  <si>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</si>
  <si>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</si>
  <si>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</si>
  <si>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</si>
  <si>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</si>
  <si>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</si>
  <si>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</si>
  <si>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</si>
  <si>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</si>
  <si>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</si>
  <si>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</si>
  <si>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</si>
  <si>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</si>
  <si>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</si>
  <si>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</si>
  <si>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</si>
  <si>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</si>
  <si>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</si>
  <si>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</si>
  <si>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</si>
  <si>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</si>
  <si>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</si>
  <si>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</si>
  <si>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</si>
  <si>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</si>
  <si>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</si>
  <si>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</si>
  <si>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</si>
  <si>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</si>
  <si>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</si>
  <si>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</si>
  <si>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</si>
  <si>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</si>
  <si>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</si>
  <si>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</si>
  <si>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</si>
  <si>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</si>
  <si>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</si>
  <si>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</si>
  <si>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</si>
  <si>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</si>
  <si>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</si>
  <si>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</si>
  <si>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</si>
  <si>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</si>
  <si>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</si>
  <si>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</si>
  <si>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</si>
  <si>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</si>
  <si>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</si>
  <si>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</si>
  <si>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</si>
  <si>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</si>
  <si>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</si>
  <si>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</si>
  <si>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</si>
  <si>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</si>
  <si>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</si>
  <si>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</si>
  <si>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</si>
  <si>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</si>
  <si>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</si>
  <si>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</si>
  <si>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</si>
  <si>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</si>
  <si>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</si>
  <si>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</si>
  <si>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</si>
  <si>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</si>
  <si>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</si>
  <si>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</si>
  <si>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</si>
  <si>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</si>
  <si>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</si>
  <si>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</si>
  <si>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</si>
  <si>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</si>
  <si>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</si>
  <si>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</si>
  <si>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</si>
  <si>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</si>
  <si>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</si>
  <si>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</si>
  <si>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</si>
  <si>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</si>
  <si>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</si>
  <si>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</si>
  <si>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</si>
  <si>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</si>
  <si>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</si>
  <si>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</si>
  <si>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</si>
  <si>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</si>
  <si>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</si>
  <si>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</si>
  <si>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</si>
  <si>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</si>
  <si>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</si>
  <si>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</si>
  <si>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</si>
  <si>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</si>
  <si>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</si>
  <si>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</si>
  <si>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</si>
  <si>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</si>
  <si>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</si>
  <si>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</si>
  <si>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</si>
  <si>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</si>
  <si>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</si>
  <si>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</si>
  <si>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</si>
  <si>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</si>
  <si>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</si>
  <si>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</si>
  <si>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</si>
  <si>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</si>
  <si>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</si>
  <si>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</si>
  <si>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</si>
  <si>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</si>
  <si>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</si>
  <si>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</si>
  <si>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</si>
  <si>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</si>
  <si>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</si>
  <si>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</si>
  <si>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</si>
  <si>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</si>
  <si>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</si>
  <si>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</si>
  <si>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</si>
  <si>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</si>
  <si>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</si>
  <si>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</si>
  <si>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</si>
  <si>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</si>
  <si>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</si>
  <si>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</si>
  <si>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</si>
  <si>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</si>
  <si>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</si>
  <si>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</si>
  <si>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</si>
  <si>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</si>
  <si>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</si>
  <si>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</si>
  <si>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</si>
  <si>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</si>
  <si>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</si>
  <si>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</si>
  <si>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</si>
  <si>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</si>
  <si>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</si>
  <si>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</si>
  <si>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</si>
  <si>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</si>
  <si>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</si>
  <si>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</si>
  <si>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</si>
  <si>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</si>
  <si>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</si>
  <si>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</si>
  <si>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</si>
  <si>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</si>
  <si>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</si>
  <si>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</si>
  <si>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</si>
  <si>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</si>
  <si>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</si>
  <si>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</si>
  <si>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</si>
  <si>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</si>
  <si>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</si>
  <si>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</si>
  <si>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</si>
  <si>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</si>
  <si>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</si>
  <si>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</si>
  <si>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</si>
  <si>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</si>
  <si>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</si>
  <si>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</si>
  <si>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</si>
  <si>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</si>
  <si>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</si>
  <si>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</si>
  <si>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</si>
  <si>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</si>
  <si>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</si>
  <si>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</si>
  <si>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</si>
  <si>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</si>
  <si>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</si>
  <si>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</si>
  <si>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</si>
  <si>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</si>
  <si>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</si>
  <si>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</si>
  <si>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</si>
  <si>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</si>
  <si>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</si>
  <si>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</si>
  <si>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</si>
  <si>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</si>
  <si>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</si>
  <si>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</si>
  <si>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</si>
  <si>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</si>
  <si>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</si>
  <si>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</si>
  <si>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</si>
  <si>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</si>
  <si>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</si>
  <si>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</si>
  <si>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</si>
  <si>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</si>
  <si>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</si>
  <si>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</si>
  <si>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</si>
  <si>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</si>
  <si>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</si>
  <si>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</si>
  <si>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</si>
  <si>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</si>
  <si>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</si>
  <si>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</si>
  <si>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</si>
  <si>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</si>
  <si>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</si>
  <si>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</si>
  <si>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</si>
  <si>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</si>
  <si>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</si>
  <si>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</si>
  <si>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</si>
  <si>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</si>
  <si>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</si>
  <si>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</si>
  <si>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</si>
  <si>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</si>
  <si>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</si>
  <si>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</si>
  <si>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</si>
  <si>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</si>
  <si>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</si>
  <si>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</si>
  <si>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</si>
  <si>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</si>
  <si>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</si>
  <si>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</si>
  <si>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</si>
  <si>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</si>
  <si>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</si>
  <si>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</si>
  <si>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</si>
  <si>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</si>
  <si>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</si>
  <si>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</si>
  <si>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</si>
  <si>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</si>
  <si>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</si>
  <si>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</si>
  <si>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</si>
  <si>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</si>
  <si>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</si>
  <si>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</si>
  <si>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</si>
  <si>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</si>
  <si>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</si>
  <si>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</si>
  <si>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</si>
  <si>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</si>
  <si>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</si>
  <si>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</si>
  <si>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</si>
  <si>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</si>
  <si>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</si>
  <si>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</si>
  <si>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</si>
  <si>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</si>
  <si>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</si>
  <si>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</si>
  <si>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</si>
  <si>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</si>
  <si>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</si>
  <si>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</si>
  <si>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</si>
  <si>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</si>
  <si>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</si>
  <si>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</si>
  <si>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</si>
  <si>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</si>
  <si>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</si>
  <si>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</si>
  <si>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</si>
  <si>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</si>
  <si>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</si>
  <si>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</si>
  <si>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</si>
  <si>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</si>
  <si>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</si>
  <si>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</si>
  <si>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</si>
  <si>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</si>
  <si>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</si>
  <si>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</si>
  <si>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</si>
  <si>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</si>
  <si>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</si>
  <si>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</si>
  <si>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</si>
  <si>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</si>
  <si>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</si>
  <si>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</si>
  <si>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</si>
  <si>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</si>
  <si>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</si>
  <si>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</si>
  <si>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</si>
  <si>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</si>
  <si>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</si>
  <si>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</si>
  <si>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</si>
  <si>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</si>
  <si>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</si>
  <si>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</si>
  <si>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</si>
  <si>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</si>
  <si>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</si>
  <si>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</si>
  <si>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</si>
  <si>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</si>
  <si>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</si>
  <si>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</si>
  <si>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</si>
  <si>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</si>
  <si>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</si>
  <si>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</si>
  <si>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</si>
  <si>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</si>
  <si>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</si>
  <si>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</si>
  <si>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</si>
  <si>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</si>
  <si>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</si>
  <si>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</si>
  <si>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</si>
  <si>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</si>
  <si>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</si>
  <si>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</si>
  <si>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</si>
  <si>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</si>
  <si>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</si>
  <si>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</si>
  <si>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</si>
  <si>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</si>
  <si>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</si>
  <si>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</si>
  <si>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</si>
  <si>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</si>
  <si>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</si>
  <si>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</si>
  <si>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</si>
  <si>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</si>
  <si>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</si>
  <si>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</si>
  <si>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</si>
  <si>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</si>
  <si>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</si>
  <si>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</si>
  <si>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</si>
  <si>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</si>
  <si>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</si>
  <si>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</si>
  <si>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</si>
  <si>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</si>
  <si>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</si>
  <si>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</si>
  <si>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</si>
  <si>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</si>
  <si>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</si>
  <si>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</si>
  <si>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</si>
  <si>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</si>
  <si>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</si>
  <si>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</si>
  <si>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</si>
  <si>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</si>
  <si>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</si>
  <si>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</si>
  <si>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</si>
  <si>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</si>
  <si>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</si>
  <si>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</si>
  <si>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</si>
  <si>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</si>
  <si>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</si>
  <si>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</si>
  <si>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</si>
  <si>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</si>
  <si>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</si>
  <si>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</si>
  <si>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</si>
  <si>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</si>
  <si>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</si>
  <si>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</si>
  <si>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</si>
  <si>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</si>
  <si>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</si>
  <si>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</si>
  <si>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</si>
  <si>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</si>
  <si>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</si>
  <si>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</si>
  <si>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</si>
  <si>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</si>
  <si>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</si>
  <si>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</si>
  <si>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</si>
  <si>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</si>
  <si>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</si>
  <si>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</si>
  <si>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</si>
  <si>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</si>
  <si>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</si>
  <si>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</si>
  <si>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</si>
  <si>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</si>
  <si>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</si>
  <si>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</si>
  <si>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</si>
  <si>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</si>
  <si>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</si>
  <si>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</si>
  <si>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</si>
  <si>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</si>
  <si>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</si>
  <si>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</si>
  <si>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</si>
  <si>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</si>
  <si>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</si>
  <si>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</si>
  <si>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</si>
  <si>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</si>
  <si>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</si>
  <si>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</si>
  <si>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</si>
  <si>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</si>
  <si>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</si>
  <si>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</si>
  <si>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</si>
  <si>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</si>
  <si>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</si>
  <si>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</si>
  <si>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</si>
  <si>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</si>
  <si>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</si>
  <si>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</si>
  <si>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</si>
  <si>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</si>
  <si>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</si>
  <si>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</si>
  <si>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</si>
  <si>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</si>
  <si>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</si>
  <si>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</si>
  <si>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</si>
  <si>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</si>
  <si>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</si>
  <si>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</si>
  <si>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</si>
  <si>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</si>
  <si>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</si>
  <si>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</si>
  <si>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</si>
  <si>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</si>
  <si>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</si>
  <si>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</si>
  <si>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</si>
  <si>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</si>
  <si>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</si>
  <si>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</si>
  <si>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</si>
  <si>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</si>
  <si>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</si>
  <si>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</si>
  <si>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</si>
  <si>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</si>
  <si>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</si>
  <si>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</si>
  <si>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</si>
  <si>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</si>
  <si>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</si>
  <si>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</si>
  <si>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</si>
  <si>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</si>
  <si>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</si>
  <si>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</si>
  <si>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</si>
  <si>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</si>
  <si>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</si>
  <si>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</si>
  <si>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</si>
  <si>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</si>
  <si>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</si>
  <si>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</si>
  <si>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</si>
  <si>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</si>
  <si>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</si>
  <si>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</si>
  <si>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</si>
  <si>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</si>
  <si>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</si>
  <si>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</si>
  <si>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</si>
  <si>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</si>
  <si>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</si>
  <si>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</si>
  <si>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</si>
  <si>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</si>
  <si>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</si>
  <si>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</si>
  <si>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</si>
  <si>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</si>
  <si>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</si>
  <si>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</si>
  <si>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</si>
  <si>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</si>
  <si>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</si>
  <si>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</si>
  <si>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</si>
  <si>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</si>
  <si>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</si>
  <si>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</si>
  <si>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</si>
  <si>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</si>
  <si>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24016</t>
  </si>
  <si>
    <t>BOUTERSEM</t>
  </si>
  <si>
    <t>Cultuurgrond (ha)</t>
  </si>
  <si>
    <t>Paarden&amp;pony's 200 - 600 kg</t>
  </si>
  <si>
    <t>Paarden&amp;pony's &lt; 200 kg</t>
  </si>
  <si>
    <t>op basis van VEA (maart 2018) en Inventaris Hernieuwbare Energiebronnen (juni 2018)</t>
  </si>
  <si>
    <t>VEA (juni 2018)</t>
  </si>
  <si>
    <t>Guilliams Green Power BV GCV</t>
  </si>
  <si>
    <t>Dalemstraat 11 , 3370 Boutersem</t>
  </si>
  <si>
    <t>WKK-0239 Bio-Energie Agriferm</t>
  </si>
  <si>
    <t>interne verbrandingsmotor</t>
  </si>
  <si>
    <t>WKK interne verbrandinsgmotor (gas)</t>
  </si>
  <si>
    <t>Dalemstraat 12 , 3370 Boutersem</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</si>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</sst>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75989.850827643881</c:v>
                </c:pt>
                <c:pt idx="1">
                  <c:v>11192.57257623956</c:v>
                </c:pt>
                <c:pt idx="2">
                  <c:v>475.72199999999998</c:v>
                </c:pt>
                <c:pt idx="3">
                  <c:v>11301.795160153802</c:v>
                </c:pt>
                <c:pt idx="4">
                  <c:v>2668.1777290118198</c:v>
                </c:pt>
                <c:pt idx="5">
                  <c:v>109196.29617534959</c:v>
                </c:pt>
                <c:pt idx="6">
                  <c:v>779.36173258551435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75989.850827643881</c:v>
                </c:pt>
                <c:pt idx="1">
                  <c:v>11192.57257623956</c:v>
                </c:pt>
                <c:pt idx="2">
                  <c:v>475.72199999999998</c:v>
                </c:pt>
                <c:pt idx="3">
                  <c:v>11301.795160153802</c:v>
                </c:pt>
                <c:pt idx="4">
                  <c:v>2668.1777290118198</c:v>
                </c:pt>
                <c:pt idx="5">
                  <c:v>109196.29617534959</c:v>
                </c:pt>
                <c:pt idx="6">
                  <c:v>779.36173258551435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14454.766674482118</c:v>
                </c:pt>
                <c:pt idx="1">
                  <c:v>1959.8493288920229</c:v>
                </c:pt>
                <c:pt idx="2">
                  <c:v>66.665976695056244</c:v>
                </c:pt>
                <c:pt idx="3">
                  <c:v>755.1580269662395</c:v>
                </c:pt>
                <c:pt idx="4">
                  <c:v>478.35545994867334</c:v>
                </c:pt>
                <c:pt idx="5">
                  <c:v>27614.917234533612</c:v>
                </c:pt>
                <c:pt idx="6">
                  <c:v>199.22936542166306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14454.766674482118</c:v>
                </c:pt>
                <c:pt idx="1">
                  <c:v>1959.8493288920229</c:v>
                </c:pt>
                <c:pt idx="2">
                  <c:v>66.665976695056244</c:v>
                </c:pt>
                <c:pt idx="3">
                  <c:v>755.1580269662395</c:v>
                </c:pt>
                <c:pt idx="4">
                  <c:v>478.35545994867334</c:v>
                </c:pt>
                <c:pt idx="5">
                  <c:v>27614.917234533612</c:v>
                </c:pt>
                <c:pt idx="6">
                  <c:v>199.22936542166306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24016</v>
      </c>
      <c r="B6" s="398"/>
      <c r="C6" s="399"/>
    </row>
    <row r="7" spans="1:7" s="396" customFormat="1" ht="15.75" customHeight="1">
      <c r="A7" s="400" t="str">
        <f>txtMunicipality</f>
        <v>BOUTERSEM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24016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3003</v>
      </c>
      <c r="C9" s="338">
        <v>2974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1868</v>
      </c>
    </row>
    <row r="15" spans="1:6">
      <c r="A15" s="1212" t="s">
        <v>184</v>
      </c>
      <c r="B15" s="335">
        <v>723</v>
      </c>
    </row>
    <row r="16" spans="1:6">
      <c r="A16" s="1212" t="s">
        <v>6</v>
      </c>
      <c r="B16" s="335">
        <v>123</v>
      </c>
    </row>
    <row r="17" spans="1:6">
      <c r="A17" s="1212" t="s">
        <v>7</v>
      </c>
      <c r="B17" s="335">
        <v>504</v>
      </c>
    </row>
    <row r="18" spans="1:6">
      <c r="A18" s="1212" t="s">
        <v>8</v>
      </c>
      <c r="B18" s="335">
        <v>540</v>
      </c>
    </row>
    <row r="19" spans="1:6">
      <c r="A19" s="1212" t="s">
        <v>9</v>
      </c>
      <c r="B19" s="335">
        <v>645</v>
      </c>
    </row>
    <row r="20" spans="1:6">
      <c r="A20" s="1212" t="s">
        <v>10</v>
      </c>
      <c r="B20" s="335">
        <v>405</v>
      </c>
    </row>
    <row r="21" spans="1:6">
      <c r="A21" s="1212" t="s">
        <v>11</v>
      </c>
      <c r="B21" s="335">
        <v>0</v>
      </c>
    </row>
    <row r="22" spans="1:6">
      <c r="A22" s="1212" t="s">
        <v>12</v>
      </c>
      <c r="B22" s="335">
        <v>4395</v>
      </c>
    </row>
    <row r="23" spans="1:6">
      <c r="A23" s="1212" t="s">
        <v>13</v>
      </c>
      <c r="B23" s="335">
        <v>1</v>
      </c>
    </row>
    <row r="24" spans="1:6">
      <c r="A24" s="1212" t="s">
        <v>14</v>
      </c>
      <c r="B24" s="335">
        <v>0</v>
      </c>
    </row>
    <row r="25" spans="1:6">
      <c r="A25" s="1212" t="s">
        <v>15</v>
      </c>
      <c r="B25" s="335">
        <v>0</v>
      </c>
    </row>
    <row r="26" spans="1:6">
      <c r="A26" s="1212" t="s">
        <v>16</v>
      </c>
      <c r="B26" s="335">
        <v>0</v>
      </c>
    </row>
    <row r="27" spans="1:6">
      <c r="A27" s="1212" t="s">
        <v>17</v>
      </c>
      <c r="B27" s="335">
        <v>25</v>
      </c>
    </row>
    <row r="28" spans="1:6" s="341" customFormat="1">
      <c r="A28" s="1213" t="s">
        <v>18</v>
      </c>
      <c r="B28" s="1213">
        <v>0</v>
      </c>
    </row>
    <row r="29" spans="1:6">
      <c r="A29" s="1213" t="s">
        <v>836</v>
      </c>
      <c r="B29" s="1213">
        <v>97</v>
      </c>
      <c r="C29" s="341"/>
      <c r="D29" s="341"/>
      <c r="E29" s="341"/>
      <c r="F29" s="341"/>
    </row>
    <row r="30" spans="1:6">
      <c r="A30" s="1208" t="s">
        <v>837</v>
      </c>
      <c r="B30" s="1208">
        <v>19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9</v>
      </c>
      <c r="F36" s="335">
        <v>9026.9735718796001</v>
      </c>
    </row>
    <row r="37" spans="1:6">
      <c r="A37" s="1212" t="s">
        <v>25</v>
      </c>
      <c r="B37" s="1212" t="s">
        <v>28</v>
      </c>
      <c r="C37" s="335">
        <v>0</v>
      </c>
      <c r="D37" s="335">
        <v>0</v>
      </c>
      <c r="E37" s="335">
        <v>0</v>
      </c>
      <c r="F37" s="335">
        <v>0</v>
      </c>
    </row>
    <row r="38" spans="1:6">
      <c r="A38" s="1212" t="s">
        <v>25</v>
      </c>
      <c r="B38" s="1212" t="s">
        <v>29</v>
      </c>
      <c r="C38" s="335">
        <v>0</v>
      </c>
      <c r="D38" s="335">
        <v>0</v>
      </c>
      <c r="E38" s="335">
        <v>4</v>
      </c>
      <c r="F38" s="335">
        <v>88551.858826018797</v>
      </c>
    </row>
    <row r="39" spans="1:6">
      <c r="A39" s="1212" t="s">
        <v>30</v>
      </c>
      <c r="B39" s="1212" t="s">
        <v>31</v>
      </c>
      <c r="C39" s="335">
        <v>1577</v>
      </c>
      <c r="D39" s="335">
        <v>33849467.567714401</v>
      </c>
      <c r="E39" s="335">
        <v>2881</v>
      </c>
      <c r="F39" s="335">
        <v>12762669.3810819</v>
      </c>
    </row>
    <row r="40" spans="1:6">
      <c r="A40" s="1212" t="s">
        <v>30</v>
      </c>
      <c r="B40" s="1212" t="s">
        <v>29</v>
      </c>
      <c r="C40" s="335">
        <v>0</v>
      </c>
      <c r="D40" s="335">
        <v>0</v>
      </c>
      <c r="E40" s="335">
        <v>0</v>
      </c>
      <c r="F40" s="335">
        <v>0</v>
      </c>
    </row>
    <row r="41" spans="1:6">
      <c r="A41" s="1212" t="s">
        <v>32</v>
      </c>
      <c r="B41" s="1212" t="s">
        <v>33</v>
      </c>
      <c r="C41" s="335">
        <v>10</v>
      </c>
      <c r="D41" s="335">
        <v>272249.56748606398</v>
      </c>
      <c r="E41" s="335">
        <v>53</v>
      </c>
      <c r="F41" s="335">
        <v>543746.24404506001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10</v>
      </c>
      <c r="D48" s="335">
        <v>249476.87554703499</v>
      </c>
      <c r="E48" s="335">
        <v>16</v>
      </c>
      <c r="F48" s="335">
        <v>166419.350574073</v>
      </c>
    </row>
    <row r="49" spans="1:6">
      <c r="A49" s="1212" t="s">
        <v>32</v>
      </c>
      <c r="B49" s="1212" t="s">
        <v>40</v>
      </c>
      <c r="C49" s="335">
        <v>0</v>
      </c>
      <c r="D49" s="335">
        <v>0</v>
      </c>
      <c r="E49" s="335">
        <v>0</v>
      </c>
      <c r="F49" s="335">
        <v>0</v>
      </c>
    </row>
    <row r="50" spans="1:6">
      <c r="A50" s="1212" t="s">
        <v>32</v>
      </c>
      <c r="B50" s="1212" t="s">
        <v>41</v>
      </c>
      <c r="C50" s="335">
        <v>4</v>
      </c>
      <c r="D50" s="335">
        <v>184546.276617233</v>
      </c>
      <c r="E50" s="335">
        <v>6</v>
      </c>
      <c r="F50" s="335">
        <v>192771.38136976401</v>
      </c>
    </row>
    <row r="51" spans="1:6">
      <c r="A51" s="1212" t="s">
        <v>42</v>
      </c>
      <c r="B51" s="1212" t="s">
        <v>43</v>
      </c>
      <c r="C51" s="335">
        <v>13</v>
      </c>
      <c r="D51" s="335">
        <v>169667.41892346699</v>
      </c>
      <c r="E51" s="335">
        <v>51</v>
      </c>
      <c r="F51" s="335">
        <v>385820.49893594702</v>
      </c>
    </row>
    <row r="52" spans="1:6">
      <c r="A52" s="1212" t="s">
        <v>42</v>
      </c>
      <c r="B52" s="1212" t="s">
        <v>29</v>
      </c>
      <c r="C52" s="335">
        <v>5</v>
      </c>
      <c r="D52" s="335">
        <v>123490.06693788301</v>
      </c>
      <c r="E52" s="335">
        <v>11</v>
      </c>
      <c r="F52" s="335">
        <v>114309.608577156</v>
      </c>
    </row>
    <row r="53" spans="1:6">
      <c r="A53" s="1212" t="s">
        <v>44</v>
      </c>
      <c r="B53" s="1212" t="s">
        <v>45</v>
      </c>
      <c r="C53" s="335">
        <v>33</v>
      </c>
      <c r="D53" s="335">
        <v>784134.73391717102</v>
      </c>
      <c r="E53" s="335">
        <v>87</v>
      </c>
      <c r="F53" s="335">
        <v>378172.97511162102</v>
      </c>
    </row>
    <row r="54" spans="1:6">
      <c r="A54" s="1212" t="s">
        <v>46</v>
      </c>
      <c r="B54" s="1212" t="s">
        <v>47</v>
      </c>
      <c r="C54" s="335">
        <v>0</v>
      </c>
      <c r="D54" s="335">
        <v>0</v>
      </c>
      <c r="E54" s="335">
        <v>2</v>
      </c>
      <c r="F54" s="335">
        <v>475722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16</v>
      </c>
      <c r="D57" s="335">
        <v>501094.394466875</v>
      </c>
      <c r="E57" s="335">
        <v>19</v>
      </c>
      <c r="F57" s="335">
        <v>412388.900269481</v>
      </c>
    </row>
    <row r="58" spans="1:6">
      <c r="A58" s="1212" t="s">
        <v>49</v>
      </c>
      <c r="B58" s="1212" t="s">
        <v>51</v>
      </c>
      <c r="C58" s="335">
        <v>7</v>
      </c>
      <c r="D58" s="335">
        <v>214999.840174418</v>
      </c>
      <c r="E58" s="335">
        <v>13</v>
      </c>
      <c r="F58" s="335">
        <v>96301.313674951496</v>
      </c>
    </row>
    <row r="59" spans="1:6">
      <c r="A59" s="1212" t="s">
        <v>49</v>
      </c>
      <c r="B59" s="1212" t="s">
        <v>52</v>
      </c>
      <c r="C59" s="335">
        <v>8</v>
      </c>
      <c r="D59" s="335">
        <v>196871.79781837799</v>
      </c>
      <c r="E59" s="335">
        <v>53</v>
      </c>
      <c r="F59" s="335">
        <v>923927.93775229005</v>
      </c>
    </row>
    <row r="60" spans="1:6">
      <c r="A60" s="1212" t="s">
        <v>49</v>
      </c>
      <c r="B60" s="1212" t="s">
        <v>53</v>
      </c>
      <c r="C60" s="335">
        <v>6</v>
      </c>
      <c r="D60" s="335">
        <v>540741.99393020698</v>
      </c>
      <c r="E60" s="335">
        <v>14</v>
      </c>
      <c r="F60" s="335">
        <v>268421.46237418498</v>
      </c>
    </row>
    <row r="61" spans="1:6">
      <c r="A61" s="1212" t="s">
        <v>49</v>
      </c>
      <c r="B61" s="1212" t="s">
        <v>54</v>
      </c>
      <c r="C61" s="335">
        <v>41</v>
      </c>
      <c r="D61" s="335">
        <v>1889250.0971690801</v>
      </c>
      <c r="E61" s="335">
        <v>121</v>
      </c>
      <c r="F61" s="335">
        <v>1632287.4526913899</v>
      </c>
    </row>
    <row r="62" spans="1:6">
      <c r="A62" s="1212" t="s">
        <v>49</v>
      </c>
      <c r="B62" s="1212" t="s">
        <v>55</v>
      </c>
      <c r="C62" s="335">
        <v>0</v>
      </c>
      <c r="D62" s="335">
        <v>0</v>
      </c>
      <c r="E62" s="335">
        <v>0</v>
      </c>
      <c r="F62" s="335">
        <v>0</v>
      </c>
    </row>
    <row r="63" spans="1:6">
      <c r="A63" s="1212" t="s">
        <v>49</v>
      </c>
      <c r="B63" s="1212" t="s">
        <v>29</v>
      </c>
      <c r="C63" s="335">
        <v>69</v>
      </c>
      <c r="D63" s="335">
        <v>2665556.37843708</v>
      </c>
      <c r="E63" s="335">
        <v>84</v>
      </c>
      <c r="F63" s="335">
        <v>1137328.3684457301</v>
      </c>
    </row>
    <row r="64" spans="1:6">
      <c r="A64" s="1212" t="s">
        <v>56</v>
      </c>
      <c r="B64" s="1212" t="s">
        <v>57</v>
      </c>
      <c r="C64" s="335">
        <v>0</v>
      </c>
      <c r="D64" s="335">
        <v>0</v>
      </c>
      <c r="E64" s="335">
        <v>0</v>
      </c>
      <c r="F64" s="335">
        <v>0</v>
      </c>
    </row>
    <row r="65" spans="1:6">
      <c r="A65" s="1212" t="s">
        <v>56</v>
      </c>
      <c r="B65" s="1212" t="s">
        <v>29</v>
      </c>
      <c r="C65" s="335">
        <v>3</v>
      </c>
      <c r="D65" s="335">
        <v>140090.744790275</v>
      </c>
      <c r="E65" s="335">
        <v>5</v>
      </c>
      <c r="F65" s="335">
        <v>98904.962924851003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171526.32691843901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27358485</v>
      </c>
      <c r="E73" s="335">
        <v>28675767.516485203</v>
      </c>
    </row>
    <row r="74" spans="1:6">
      <c r="A74" s="1212" t="s">
        <v>64</v>
      </c>
      <c r="B74" s="1212" t="s">
        <v>727</v>
      </c>
      <c r="C74" s="1212" t="s">
        <v>728</v>
      </c>
      <c r="D74" s="335">
        <v>2238840.9620233322</v>
      </c>
      <c r="E74" s="335">
        <v>2442247.2442591833</v>
      </c>
    </row>
    <row r="75" spans="1:6">
      <c r="A75" s="1212" t="s">
        <v>65</v>
      </c>
      <c r="B75" s="1212" t="s">
        <v>725</v>
      </c>
      <c r="C75" s="1212" t="s">
        <v>729</v>
      </c>
      <c r="D75" s="335">
        <v>10805949</v>
      </c>
      <c r="E75" s="335">
        <v>11068968.452759085</v>
      </c>
    </row>
    <row r="76" spans="1:6">
      <c r="A76" s="1212" t="s">
        <v>65</v>
      </c>
      <c r="B76" s="1212" t="s">
        <v>727</v>
      </c>
      <c r="C76" s="1212" t="s">
        <v>730</v>
      </c>
      <c r="D76" s="335">
        <v>528489.96202333225</v>
      </c>
      <c r="E76" s="335">
        <v>579754.0607528257</v>
      </c>
    </row>
    <row r="77" spans="1:6">
      <c r="A77" s="1212" t="s">
        <v>66</v>
      </c>
      <c r="B77" s="1212" t="s">
        <v>725</v>
      </c>
      <c r="C77" s="1212" t="s">
        <v>731</v>
      </c>
      <c r="D77" s="335">
        <v>79394518</v>
      </c>
      <c r="E77" s="335">
        <v>87255187.292895168</v>
      </c>
    </row>
    <row r="78" spans="1:6">
      <c r="A78" s="1208" t="s">
        <v>66</v>
      </c>
      <c r="B78" s="1208" t="s">
        <v>727</v>
      </c>
      <c r="C78" s="1208" t="s">
        <v>732</v>
      </c>
      <c r="D78" s="1208">
        <v>8316742</v>
      </c>
      <c r="E78" s="1208">
        <v>8761969.8019810338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205898.07595333559</v>
      </c>
      <c r="C83" s="335">
        <v>204094.54935086233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1739.6361366605081</v>
      </c>
    </row>
    <row r="92" spans="1:6">
      <c r="A92" s="1208" t="s">
        <v>69</v>
      </c>
      <c r="B92" s="338">
        <v>276.33803669089718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725</v>
      </c>
    </row>
    <row r="98" spans="1:6">
      <c r="A98" s="1212" t="s">
        <v>72</v>
      </c>
      <c r="B98" s="335">
        <v>0</v>
      </c>
    </row>
    <row r="99" spans="1:6">
      <c r="A99" s="1212" t="s">
        <v>73</v>
      </c>
      <c r="B99" s="335">
        <v>45</v>
      </c>
    </row>
    <row r="100" spans="1:6">
      <c r="A100" s="1212" t="s">
        <v>74</v>
      </c>
      <c r="B100" s="335">
        <v>134</v>
      </c>
    </row>
    <row r="101" spans="1:6">
      <c r="A101" s="1212" t="s">
        <v>75</v>
      </c>
      <c r="B101" s="335">
        <v>32</v>
      </c>
    </row>
    <row r="102" spans="1:6">
      <c r="A102" s="1212" t="s">
        <v>76</v>
      </c>
      <c r="B102" s="335">
        <v>19</v>
      </c>
    </row>
    <row r="103" spans="1:6">
      <c r="A103" s="1212" t="s">
        <v>77</v>
      </c>
      <c r="B103" s="335">
        <v>54</v>
      </c>
    </row>
    <row r="104" spans="1:6">
      <c r="A104" s="1212" t="s">
        <v>78</v>
      </c>
      <c r="B104" s="335">
        <v>1609</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14</v>
      </c>
      <c r="C123" s="335">
        <v>14</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43</v>
      </c>
    </row>
    <row r="130" spans="1:6">
      <c r="A130" s="1212" t="s">
        <v>295</v>
      </c>
      <c r="B130" s="335">
        <v>0</v>
      </c>
    </row>
    <row r="131" spans="1:6">
      <c r="A131" s="1212" t="s">
        <v>296</v>
      </c>
      <c r="B131" s="335">
        <v>1</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20858.169219118503</v>
      </c>
      <c r="C3" s="43" t="s">
        <v>170</v>
      </c>
      <c r="D3" s="43"/>
      <c r="E3" s="156"/>
      <c r="F3" s="43"/>
      <c r="G3" s="43"/>
      <c r="H3" s="43"/>
      <c r="I3" s="43"/>
      <c r="J3" s="43"/>
      <c r="K3" s="96"/>
    </row>
    <row r="4" spans="1:11">
      <c r="A4" s="366" t="s">
        <v>171</v>
      </c>
      <c r="B4" s="49">
        <f>IF(ISERROR('SEAP template'!B69),0,'SEAP template'!B69)</f>
        <v>7631.9741733514056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0.14013641726692533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8022.8571428571431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475.72199999999998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475.72199999999998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0.14013641726692533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66.665976695056244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12762.6693810819</v>
      </c>
      <c r="C5" s="17">
        <f>IF(ISERROR('Eigen informatie GS &amp; warmtenet'!B57),0,'Eigen informatie GS &amp; warmtenet'!B57)</f>
        <v>0</v>
      </c>
      <c r="D5" s="30">
        <f>(SUM(HH_hh_gas_kWh,HH_rest_gas_kWh)/1000)*0.902</f>
        <v>30532.219746078394</v>
      </c>
      <c r="E5" s="17">
        <f>B46*B57</f>
        <v>2505.5609839235917</v>
      </c>
      <c r="F5" s="17">
        <f>B51*B62</f>
        <v>21296.6097567672</v>
      </c>
      <c r="G5" s="18"/>
      <c r="H5" s="17"/>
      <c r="I5" s="17"/>
      <c r="J5" s="17">
        <f>B50*B61+C50*C61</f>
        <v>0</v>
      </c>
      <c r="K5" s="17"/>
      <c r="L5" s="17"/>
      <c r="M5" s="17"/>
      <c r="N5" s="17">
        <f>B48*B59+C48*C59</f>
        <v>6679.5848231322871</v>
      </c>
      <c r="O5" s="17">
        <f>B69*B70*B71</f>
        <v>92.236666666666679</v>
      </c>
      <c r="P5" s="17">
        <f>B77*B78*B79/1000-B77*B78*B79/1000/B80</f>
        <v>381.33333333333337</v>
      </c>
    </row>
    <row r="6" spans="1:16">
      <c r="A6" s="16" t="s">
        <v>634</v>
      </c>
      <c r="B6" s="831">
        <f>kWh_PV_kleiner_dan_10kW</f>
        <v>1739.6361366605081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14502.305517742408</v>
      </c>
      <c r="C8" s="21">
        <f>C5</f>
        <v>0</v>
      </c>
      <c r="D8" s="21">
        <f>D5</f>
        <v>30532.219746078394</v>
      </c>
      <c r="E8" s="21">
        <f>E5</f>
        <v>2505.5609839235917</v>
      </c>
      <c r="F8" s="21">
        <f>F5</f>
        <v>21296.6097567672</v>
      </c>
      <c r="G8" s="21"/>
      <c r="H8" s="21"/>
      <c r="I8" s="21"/>
      <c r="J8" s="21">
        <f>J5</f>
        <v>0</v>
      </c>
      <c r="K8" s="21"/>
      <c r="L8" s="21">
        <f>L5</f>
        <v>0</v>
      </c>
      <c r="M8" s="21">
        <f>M5</f>
        <v>0</v>
      </c>
      <c r="N8" s="21">
        <f>N5</f>
        <v>6679.5848231322871</v>
      </c>
      <c r="O8" s="21">
        <f>O5</f>
        <v>92.236666666666679</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0.14013641726692533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2032.3011373667837</v>
      </c>
      <c r="C12" s="23">
        <f ca="1">C10*C8</f>
        <v>0</v>
      </c>
      <c r="D12" s="23">
        <f>D8*D10</f>
        <v>6167.5083887078363</v>
      </c>
      <c r="E12" s="23">
        <f>E10*E8</f>
        <v>568.76234335065533</v>
      </c>
      <c r="F12" s="23">
        <f>F10*F8</f>
        <v>5686.1948050568426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725</v>
      </c>
      <c r="C18" s="168" t="s">
        <v>111</v>
      </c>
      <c r="D18" s="230"/>
      <c r="E18" s="15"/>
    </row>
    <row r="19" spans="1:7">
      <c r="A19" s="173" t="s">
        <v>72</v>
      </c>
      <c r="B19" s="37">
        <f>aantalw2001_ander</f>
        <v>0</v>
      </c>
      <c r="C19" s="168" t="s">
        <v>111</v>
      </c>
      <c r="D19" s="231"/>
      <c r="E19" s="15"/>
    </row>
    <row r="20" spans="1:7">
      <c r="A20" s="173" t="s">
        <v>73</v>
      </c>
      <c r="B20" s="37">
        <f>aantalw2001_propaan</f>
        <v>45</v>
      </c>
      <c r="C20" s="169">
        <f>IF(ISERROR(B20/SUM($B$20,$B$21,$B$22)*100),0,B20/SUM($B$20,$B$21,$B$22)*100)</f>
        <v>21.327014218009481</v>
      </c>
      <c r="D20" s="231"/>
      <c r="E20" s="15"/>
    </row>
    <row r="21" spans="1:7">
      <c r="A21" s="173" t="s">
        <v>74</v>
      </c>
      <c r="B21" s="37">
        <f>aantalw2001_elektriciteit</f>
        <v>134</v>
      </c>
      <c r="C21" s="169">
        <f>IF(ISERROR(B21/SUM($B$20,$B$21,$B$22)*100),0,B21/SUM($B$20,$B$21,$B$22)*100)</f>
        <v>63.507109004739334</v>
      </c>
      <c r="D21" s="231"/>
      <c r="E21" s="15"/>
    </row>
    <row r="22" spans="1:7">
      <c r="A22" s="173" t="s">
        <v>75</v>
      </c>
      <c r="B22" s="37">
        <f>aantalw2001_hout</f>
        <v>32</v>
      </c>
      <c r="C22" s="169">
        <f>IF(ISERROR(B22/SUM($B$20,$B$21,$B$22)*100),0,B22/SUM($B$20,$B$21,$B$22)*100)</f>
        <v>15.165876777251185</v>
      </c>
      <c r="D22" s="231"/>
      <c r="E22" s="15"/>
    </row>
    <row r="23" spans="1:7">
      <c r="A23" s="173" t="s">
        <v>76</v>
      </c>
      <c r="B23" s="37">
        <f>aantalw2001_niet_gespec</f>
        <v>19</v>
      </c>
      <c r="C23" s="168" t="s">
        <v>111</v>
      </c>
      <c r="D23" s="230"/>
      <c r="E23" s="15"/>
    </row>
    <row r="24" spans="1:7">
      <c r="A24" s="173" t="s">
        <v>77</v>
      </c>
      <c r="B24" s="37">
        <f>aantalw2001_steenkool</f>
        <v>54</v>
      </c>
      <c r="C24" s="168" t="s">
        <v>111</v>
      </c>
      <c r="D24" s="231"/>
      <c r="E24" s="15"/>
    </row>
    <row r="25" spans="1:7">
      <c r="A25" s="173" t="s">
        <v>78</v>
      </c>
      <c r="B25" s="37">
        <f>aantalw2001_stookolie</f>
        <v>1609</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3003</v>
      </c>
      <c r="C28" s="36"/>
      <c r="D28" s="230"/>
    </row>
    <row r="29" spans="1:7" s="15" customFormat="1">
      <c r="A29" s="232" t="s">
        <v>746</v>
      </c>
      <c r="B29" s="37">
        <f>SUM(HH_hh_gas_aantal,HH_rest_gas_aantal)</f>
        <v>1577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1577</v>
      </c>
      <c r="C32" s="169">
        <f>IF(ISERROR(B32/SUM($B$32,$B$34,$B$35,$B$36,$B$38,$B$39)*100),0,B32/SUM($B$32,$B$34,$B$35,$B$36,$B$38,$B$39)*100)</f>
        <v>52.866242038216562</v>
      </c>
      <c r="D32" s="235"/>
      <c r="G32" s="15"/>
    </row>
    <row r="33" spans="1:7">
      <c r="A33" s="173" t="s">
        <v>72</v>
      </c>
      <c r="B33" s="34" t="s">
        <v>111</v>
      </c>
      <c r="C33" s="169"/>
      <c r="D33" s="235"/>
      <c r="G33" s="15"/>
    </row>
    <row r="34" spans="1:7">
      <c r="A34" s="173" t="s">
        <v>73</v>
      </c>
      <c r="B34" s="33">
        <f>IF((($B$28-$B$32-$B$39-$B$77-$B$38)*C20/100)&lt;0,0,($B$28-$B$32-$B$39-$B$77-$B$38)*C20/100)</f>
        <v>120.24170616113746</v>
      </c>
      <c r="C34" s="169">
        <f>IF(ISERROR(B34/SUM($B$32,$B$34,$B$35,$B$36,$B$38,$B$39)*100),0,B34/SUM($B$32,$B$34,$B$35,$B$36,$B$38,$B$39)*100)</f>
        <v>4.0308986309466128</v>
      </c>
      <c r="D34" s="235"/>
      <c r="G34" s="15"/>
    </row>
    <row r="35" spans="1:7">
      <c r="A35" s="173" t="s">
        <v>74</v>
      </c>
      <c r="B35" s="33">
        <f>IF((($B$28-$B$32-$B$39-$B$77-$B$38)*C21/100)&lt;0,0,($B$28-$B$32-$B$39-$B$77-$B$38)*C21/100)</f>
        <v>358.05308056872042</v>
      </c>
      <c r="C35" s="169">
        <f>IF(ISERROR(B35/SUM($B$32,$B$34,$B$35,$B$36,$B$38,$B$39)*100),0,B35/SUM($B$32,$B$34,$B$35,$B$36,$B$38,$B$39)*100)</f>
        <v>12.003120367707691</v>
      </c>
      <c r="D35" s="235"/>
      <c r="G35" s="15"/>
    </row>
    <row r="36" spans="1:7">
      <c r="A36" s="173" t="s">
        <v>75</v>
      </c>
      <c r="B36" s="33">
        <f>IF((($B$28-$B$32-$B$39-$B$77-$B$38)*C22/100)&lt;0,0,($B$28-$B$32-$B$39-$B$77-$B$38)*C22/100)</f>
        <v>85.505213270142193</v>
      </c>
      <c r="C36" s="169">
        <f>IF(ISERROR(B36/SUM($B$32,$B$34,$B$35,$B$36,$B$38,$B$39)*100),0,B36/SUM($B$32,$B$34,$B$35,$B$36,$B$38,$B$39)*100)</f>
        <v>2.8664168042287024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842.19999999999993</v>
      </c>
      <c r="C39" s="169">
        <f>IF(ISERROR(B39/SUM($B$32,$B$34,$B$35,$B$36,$B$38,$B$39)*100),0,B39/SUM($B$32,$B$34,$B$35,$B$36,$B$38,$B$39)*100)</f>
        <v>28.233322158900432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1577</v>
      </c>
      <c r="C44" s="34" t="s">
        <v>111</v>
      </c>
      <c r="D44" s="176"/>
    </row>
    <row r="45" spans="1:7">
      <c r="A45" s="173" t="s">
        <v>72</v>
      </c>
      <c r="B45" s="33" t="str">
        <f t="shared" si="0"/>
        <v>-</v>
      </c>
      <c r="C45" s="34" t="s">
        <v>111</v>
      </c>
      <c r="D45" s="176"/>
    </row>
    <row r="46" spans="1:7">
      <c r="A46" s="173" t="s">
        <v>73</v>
      </c>
      <c r="B46" s="33">
        <f t="shared" si="0"/>
        <v>120.24170616113746</v>
      </c>
      <c r="C46" s="34" t="s">
        <v>111</v>
      </c>
      <c r="D46" s="176"/>
    </row>
    <row r="47" spans="1:7">
      <c r="A47" s="173" t="s">
        <v>74</v>
      </c>
      <c r="B47" s="33">
        <f t="shared" si="0"/>
        <v>358.05308056872042</v>
      </c>
      <c r="C47" s="34" t="s">
        <v>111</v>
      </c>
      <c r="D47" s="176"/>
    </row>
    <row r="48" spans="1:7">
      <c r="A48" s="173" t="s">
        <v>75</v>
      </c>
      <c r="B48" s="33">
        <f t="shared" si="0"/>
        <v>85.505213270142193</v>
      </c>
      <c r="C48" s="33">
        <f>B48*10</f>
        <v>855.0521327014219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842.19999999999993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4470.6554352080275</v>
      </c>
      <c r="C5" s="17">
        <f>IF(ISERROR('Eigen informatie GS &amp; warmtenet'!B58),0,'Eigen informatie GS &amp; warmtenet'!B58)</f>
        <v>0</v>
      </c>
      <c r="D5" s="30">
        <f>SUM(D6:D12)</f>
        <v>5419.6800808004264</v>
      </c>
      <c r="E5" s="17">
        <f>SUM(E6:E12)</f>
        <v>50.573587505969499</v>
      </c>
      <c r="F5" s="17">
        <f>SUM(F6:F12)</f>
        <v>850.53225723416369</v>
      </c>
      <c r="G5" s="18"/>
      <c r="H5" s="17"/>
      <c r="I5" s="17"/>
      <c r="J5" s="17">
        <f>SUM(J6:J12)</f>
        <v>0</v>
      </c>
      <c r="K5" s="17"/>
      <c r="L5" s="17"/>
      <c r="M5" s="17"/>
      <c r="N5" s="17">
        <f>SUM(N6:N12)</f>
        <v>382.06454882430637</v>
      </c>
      <c r="O5" s="17">
        <f>B38*B39*B40</f>
        <v>0</v>
      </c>
      <c r="P5" s="17">
        <f>B46*B47*B48/1000-B46*B47*B48/1000/B49</f>
        <v>19.066666666666666</v>
      </c>
      <c r="R5" s="32"/>
    </row>
    <row r="6" spans="1:18">
      <c r="A6" s="32" t="s">
        <v>54</v>
      </c>
      <c r="B6" s="37">
        <f>B26</f>
        <v>1632.2874526913899</v>
      </c>
      <c r="C6" s="33"/>
      <c r="D6" s="37">
        <f>IF(ISERROR(TER_kantoor_gas_kWh/1000),0,TER_kantoor_gas_kWh/1000)*0.902</f>
        <v>1704.1035876465103</v>
      </c>
      <c r="E6" s="33">
        <f>$C$26*'E Balans VL '!I12/100/3.6*1000000</f>
        <v>6.3417823290946806</v>
      </c>
      <c r="F6" s="33">
        <f>$C$26*('E Balans VL '!L12+'E Balans VL '!N12)/100/3.6*1000000</f>
        <v>248.25606892269548</v>
      </c>
      <c r="G6" s="34"/>
      <c r="H6" s="33"/>
      <c r="I6" s="33"/>
      <c r="J6" s="33">
        <f>$C$26*('E Balans VL '!D12+'E Balans VL '!E12)/100/3.6*1000000</f>
        <v>0</v>
      </c>
      <c r="K6" s="33"/>
      <c r="L6" s="33"/>
      <c r="M6" s="33"/>
      <c r="N6" s="33">
        <f>$C$26*'E Balans VL '!Y12/100/3.6*1000000</f>
        <v>0.89958592965415685</v>
      </c>
      <c r="O6" s="33"/>
      <c r="P6" s="33"/>
      <c r="R6" s="32"/>
    </row>
    <row r="7" spans="1:18">
      <c r="A7" s="32" t="s">
        <v>53</v>
      </c>
      <c r="B7" s="37">
        <f t="shared" ref="B7:B12" si="0">B27</f>
        <v>268.42146237418496</v>
      </c>
      <c r="C7" s="33"/>
      <c r="D7" s="37">
        <f>IF(ISERROR(TER_horeca_gas_kWh/1000),0,TER_horeca_gas_kWh/1000)*0.902</f>
        <v>487.74927852504669</v>
      </c>
      <c r="E7" s="33">
        <f>$C$27*'E Balans VL '!I9/100/3.6*1000000</f>
        <v>15.120252739546837</v>
      </c>
      <c r="F7" s="33">
        <f>$C$27*('E Balans VL '!L9+'E Balans VL '!N9)/100/3.6*1000000</f>
        <v>77.396679683816856</v>
      </c>
      <c r="G7" s="34"/>
      <c r="H7" s="33"/>
      <c r="I7" s="33"/>
      <c r="J7" s="33">
        <f>$C$27*('E Balans VL '!D9+'E Balans VL '!E9)/100/3.6*1000000</f>
        <v>0</v>
      </c>
      <c r="K7" s="33"/>
      <c r="L7" s="33"/>
      <c r="M7" s="33"/>
      <c r="N7" s="33">
        <f>$C$27*'E Balans VL '!Y9/100/3.6*1000000</f>
        <v>7.4109770912356904E-2</v>
      </c>
      <c r="O7" s="33"/>
      <c r="P7" s="33"/>
      <c r="R7" s="32"/>
    </row>
    <row r="8" spans="1:18">
      <c r="A8" s="6" t="s">
        <v>52</v>
      </c>
      <c r="B8" s="37">
        <f t="shared" si="0"/>
        <v>923.92793775229006</v>
      </c>
      <c r="C8" s="33"/>
      <c r="D8" s="37">
        <f>IF(ISERROR(TER_handel_gas_kWh/1000),0,TER_handel_gas_kWh/1000)*0.902</f>
        <v>177.57836163217695</v>
      </c>
      <c r="E8" s="33">
        <f>$C$28*'E Balans VL '!I13/100/3.6*1000000</f>
        <v>13.316936158689259</v>
      </c>
      <c r="F8" s="33">
        <f>$C$28*('E Balans VL '!L13+'E Balans VL '!N13)/100/3.6*1000000</f>
        <v>160.50779961731209</v>
      </c>
      <c r="G8" s="34"/>
      <c r="H8" s="33"/>
      <c r="I8" s="33"/>
      <c r="J8" s="33">
        <f>$C$28*('E Balans VL '!D13+'E Balans VL '!E13)/100/3.6*1000000</f>
        <v>0</v>
      </c>
      <c r="K8" s="33"/>
      <c r="L8" s="33"/>
      <c r="M8" s="33"/>
      <c r="N8" s="33">
        <f>$C$28*'E Balans VL '!Y13/100/3.6*1000000</f>
        <v>2.7681909552826953</v>
      </c>
      <c r="O8" s="33"/>
      <c r="P8" s="33"/>
      <c r="R8" s="32"/>
    </row>
    <row r="9" spans="1:18">
      <c r="A9" s="32" t="s">
        <v>51</v>
      </c>
      <c r="B9" s="37">
        <f t="shared" si="0"/>
        <v>96.301313674951501</v>
      </c>
      <c r="C9" s="33"/>
      <c r="D9" s="37">
        <f>IF(ISERROR(TER_gezond_gas_kWh/1000),0,TER_gezond_gas_kWh/1000)*0.902</f>
        <v>193.92985583732505</v>
      </c>
      <c r="E9" s="33">
        <f>$C$29*'E Balans VL '!I10/100/3.6*1000000</f>
        <v>0.1028747633887117</v>
      </c>
      <c r="F9" s="33">
        <f>$C$29*('E Balans VL '!L10+'E Balans VL '!N10)/100/3.6*1000000</f>
        <v>15.709670967132544</v>
      </c>
      <c r="G9" s="34"/>
      <c r="H9" s="33"/>
      <c r="I9" s="33"/>
      <c r="J9" s="33">
        <f>$C$29*('E Balans VL '!D10+'E Balans VL '!E10)/100/3.6*1000000</f>
        <v>0</v>
      </c>
      <c r="K9" s="33"/>
      <c r="L9" s="33"/>
      <c r="M9" s="33"/>
      <c r="N9" s="33">
        <f>$C$29*'E Balans VL '!Y10/100/3.6*1000000</f>
        <v>0.99136707585028072</v>
      </c>
      <c r="O9" s="33"/>
      <c r="P9" s="33"/>
      <c r="R9" s="32"/>
    </row>
    <row r="10" spans="1:18">
      <c r="A10" s="32" t="s">
        <v>50</v>
      </c>
      <c r="B10" s="37">
        <f t="shared" si="0"/>
        <v>412.38890026948098</v>
      </c>
      <c r="C10" s="33"/>
      <c r="D10" s="37">
        <f>IF(ISERROR(TER_ander_gas_kWh/1000),0,TER_ander_gas_kWh/1000)*0.902</f>
        <v>451.98714380912128</v>
      </c>
      <c r="E10" s="33">
        <f>$C$30*'E Balans VL '!I14/100/3.6*1000000</f>
        <v>1.8965138233310095</v>
      </c>
      <c r="F10" s="33">
        <f>$C$30*('E Balans VL '!L14+'E Balans VL '!N14)/100/3.6*1000000</f>
        <v>123.6059613258072</v>
      </c>
      <c r="G10" s="34"/>
      <c r="H10" s="33"/>
      <c r="I10" s="33"/>
      <c r="J10" s="33">
        <f>$C$30*('E Balans VL '!D14+'E Balans VL '!E14)/100/3.6*1000000</f>
        <v>0</v>
      </c>
      <c r="K10" s="33"/>
      <c r="L10" s="33"/>
      <c r="M10" s="33"/>
      <c r="N10" s="33">
        <f>$C$30*'E Balans VL '!Y14/100/3.6*1000000</f>
        <v>287.04989669586297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1137.3283684457301</v>
      </c>
      <c r="C12" s="33"/>
      <c r="D12" s="37">
        <f>IF(ISERROR(TER_rest_gas_kWh/1000),0,TER_rest_gas_kWh/1000)*0.902</f>
        <v>2404.3318533502461</v>
      </c>
      <c r="E12" s="33">
        <f>$C$32*'E Balans VL '!I8/100/3.6*1000000</f>
        <v>13.795227691918996</v>
      </c>
      <c r="F12" s="33">
        <f>$C$32*('E Balans VL '!L8+'E Balans VL '!N8)/100/3.6*1000000</f>
        <v>225.05607671739952</v>
      </c>
      <c r="G12" s="34"/>
      <c r="H12" s="33"/>
      <c r="I12" s="33"/>
      <c r="J12" s="33">
        <f>$C$32*('E Balans VL '!D8+'E Balans VL '!E8)/100/3.6*1000000</f>
        <v>0</v>
      </c>
      <c r="K12" s="33"/>
      <c r="L12" s="33"/>
      <c r="M12" s="33"/>
      <c r="N12" s="33">
        <f>$C$32*'E Balans VL '!Y8/100/3.6*1000000</f>
        <v>90.281398396743924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4470.6554352080275</v>
      </c>
      <c r="C16" s="21">
        <f t="shared" ca="1" si="1"/>
        <v>0</v>
      </c>
      <c r="D16" s="21">
        <f t="shared" ca="1" si="1"/>
        <v>5419.6800808004264</v>
      </c>
      <c r="E16" s="21">
        <f t="shared" si="1"/>
        <v>50.573587505969499</v>
      </c>
      <c r="F16" s="21">
        <f t="shared" ca="1" si="1"/>
        <v>850.53225723416369</v>
      </c>
      <c r="G16" s="21">
        <f t="shared" si="1"/>
        <v>0</v>
      </c>
      <c r="H16" s="21">
        <f t="shared" si="1"/>
        <v>0</v>
      </c>
      <c r="I16" s="21">
        <f t="shared" si="1"/>
        <v>0</v>
      </c>
      <c r="J16" s="21">
        <f t="shared" si="1"/>
        <v>0</v>
      </c>
      <c r="K16" s="21">
        <f t="shared" si="1"/>
        <v>0</v>
      </c>
      <c r="L16" s="21">
        <f t="shared" ca="1" si="1"/>
        <v>0</v>
      </c>
      <c r="M16" s="21">
        <f t="shared" si="1"/>
        <v>0</v>
      </c>
      <c r="N16" s="21">
        <f t="shared" ca="1" si="1"/>
        <v>382.06454882430637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0.14013641726692533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626.50163552495974</v>
      </c>
      <c r="C20" s="23">
        <f t="shared" ref="C20:P20" ca="1" si="2">C16*C18</f>
        <v>0</v>
      </c>
      <c r="D20" s="23">
        <f t="shared" ca="1" si="2"/>
        <v>1094.7753763216863</v>
      </c>
      <c r="E20" s="23">
        <f t="shared" si="2"/>
        <v>11.480204363855076</v>
      </c>
      <c r="F20" s="23">
        <f t="shared" ca="1" si="2"/>
        <v>227.09211268152171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1632.2874526913899</v>
      </c>
      <c r="C26" s="39">
        <f>IF(ISERROR(B26*3.6/1000000/'E Balans VL '!Z12*100),0,B26*3.6/1000000/'E Balans VL '!Z12*100)</f>
        <v>3.4670594025261715E-2</v>
      </c>
      <c r="D26" s="239" t="s">
        <v>692</v>
      </c>
      <c r="F26" s="6"/>
    </row>
    <row r="27" spans="1:18">
      <c r="A27" s="233" t="s">
        <v>53</v>
      </c>
      <c r="B27" s="33">
        <f>IF(ISERROR(TER_horeca_ele_kWh/1000),0,TER_horeca_ele_kWh/1000)</f>
        <v>268.42146237418496</v>
      </c>
      <c r="C27" s="39">
        <f>IF(ISERROR(B27*3.6/1000000/'E Balans VL '!Z9*100),0,B27*3.6/1000000/'E Balans VL '!Z9*100)</f>
        <v>2.0871403407315008E-2</v>
      </c>
      <c r="D27" s="239" t="s">
        <v>692</v>
      </c>
      <c r="F27" s="6"/>
    </row>
    <row r="28" spans="1:18">
      <c r="A28" s="173" t="s">
        <v>52</v>
      </c>
      <c r="B28" s="33">
        <f>IF(ISERROR(TER_handel_ele_kWh/1000),0,TER_handel_ele_kWh/1000)</f>
        <v>923.92793775229006</v>
      </c>
      <c r="C28" s="39">
        <f>IF(ISERROR(B28*3.6/1000000/'E Balans VL '!Z13*100),0,B28*3.6/1000000/'E Balans VL '!Z13*100)</f>
        <v>2.6434665653502172E-2</v>
      </c>
      <c r="D28" s="239" t="s">
        <v>692</v>
      </c>
      <c r="F28" s="6"/>
    </row>
    <row r="29" spans="1:18">
      <c r="A29" s="233" t="s">
        <v>51</v>
      </c>
      <c r="B29" s="33">
        <f>IF(ISERROR(TER_gezond_ele_kWh/1000),0,TER_gezond_ele_kWh/1000)</f>
        <v>96.301313674951501</v>
      </c>
      <c r="C29" s="39">
        <f>IF(ISERROR(B29*3.6/1000000/'E Balans VL '!Z10*100),0,B29*3.6/1000000/'E Balans VL '!Z10*100)</f>
        <v>1.0499080964719179E-2</v>
      </c>
      <c r="D29" s="239" t="s">
        <v>692</v>
      </c>
      <c r="F29" s="6"/>
    </row>
    <row r="30" spans="1:18">
      <c r="A30" s="233" t="s">
        <v>50</v>
      </c>
      <c r="B30" s="33">
        <f>IF(ISERROR(TER_ander_ele_kWh/1000),0,TER_ander_ele_kWh/1000)</f>
        <v>412.38890026948098</v>
      </c>
      <c r="C30" s="39">
        <f>IF(ISERROR(B30*3.6/1000000/'E Balans VL '!Z14*100),0,B30*3.6/1000000/'E Balans VL '!Z14*100)</f>
        <v>3.0177684239676376E-2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1137.3283684457301</v>
      </c>
      <c r="C32" s="39">
        <f>IF(ISERROR(B32*3.6/1000000/'E Balans VL '!Z8*100),0,B32*3.6/1000000/'E Balans VL '!Z8*100)</f>
        <v>9.2685359933148796E-3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902.93697598889707</v>
      </c>
      <c r="C5" s="17">
        <f>IF(ISERROR('Eigen informatie GS &amp; warmtenet'!B59),0,'Eigen informatie GS &amp; warmtenet'!B59)</f>
        <v>0</v>
      </c>
      <c r="D5" s="30">
        <f>SUM(D6:D15)</f>
        <v>637.05799312459942</v>
      </c>
      <c r="E5" s="17">
        <f>SUM(E6:E15)</f>
        <v>172.18584610205511</v>
      </c>
      <c r="F5" s="17">
        <f>SUM(F6:F15)</f>
        <v>688.75395647384323</v>
      </c>
      <c r="G5" s="18"/>
      <c r="H5" s="17"/>
      <c r="I5" s="17"/>
      <c r="J5" s="17">
        <f>SUM(J6:J15)</f>
        <v>0.4290933923891011</v>
      </c>
      <c r="K5" s="17"/>
      <c r="L5" s="17"/>
      <c r="M5" s="17"/>
      <c r="N5" s="17">
        <f>SUM(N6:N15)</f>
        <v>266.81386393003618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543.74624404506005</v>
      </c>
      <c r="C9" s="33"/>
      <c r="D9" s="37">
        <f>IF( ISERROR(IND_andere_gas_kWh/1000),0,IND_andere_gas_kWh/1000)*0.902</f>
        <v>245.56910987242972</v>
      </c>
      <c r="E9" s="33">
        <f>C31*'E Balans VL '!I19/100/3.6*1000000</f>
        <v>147.17873915210319</v>
      </c>
      <c r="F9" s="33">
        <f>C31*'E Balans VL '!L19/100/3.6*1000000+C31*'E Balans VL '!N19/100/3.6*1000000</f>
        <v>362.19253890625276</v>
      </c>
      <c r="G9" s="34"/>
      <c r="H9" s="33"/>
      <c r="I9" s="33"/>
      <c r="J9" s="40">
        <f>C31*'E Balans VL '!D19/100/3.6*1000000+C31*'E Balans VL '!E19/100/3.6*1000000</f>
        <v>0</v>
      </c>
      <c r="K9" s="33"/>
      <c r="L9" s="33"/>
      <c r="M9" s="33"/>
      <c r="N9" s="33">
        <f>C31*'E Balans VL '!Y19/100/3.6*1000000</f>
        <v>177.52411628232585</v>
      </c>
      <c r="O9" s="33"/>
      <c r="P9" s="33"/>
      <c r="R9" s="32"/>
    </row>
    <row r="10" spans="1:18">
      <c r="A10" s="6" t="s">
        <v>41</v>
      </c>
      <c r="B10" s="37">
        <f t="shared" si="0"/>
        <v>192.77138136976401</v>
      </c>
      <c r="C10" s="33"/>
      <c r="D10" s="37">
        <f>IF( ISERROR(IND_voed_gas_kWh/1000),0,IND_voed_gas_kWh/1000)*0.902</f>
        <v>166.46074150874415</v>
      </c>
      <c r="E10" s="33">
        <f>C32*'E Balans VL '!I20/100/3.6*1000000</f>
        <v>15.722876745242294</v>
      </c>
      <c r="F10" s="33">
        <f>C32*'E Balans VL '!L20/100/3.6*1000000+C32*'E Balans VL '!N20/100/3.6*1000000</f>
        <v>287.4396193745107</v>
      </c>
      <c r="G10" s="34"/>
      <c r="H10" s="33"/>
      <c r="I10" s="33"/>
      <c r="J10" s="40">
        <f>C32*'E Balans VL '!D20/100/3.6*1000000+C32*'E Balans VL '!E20/100/3.6*1000000</f>
        <v>2.5501313824553081E-3</v>
      </c>
      <c r="K10" s="33"/>
      <c r="L10" s="33"/>
      <c r="M10" s="33"/>
      <c r="N10" s="33">
        <f>C32*'E Balans VL '!Y20/100/3.6*1000000</f>
        <v>56.629429677851412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166.41935057407301</v>
      </c>
      <c r="C15" s="33"/>
      <c r="D15" s="37">
        <f>IF( ISERROR(IND_rest_gas_kWh/1000),0,IND_rest_gas_kWh/1000)*0.902</f>
        <v>225.02814174342555</v>
      </c>
      <c r="E15" s="33">
        <f>C37*'E Balans VL '!I15/100/3.6*1000000</f>
        <v>9.2842302047096119</v>
      </c>
      <c r="F15" s="33">
        <f>C37*'E Balans VL '!L15/100/3.6*1000000+C37*'E Balans VL '!N15/100/3.6*1000000</f>
        <v>39.121798193079826</v>
      </c>
      <c r="G15" s="34"/>
      <c r="H15" s="33"/>
      <c r="I15" s="33"/>
      <c r="J15" s="40">
        <f>C37*'E Balans VL '!D15/100/3.6*1000000+C37*'E Balans VL '!E15/100/3.6*1000000</f>
        <v>0.4265432610066458</v>
      </c>
      <c r="K15" s="33"/>
      <c r="L15" s="33"/>
      <c r="M15" s="33"/>
      <c r="N15" s="33">
        <f>C37*'E Balans VL '!Y15/100/3.6*1000000</f>
        <v>32.660317969858923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902.93697598889707</v>
      </c>
      <c r="C18" s="21">
        <f>C5+C16</f>
        <v>0</v>
      </c>
      <c r="D18" s="21">
        <f>MAX((D5+D16),0)</f>
        <v>637.05799312459942</v>
      </c>
      <c r="E18" s="21">
        <f>MAX((E5+E16),0)</f>
        <v>172.18584610205511</v>
      </c>
      <c r="F18" s="21">
        <f>MAX((F5+F16),0)</f>
        <v>688.75395647384323</v>
      </c>
      <c r="G18" s="21"/>
      <c r="H18" s="21"/>
      <c r="I18" s="21"/>
      <c r="J18" s="21">
        <f>MAX((J5+J16),0)</f>
        <v>0.4290933923891011</v>
      </c>
      <c r="K18" s="21"/>
      <c r="L18" s="21">
        <f>MAX((L5+L16),0)</f>
        <v>0</v>
      </c>
      <c r="M18" s="21"/>
      <c r="N18" s="21">
        <f>MAX((N5+N16),0)</f>
        <v>266.81386393003618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0.14013641726692533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126.53435283291581</v>
      </c>
      <c r="C22" s="23">
        <f ca="1">C18*C20</f>
        <v>0</v>
      </c>
      <c r="D22" s="23">
        <f>D18*D20</f>
        <v>128.68571461116909</v>
      </c>
      <c r="E22" s="23">
        <f>E18*E20</f>
        <v>39.086187065166513</v>
      </c>
      <c r="F22" s="23">
        <f>F18*F20</f>
        <v>183.89730637851616</v>
      </c>
      <c r="G22" s="23"/>
      <c r="H22" s="23"/>
      <c r="I22" s="23"/>
      <c r="J22" s="23">
        <f>J18*J20</f>
        <v>0.15189906090574179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543.74624404506005</v>
      </c>
      <c r="C31" s="39">
        <f>IF(ISERROR(B31*3.6/1000000/'E Balans VL '!Z19*100),0,B31*3.6/1000000/'E Balans VL '!Z19*100)</f>
        <v>2.3679715186056133E-2</v>
      </c>
      <c r="D31" s="239" t="s">
        <v>692</v>
      </c>
    </row>
    <row r="32" spans="1:18">
      <c r="A32" s="173" t="s">
        <v>41</v>
      </c>
      <c r="B32" s="37">
        <f>IF( ISERROR(IND_voed_ele_kWh/1000),0,IND_voed_ele_kWh/1000)</f>
        <v>192.77138136976401</v>
      </c>
      <c r="C32" s="39">
        <f>IF(ISERROR(B32*3.6/1000000/'E Balans VL '!Z20*100),0,B32*3.6/1000000/'E Balans VL '!Z20*100)</f>
        <v>3.6575589549158356E-2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166.41935057407301</v>
      </c>
      <c r="C37" s="39">
        <f>IF(ISERROR(B37*3.6/1000000/'E Balans VL '!Z15*100),0,B37*3.6/1000000/'E Balans VL '!Z15*100)</f>
        <v>1.282465501269463E-3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500.13010751310304</v>
      </c>
      <c r="C5" s="17">
        <f>'Eigen informatie GS &amp; warmtenet'!B60</f>
        <v>0</v>
      </c>
      <c r="D5" s="30">
        <f>IF(ISERROR(SUM(LB_lb_gas_kWh,LB_rest_gas_kWh,onbekend_gas_kWh)/1000),0,SUM(LB_lb_gas_kWh,LB_rest_gas_kWh,onbekend_gas_kWh)/1000)*0.902</f>
        <v>971.71758224022597</v>
      </c>
      <c r="E5" s="17">
        <f>B17*'E Balans VL '!I25/3.6*1000000/100</f>
        <v>6.3022836532427338</v>
      </c>
      <c r="F5" s="17">
        <f>B17*('E Balans VL '!L25/3.6*1000000+'E Balans VL '!N25/3.6*1000000)/100</f>
        <v>1725.5741609985268</v>
      </c>
      <c r="G5" s="18"/>
      <c r="H5" s="17"/>
      <c r="I5" s="17"/>
      <c r="J5" s="17">
        <f>('E Balans VL '!D25+'E Balans VL '!E25)/3.6*1000000*landbouw!B17/100</f>
        <v>75.213882891560644</v>
      </c>
      <c r="K5" s="17"/>
      <c r="L5" s="17">
        <f>L6*(-1)</f>
        <v>0</v>
      </c>
      <c r="M5" s="17"/>
      <c r="N5" s="17">
        <f>N6*(-1)</f>
        <v>16045.714285714286</v>
      </c>
      <c r="O5" s="17"/>
      <c r="P5" s="17"/>
      <c r="R5" s="32"/>
    </row>
    <row r="6" spans="1:18">
      <c r="A6" s="16" t="s">
        <v>497</v>
      </c>
      <c r="B6" s="17" t="s">
        <v>211</v>
      </c>
      <c r="C6" s="17">
        <f>'lokale energieproductie'!O91+'lokale energieproductie'!O60</f>
        <v>8022.8571428571431</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-16045.714285714286</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500.13010751310304</v>
      </c>
      <c r="C8" s="21">
        <f>C5+C6</f>
        <v>8022.8571428571431</v>
      </c>
      <c r="D8" s="21">
        <f>MAX((D5+D6),0)</f>
        <v>971.71758224022597</v>
      </c>
      <c r="E8" s="21">
        <f>MAX((E5+E6),0)</f>
        <v>6.3022836532427338</v>
      </c>
      <c r="F8" s="21">
        <f>MAX((F5+F6),0)</f>
        <v>1725.5741609985268</v>
      </c>
      <c r="G8" s="21"/>
      <c r="H8" s="21"/>
      <c r="I8" s="21"/>
      <c r="J8" s="21">
        <f>MAX((J5+J6),0)</f>
        <v>75.213882891560644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0.14013641726692533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70.086441434208439</v>
      </c>
      <c r="C12" s="23">
        <f ca="1">C8*C10</f>
        <v>0</v>
      </c>
      <c r="D12" s="23">
        <f>D8*D10</f>
        <v>196.28695161252566</v>
      </c>
      <c r="E12" s="23">
        <f>E8*E10</f>
        <v>1.4306183892861006</v>
      </c>
      <c r="F12" s="23">
        <f>F8*F10</f>
        <v>460.72830098660671</v>
      </c>
      <c r="G12" s="23"/>
      <c r="H12" s="23"/>
      <c r="I12" s="23"/>
      <c r="J12" s="23">
        <f>J8*J10</f>
        <v>26.625714543612467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6.9752386812083692E-2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142.45369012045776</v>
      </c>
      <c r="C26" s="249">
        <f>B26*'GWP N2O_CH4'!B5</f>
        <v>2991.527492529613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38.605111150579766</v>
      </c>
      <c r="C27" s="249">
        <f>B27*'GWP N2O_CH4'!B5</f>
        <v>810.70733416217513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2.8455643214027142</v>
      </c>
      <c r="C28" s="249">
        <f>B28*'GWP N2O_CH4'!B4</f>
        <v>882.12493963484144</v>
      </c>
      <c r="D28" s="50"/>
    </row>
    <row r="29" spans="1:4">
      <c r="A29" s="41" t="s">
        <v>277</v>
      </c>
      <c r="B29" s="249">
        <f>B34*'ha_N2O bodem landbouw'!B4</f>
        <v>11.126973922807416</v>
      </c>
      <c r="C29" s="249">
        <f>B29*'GWP N2O_CH4'!B4</f>
        <v>3449.3619160702988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2.7782942046984107E-3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2.31090575978471E-5</v>
      </c>
      <c r="C5" s="448" t="s">
        <v>211</v>
      </c>
      <c r="D5" s="433">
        <f>SUM(D6:D11)</f>
        <v>3.6053543767510215E-5</v>
      </c>
      <c r="E5" s="433">
        <f>SUM(E6:E11)</f>
        <v>1.2994846551872827E-3</v>
      </c>
      <c r="F5" s="446" t="s">
        <v>211</v>
      </c>
      <c r="G5" s="433">
        <f>SUM(G6:G11)</f>
        <v>0.3190416736421034</v>
      </c>
      <c r="H5" s="433">
        <f>SUM(H6:H11)</f>
        <v>5.5919963569368104E-2</v>
      </c>
      <c r="I5" s="448" t="s">
        <v>211</v>
      </c>
      <c r="J5" s="448" t="s">
        <v>211</v>
      </c>
      <c r="K5" s="448" t="s">
        <v>211</v>
      </c>
      <c r="L5" s="448" t="s">
        <v>211</v>
      </c>
      <c r="M5" s="433">
        <f>SUM(M6:M11)</f>
        <v>1.6786381763234402E-2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5.3779724546611806E-6</v>
      </c>
      <c r="C6" s="949"/>
      <c r="D6" s="949">
        <f>vkm_2011_GW_PW*SUMIFS(TableVerdeelsleutelVkm[CNG],TableVerdeelsleutelVkm[Voertuigtype],"Lichte voertuigen")*SUMIFS(TableECFTransport[EnergieConsumptieFactor (PJ per km)],TableECFTransport[Index],CONCATENATE($A6,"_CNG_CNG"))</f>
        <v>7.6162608229573884E-6</v>
      </c>
      <c r="E6" s="949">
        <f>vkm_2011_GW_PW*SUMIFS(TableVerdeelsleutelVkm[LPG],TableVerdeelsleutelVkm[Voertuigtype],"Lichte voertuigen")*SUMIFS(TableECFTransport[EnergieConsumptieFactor (PJ per km)],TableECFTransport[Index],CONCATENATE($A6,"_LPG_LPG"))</f>
        <v>2.3920167905651965E-4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4.2991091556217886E-2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1.1552097411579473E-2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2.4339588177377663E-3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2.113409531432715E-2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7.5297709334789537E-6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9.5369379077679304E-4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2.124170840178962E-6</v>
      </c>
      <c r="C8" s="949"/>
      <c r="D8" s="436">
        <f>vkm_2011_NGW_PW*SUMIFS(TableVerdeelsleutelVkm[CNG],TableVerdeelsleutelVkm[Voertuigtype],"Lichte voertuigen")*SUMIFS(TableECFTransport[EnergieConsumptieFactor (PJ per km)],TableECFTransport[Index],CONCATENATE($A8,"_CNG_CNG"))</f>
        <v>5.3592332701854308E-6</v>
      </c>
      <c r="E8" s="436">
        <f>vkm_2011_NGW_PW*SUMIFS(TableVerdeelsleutelVkm[LPG],TableVerdeelsleutelVkm[Voertuigtype],"Lichte voertuigen")*SUMIFS(TableECFTransport[EnergieConsumptieFactor (PJ per km)],TableECFTransport[Index],CONCATENATE($A8,"_LPG_LPG"))</f>
        <v>1.5503056832685889E-4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2.6279184662296059E-2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7.843406736280081E-3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1.5212865348977335E-3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6.3639020123728469E-3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2.1455877873353892E-6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2.871712061441873E-4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1.5606914303006958E-5</v>
      </c>
      <c r="C10" s="949"/>
      <c r="D10" s="436">
        <f>vkm_2011_SW_PW*SUMIFS(TableVerdeelsleutelVkm[CNG],TableVerdeelsleutelVkm[Voertuigtype],"Lichte voertuigen")*SUMIFS(TableECFTransport[EnergieConsumptieFactor (PJ per km)],TableECFTransport[Index],CONCATENATE($A10,"_CNG_CNG"))</f>
        <v>2.3078049674367394E-5</v>
      </c>
      <c r="E10" s="436">
        <f>vkm_2011_SW_PW*SUMIFS(TableVerdeelsleutelVkm[LPG],TableVerdeelsleutelVkm[Voertuigtype],"Lichte voertuigen")*SUMIFS(TableECFTransport[EnergieConsumptieFactor (PJ per km)],TableECFTransport[Index],CONCATENATE($A10,"_LPG_LPG"))</f>
        <v>9.052524078039042E-4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0.14734847920068903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3.6485996571323336E-2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8.2091318620928274E-3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7.4924920896200439E-2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2.8787491464399312E-5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3.3811395515850936E-3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6.4191826660686386</v>
      </c>
      <c r="C14" s="21"/>
      <c r="D14" s="21">
        <f t="shared" ref="D14:M14" si="0">((D5)*10^9/3600)+D12</f>
        <v>10.014873268752837</v>
      </c>
      <c r="E14" s="21">
        <f t="shared" si="0"/>
        <v>360.96795977424517</v>
      </c>
      <c r="F14" s="21"/>
      <c r="G14" s="21">
        <f t="shared" si="0"/>
        <v>88622.687122806499</v>
      </c>
      <c r="H14" s="21">
        <f t="shared" si="0"/>
        <v>15533.323213713362</v>
      </c>
      <c r="I14" s="21"/>
      <c r="J14" s="21"/>
      <c r="K14" s="21"/>
      <c r="L14" s="21"/>
      <c r="M14" s="21">
        <f t="shared" si="0"/>
        <v>4662.8838231206673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0.14013641726692533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0.8995612606048089</v>
      </c>
      <c r="C18" s="23"/>
      <c r="D18" s="23">
        <f t="shared" ref="D18:M18" si="1">D14*D16</f>
        <v>2.0230044002880732</v>
      </c>
      <c r="E18" s="23">
        <f t="shared" si="1"/>
        <v>81.939726868753652</v>
      </c>
      <c r="F18" s="23"/>
      <c r="G18" s="23">
        <f t="shared" si="1"/>
        <v>23662.257461789337</v>
      </c>
      <c r="H18" s="23">
        <f t="shared" si="1"/>
        <v>3867.7974802146273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2.6862386348988276E-3</v>
      </c>
      <c r="H50" s="323">
        <f t="shared" si="2"/>
        <v>0</v>
      </c>
      <c r="I50" s="323">
        <f t="shared" si="2"/>
        <v>0</v>
      </c>
      <c r="J50" s="323">
        <f t="shared" si="2"/>
        <v>0</v>
      </c>
      <c r="K50" s="323">
        <f t="shared" si="2"/>
        <v>0</v>
      </c>
      <c r="L50" s="323">
        <f t="shared" si="2"/>
        <v>0</v>
      </c>
      <c r="M50" s="323">
        <f t="shared" si="2"/>
        <v>1.1946360240902421E-4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2.6862386348988276E-3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1.1946360240902421E-4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746.17739858300763</v>
      </c>
      <c r="H54" s="21">
        <f t="shared" si="3"/>
        <v>0</v>
      </c>
      <c r="I54" s="21">
        <f t="shared" si="3"/>
        <v>0</v>
      </c>
      <c r="J54" s="21">
        <f t="shared" si="3"/>
        <v>0</v>
      </c>
      <c r="K54" s="21">
        <f t="shared" si="3"/>
        <v>0</v>
      </c>
      <c r="L54" s="21">
        <f t="shared" si="3"/>
        <v>0</v>
      </c>
      <c r="M54" s="21">
        <f t="shared" si="3"/>
        <v>33.184334002506723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0.14013641726692533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199.22936542166306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2015.9741733514052</v>
      </c>
      <c r="C6" s="1142"/>
      <c r="D6" s="1145"/>
      <c r="E6" s="1145"/>
      <c r="F6" s="1148"/>
      <c r="G6" s="1151"/>
      <c r="H6" s="1139"/>
      <c r="I6" s="1145"/>
      <c r="J6" s="1145"/>
      <c r="K6" s="1145"/>
      <c r="L6" s="1175"/>
      <c r="M6" s="561"/>
      <c r="N6" s="1187"/>
      <c r="O6" s="1188"/>
      <c r="Q6" s="559"/>
      <c r="R6" s="1172"/>
      <c r="S6" s="1172"/>
    </row>
    <row r="7" spans="1:19" s="549" customFormat="1">
      <c r="A7" s="562" t="s">
        <v>252</v>
      </c>
      <c r="B7" s="563">
        <f>N57</f>
        <v>5616</v>
      </c>
      <c r="C7" s="564">
        <f>B100</f>
        <v>0</v>
      </c>
      <c r="D7" s="565"/>
      <c r="E7" s="565">
        <f>E100</f>
        <v>0</v>
      </c>
      <c r="F7" s="566"/>
      <c r="G7" s="567"/>
      <c r="H7" s="565">
        <f>I100</f>
        <v>0</v>
      </c>
      <c r="I7" s="565">
        <f>G100+F100</f>
        <v>0</v>
      </c>
      <c r="J7" s="565">
        <f>H100+D100+C100</f>
        <v>6607.0588235294117</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7631.9741733514056</v>
      </c>
      <c r="C9" s="580">
        <f t="shared" ref="C9:L9" si="0">SUM(C7:C8)</f>
        <v>0</v>
      </c>
      <c r="D9" s="580">
        <f t="shared" si="0"/>
        <v>0</v>
      </c>
      <c r="E9" s="580">
        <f t="shared" si="0"/>
        <v>0</v>
      </c>
      <c r="F9" s="580">
        <f t="shared" si="0"/>
        <v>0</v>
      </c>
      <c r="G9" s="580">
        <f t="shared" si="0"/>
        <v>0</v>
      </c>
      <c r="H9" s="580">
        <f t="shared" si="0"/>
        <v>0</v>
      </c>
      <c r="I9" s="580">
        <f t="shared" si="0"/>
        <v>0</v>
      </c>
      <c r="J9" s="580">
        <f t="shared" si="0"/>
        <v>6607.0588235294117</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8022.8571428571431</v>
      </c>
      <c r="C16" s="596">
        <f>B101</f>
        <v>0</v>
      </c>
      <c r="D16" s="597"/>
      <c r="E16" s="597">
        <f>E101</f>
        <v>0</v>
      </c>
      <c r="F16" s="598"/>
      <c r="G16" s="599"/>
      <c r="H16" s="596">
        <f>I101</f>
        <v>0</v>
      </c>
      <c r="I16" s="597">
        <f>G101+F101</f>
        <v>0</v>
      </c>
      <c r="J16" s="597">
        <f>H101+D101+C101</f>
        <v>9438.6554621848754</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8022.8571428571431</v>
      </c>
      <c r="C19" s="579">
        <f>SUM(C16:C18)</f>
        <v>0</v>
      </c>
      <c r="D19" s="579">
        <f t="shared" ref="D19:M19" si="1">SUM(D16:D18)</f>
        <v>0</v>
      </c>
      <c r="E19" s="579">
        <f t="shared" si="1"/>
        <v>0</v>
      </c>
      <c r="F19" s="579">
        <f t="shared" si="1"/>
        <v>0</v>
      </c>
      <c r="G19" s="579">
        <f t="shared" si="1"/>
        <v>0</v>
      </c>
      <c r="H19" s="579">
        <f t="shared" si="1"/>
        <v>0</v>
      </c>
      <c r="I19" s="579">
        <f t="shared" si="1"/>
        <v>0</v>
      </c>
      <c r="J19" s="579">
        <f t="shared" si="1"/>
        <v>9438.6554621848754</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24016</v>
      </c>
      <c r="C27" s="839">
        <v>3370</v>
      </c>
      <c r="D27" s="658" t="s">
        <v>840</v>
      </c>
      <c r="E27" s="657" t="s">
        <v>841</v>
      </c>
      <c r="F27" s="657" t="s">
        <v>842</v>
      </c>
      <c r="G27" s="657" t="s">
        <v>843</v>
      </c>
      <c r="H27" s="657" t="s">
        <v>844</v>
      </c>
      <c r="I27" s="657" t="s">
        <v>845</v>
      </c>
      <c r="J27" s="838">
        <v>40049</v>
      </c>
      <c r="K27" s="838">
        <v>40168</v>
      </c>
      <c r="L27" s="657" t="s">
        <v>846</v>
      </c>
      <c r="M27" s="657">
        <v>1248</v>
      </c>
      <c r="N27" s="657">
        <v>5616</v>
      </c>
      <c r="O27" s="657">
        <v>8022.8571428571431</v>
      </c>
      <c r="P27" s="657">
        <v>0</v>
      </c>
      <c r="Q27" s="657">
        <v>16045.714285714286</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1248</v>
      </c>
      <c r="N57" s="615">
        <f>SUM(N27:N56)</f>
        <v>5616</v>
      </c>
      <c r="O57" s="615">
        <f t="shared" ref="O57:W57" si="2">SUM(O27:O56)</f>
        <v>8022.8571428571431</v>
      </c>
      <c r="P57" s="615">
        <f t="shared" si="2"/>
        <v>0</v>
      </c>
      <c r="Q57" s="615">
        <f t="shared" si="2"/>
        <v>16045.714285714286</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1248</v>
      </c>
      <c r="N60" s="620">
        <f t="shared" ref="N60:W60" si="4">SUMIF($Z$27:$Z$56,"landbouw",N27:N56)</f>
        <v>5616</v>
      </c>
      <c r="O60" s="620">
        <f t="shared" si="4"/>
        <v>8022.8571428571431</v>
      </c>
      <c r="P60" s="620">
        <f t="shared" si="4"/>
        <v>0</v>
      </c>
      <c r="Q60" s="620">
        <f t="shared" si="4"/>
        <v>16045.714285714286</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6607.0588235294117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9438.6554621848754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4946.3774352080272</v>
      </c>
      <c r="D10" s="704">
        <f ca="1">tertiair!C16</f>
        <v>0</v>
      </c>
      <c r="E10" s="704">
        <f ca="1">tertiair!D16</f>
        <v>5419.6800808004264</v>
      </c>
      <c r="F10" s="704">
        <f>tertiair!E16</f>
        <v>50.573587505969499</v>
      </c>
      <c r="G10" s="704">
        <f ca="1">tertiair!F16</f>
        <v>850.53225723416369</v>
      </c>
      <c r="H10" s="704">
        <f>tertiair!G16</f>
        <v>0</v>
      </c>
      <c r="I10" s="704">
        <f>tertiair!H16</f>
        <v>0</v>
      </c>
      <c r="J10" s="704">
        <f>tertiair!I16</f>
        <v>0</v>
      </c>
      <c r="K10" s="704">
        <f>tertiair!J16</f>
        <v>0</v>
      </c>
      <c r="L10" s="704">
        <f>tertiair!K16</f>
        <v>0</v>
      </c>
      <c r="M10" s="704">
        <f ca="1">tertiair!L16</f>
        <v>0</v>
      </c>
      <c r="N10" s="704">
        <f>tertiair!M16</f>
        <v>0</v>
      </c>
      <c r="O10" s="704">
        <f ca="1">tertiair!N16</f>
        <v>382.06454882430637</v>
      </c>
      <c r="P10" s="704">
        <f>tertiair!O16</f>
        <v>0</v>
      </c>
      <c r="Q10" s="705">
        <f>tertiair!P16</f>
        <v>19.066666666666666</v>
      </c>
      <c r="R10" s="707">
        <f ca="1">SUM(C10:Q10)</f>
        <v>11668.294576239559</v>
      </c>
      <c r="S10" s="67"/>
    </row>
    <row r="11" spans="1:19" s="459" customFormat="1">
      <c r="A11" s="858" t="s">
        <v>225</v>
      </c>
      <c r="B11" s="863"/>
      <c r="C11" s="704">
        <f>huishoudens!B8</f>
        <v>14502.305517742408</v>
      </c>
      <c r="D11" s="704">
        <f>huishoudens!C8</f>
        <v>0</v>
      </c>
      <c r="E11" s="704">
        <f>huishoudens!D8</f>
        <v>30532.219746078394</v>
      </c>
      <c r="F11" s="704">
        <f>huishoudens!E8</f>
        <v>2505.5609839235917</v>
      </c>
      <c r="G11" s="704">
        <f>huishoudens!F8</f>
        <v>21296.6097567672</v>
      </c>
      <c r="H11" s="704">
        <f>huishoudens!G8</f>
        <v>0</v>
      </c>
      <c r="I11" s="704">
        <f>huishoudens!H8</f>
        <v>0</v>
      </c>
      <c r="J11" s="704">
        <f>huishoudens!I8</f>
        <v>0</v>
      </c>
      <c r="K11" s="704">
        <f>huishoudens!J8</f>
        <v>0</v>
      </c>
      <c r="L11" s="704">
        <f>huishoudens!K8</f>
        <v>0</v>
      </c>
      <c r="M11" s="704">
        <f>huishoudens!L8</f>
        <v>0</v>
      </c>
      <c r="N11" s="704">
        <f>huishoudens!M8</f>
        <v>0</v>
      </c>
      <c r="O11" s="704">
        <f>huishoudens!N8</f>
        <v>6679.5848231322871</v>
      </c>
      <c r="P11" s="704">
        <f>huishoudens!O8</f>
        <v>92.236666666666679</v>
      </c>
      <c r="Q11" s="705">
        <f>huishoudens!P8</f>
        <v>381.33333333333337</v>
      </c>
      <c r="R11" s="707">
        <f>SUM(C11:Q11)</f>
        <v>75989.850827643881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902.93697598889707</v>
      </c>
      <c r="D13" s="704">
        <f>industrie!C18</f>
        <v>0</v>
      </c>
      <c r="E13" s="704">
        <f>industrie!D18</f>
        <v>637.05799312459942</v>
      </c>
      <c r="F13" s="704">
        <f>industrie!E18</f>
        <v>172.18584610205511</v>
      </c>
      <c r="G13" s="704">
        <f>industrie!F18</f>
        <v>688.75395647384323</v>
      </c>
      <c r="H13" s="704">
        <f>industrie!G18</f>
        <v>0</v>
      </c>
      <c r="I13" s="704">
        <f>industrie!H18</f>
        <v>0</v>
      </c>
      <c r="J13" s="704">
        <f>industrie!I18</f>
        <v>0</v>
      </c>
      <c r="K13" s="704">
        <f>industrie!J18</f>
        <v>0.4290933923891011</v>
      </c>
      <c r="L13" s="704">
        <f>industrie!K18</f>
        <v>0</v>
      </c>
      <c r="M13" s="704">
        <f>industrie!L18</f>
        <v>0</v>
      </c>
      <c r="N13" s="704">
        <f>industrie!M18</f>
        <v>0</v>
      </c>
      <c r="O13" s="704">
        <f>industrie!N18</f>
        <v>266.81386393003618</v>
      </c>
      <c r="P13" s="704">
        <f>industrie!O18</f>
        <v>0</v>
      </c>
      <c r="Q13" s="705">
        <f>industrie!P18</f>
        <v>0</v>
      </c>
      <c r="R13" s="707">
        <f>SUM(C13:Q13)</f>
        <v>2668.1777290118198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20351.619928939333</v>
      </c>
      <c r="D15" s="709">
        <f t="shared" ref="D15:Q15" ca="1" si="0">SUM(D9:D14)</f>
        <v>0</v>
      </c>
      <c r="E15" s="709">
        <f t="shared" ca="1" si="0"/>
        <v>36588.957820003423</v>
      </c>
      <c r="F15" s="709">
        <f t="shared" si="0"/>
        <v>2728.3204175316164</v>
      </c>
      <c r="G15" s="709">
        <f t="shared" ca="1" si="0"/>
        <v>22835.895970475209</v>
      </c>
      <c r="H15" s="709">
        <f t="shared" si="0"/>
        <v>0</v>
      </c>
      <c r="I15" s="709">
        <f t="shared" si="0"/>
        <v>0</v>
      </c>
      <c r="J15" s="709">
        <f t="shared" si="0"/>
        <v>0</v>
      </c>
      <c r="K15" s="709">
        <f t="shared" si="0"/>
        <v>0.4290933923891011</v>
      </c>
      <c r="L15" s="709">
        <f t="shared" si="0"/>
        <v>0</v>
      </c>
      <c r="M15" s="709">
        <f t="shared" ca="1" si="0"/>
        <v>0</v>
      </c>
      <c r="N15" s="709">
        <f t="shared" si="0"/>
        <v>0</v>
      </c>
      <c r="O15" s="709">
        <f t="shared" ca="1" si="0"/>
        <v>7328.4632358866293</v>
      </c>
      <c r="P15" s="709">
        <f t="shared" si="0"/>
        <v>92.236666666666679</v>
      </c>
      <c r="Q15" s="710">
        <f t="shared" si="0"/>
        <v>400.40000000000003</v>
      </c>
      <c r="R15" s="711">
        <f ca="1">SUM(R9:R14)</f>
        <v>90326.323132895253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746.17739858300763</v>
      </c>
      <c r="I18" s="704">
        <f>transport!H54</f>
        <v>0</v>
      </c>
      <c r="J18" s="704">
        <f>transport!I54</f>
        <v>0</v>
      </c>
      <c r="K18" s="704">
        <f>transport!J54</f>
        <v>0</v>
      </c>
      <c r="L18" s="704">
        <f>transport!K54</f>
        <v>0</v>
      </c>
      <c r="M18" s="704">
        <f>transport!L54</f>
        <v>0</v>
      </c>
      <c r="N18" s="704">
        <f>transport!M54</f>
        <v>33.184334002506723</v>
      </c>
      <c r="O18" s="704">
        <f>transport!N54</f>
        <v>0</v>
      </c>
      <c r="P18" s="704">
        <f>transport!O54</f>
        <v>0</v>
      </c>
      <c r="Q18" s="705">
        <f>transport!P54</f>
        <v>0</v>
      </c>
      <c r="R18" s="707">
        <f>SUM(C18:Q18)</f>
        <v>779.36173258551435</v>
      </c>
      <c r="S18" s="67"/>
    </row>
    <row r="19" spans="1:19" s="459" customFormat="1" ht="15" thickBot="1">
      <c r="A19" s="858" t="s">
        <v>307</v>
      </c>
      <c r="B19" s="863"/>
      <c r="C19" s="713">
        <f>transport!B14</f>
        <v>6.4191826660686386</v>
      </c>
      <c r="D19" s="713">
        <f>transport!C14</f>
        <v>0</v>
      </c>
      <c r="E19" s="713">
        <f>transport!D14</f>
        <v>10.014873268752837</v>
      </c>
      <c r="F19" s="713">
        <f>transport!E14</f>
        <v>360.96795977424517</v>
      </c>
      <c r="G19" s="713">
        <f>transport!F14</f>
        <v>0</v>
      </c>
      <c r="H19" s="713">
        <f>transport!G14</f>
        <v>88622.687122806499</v>
      </c>
      <c r="I19" s="713">
        <f>transport!H14</f>
        <v>15533.323213713362</v>
      </c>
      <c r="J19" s="713">
        <f>transport!I14</f>
        <v>0</v>
      </c>
      <c r="K19" s="713">
        <f>transport!J14</f>
        <v>0</v>
      </c>
      <c r="L19" s="713">
        <f>transport!K14</f>
        <v>0</v>
      </c>
      <c r="M19" s="713">
        <f>transport!L14</f>
        <v>0</v>
      </c>
      <c r="N19" s="713">
        <f>transport!M14</f>
        <v>4662.8838231206673</v>
      </c>
      <c r="O19" s="713">
        <f>transport!N14</f>
        <v>0</v>
      </c>
      <c r="P19" s="713">
        <f>transport!O14</f>
        <v>0</v>
      </c>
      <c r="Q19" s="714">
        <f>transport!P14</f>
        <v>0</v>
      </c>
      <c r="R19" s="715">
        <f>SUM(C19:Q19)</f>
        <v>109196.29617534959</v>
      </c>
      <c r="S19" s="67"/>
    </row>
    <row r="20" spans="1:19" s="459" customFormat="1" ht="15.75" thickBot="1">
      <c r="A20" s="716" t="s">
        <v>230</v>
      </c>
      <c r="B20" s="866"/>
      <c r="C20" s="861">
        <f>SUM(C17:C19)</f>
        <v>6.4191826660686386</v>
      </c>
      <c r="D20" s="717">
        <f t="shared" ref="D20:R20" si="1">SUM(D17:D19)</f>
        <v>0</v>
      </c>
      <c r="E20" s="717">
        <f t="shared" si="1"/>
        <v>10.014873268752837</v>
      </c>
      <c r="F20" s="717">
        <f t="shared" si="1"/>
        <v>360.96795977424517</v>
      </c>
      <c r="G20" s="717">
        <f t="shared" si="1"/>
        <v>0</v>
      </c>
      <c r="H20" s="717">
        <f t="shared" si="1"/>
        <v>89368.864521389507</v>
      </c>
      <c r="I20" s="717">
        <f t="shared" si="1"/>
        <v>15533.323213713362</v>
      </c>
      <c r="J20" s="717">
        <f t="shared" si="1"/>
        <v>0</v>
      </c>
      <c r="K20" s="717">
        <f t="shared" si="1"/>
        <v>0</v>
      </c>
      <c r="L20" s="717">
        <f t="shared" si="1"/>
        <v>0</v>
      </c>
      <c r="M20" s="717">
        <f t="shared" si="1"/>
        <v>0</v>
      </c>
      <c r="N20" s="717">
        <f t="shared" si="1"/>
        <v>4696.0681571231744</v>
      </c>
      <c r="O20" s="717">
        <f t="shared" si="1"/>
        <v>0</v>
      </c>
      <c r="P20" s="717">
        <f t="shared" si="1"/>
        <v>0</v>
      </c>
      <c r="Q20" s="718">
        <f t="shared" si="1"/>
        <v>0</v>
      </c>
      <c r="R20" s="719">
        <f t="shared" si="1"/>
        <v>109975.65790793511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500.13010751310304</v>
      </c>
      <c r="D22" s="713">
        <f>+landbouw!C8</f>
        <v>8022.8571428571431</v>
      </c>
      <c r="E22" s="713">
        <f>+landbouw!D8</f>
        <v>971.71758224022597</v>
      </c>
      <c r="F22" s="713">
        <f>+landbouw!E8</f>
        <v>6.3022836532427338</v>
      </c>
      <c r="G22" s="713">
        <f>+landbouw!F8</f>
        <v>1725.5741609985268</v>
      </c>
      <c r="H22" s="713">
        <f>+landbouw!G8</f>
        <v>0</v>
      </c>
      <c r="I22" s="713">
        <f>+landbouw!H8</f>
        <v>0</v>
      </c>
      <c r="J22" s="713">
        <f>+landbouw!I8</f>
        <v>0</v>
      </c>
      <c r="K22" s="713">
        <f>+landbouw!J8</f>
        <v>75.213882891560644</v>
      </c>
      <c r="L22" s="713">
        <f>+landbouw!K8</f>
        <v>0</v>
      </c>
      <c r="M22" s="713">
        <f>+landbouw!L8</f>
        <v>0</v>
      </c>
      <c r="N22" s="713">
        <f>+landbouw!M8</f>
        <v>0</v>
      </c>
      <c r="O22" s="713">
        <f>+landbouw!N8</f>
        <v>0</v>
      </c>
      <c r="P22" s="713">
        <f>+landbouw!O8</f>
        <v>0</v>
      </c>
      <c r="Q22" s="714">
        <f>+landbouw!P8</f>
        <v>0</v>
      </c>
      <c r="R22" s="715">
        <f>SUM(C22:Q22)</f>
        <v>11301.795160153802</v>
      </c>
      <c r="S22" s="67"/>
    </row>
    <row r="23" spans="1:19" s="459" customFormat="1" ht="17.25" thickTop="1" thickBot="1">
      <c r="A23" s="720" t="s">
        <v>116</v>
      </c>
      <c r="B23" s="852"/>
      <c r="C23" s="721">
        <f ca="1">C20+C15+C22</f>
        <v>20858.169219118503</v>
      </c>
      <c r="D23" s="721">
        <f t="shared" ref="D23:Q23" ca="1" si="2">D20+D15+D22</f>
        <v>8022.8571428571431</v>
      </c>
      <c r="E23" s="721">
        <f t="shared" ca="1" si="2"/>
        <v>37570.690275512403</v>
      </c>
      <c r="F23" s="721">
        <f t="shared" si="2"/>
        <v>3095.5906609591043</v>
      </c>
      <c r="G23" s="721">
        <f t="shared" ca="1" si="2"/>
        <v>24561.470131473736</v>
      </c>
      <c r="H23" s="721">
        <f t="shared" si="2"/>
        <v>89368.864521389507</v>
      </c>
      <c r="I23" s="721">
        <f t="shared" si="2"/>
        <v>15533.323213713362</v>
      </c>
      <c r="J23" s="721">
        <f t="shared" si="2"/>
        <v>0</v>
      </c>
      <c r="K23" s="721">
        <f t="shared" si="2"/>
        <v>75.64297628394975</v>
      </c>
      <c r="L23" s="721">
        <f t="shared" si="2"/>
        <v>0</v>
      </c>
      <c r="M23" s="721">
        <f t="shared" ca="1" si="2"/>
        <v>0</v>
      </c>
      <c r="N23" s="721">
        <f t="shared" si="2"/>
        <v>4696.0681571231744</v>
      </c>
      <c r="O23" s="721">
        <f t="shared" ca="1" si="2"/>
        <v>7328.4632358866293</v>
      </c>
      <c r="P23" s="721">
        <f t="shared" si="2"/>
        <v>92.236666666666679</v>
      </c>
      <c r="Q23" s="722">
        <f t="shared" si="2"/>
        <v>400.40000000000003</v>
      </c>
      <c r="R23" s="723">
        <f ca="1">R20+R15+R22</f>
        <v>211603.77620098417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693.16761222001594</v>
      </c>
      <c r="D36" s="704">
        <f ca="1">tertiair!C20</f>
        <v>0</v>
      </c>
      <c r="E36" s="704">
        <f ca="1">tertiair!D20</f>
        <v>1094.7753763216863</v>
      </c>
      <c r="F36" s="704">
        <f>tertiair!E20</f>
        <v>11.480204363855076</v>
      </c>
      <c r="G36" s="704">
        <f ca="1">tertiair!F20</f>
        <v>227.09211268152171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2026.515305587079</v>
      </c>
    </row>
    <row r="37" spans="1:18">
      <c r="A37" s="873" t="s">
        <v>225</v>
      </c>
      <c r="B37" s="880"/>
      <c r="C37" s="704">
        <f ca="1">huishoudens!B12</f>
        <v>2032.3011373667837</v>
      </c>
      <c r="D37" s="704">
        <f ca="1">huishoudens!C12</f>
        <v>0</v>
      </c>
      <c r="E37" s="704">
        <f>huishoudens!D12</f>
        <v>6167.5083887078363</v>
      </c>
      <c r="F37" s="704">
        <f>huishoudens!E12</f>
        <v>568.76234335065533</v>
      </c>
      <c r="G37" s="704">
        <f>huishoudens!F12</f>
        <v>5686.1948050568426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14454.766674482118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126.53435283291581</v>
      </c>
      <c r="D39" s="704">
        <f ca="1">industrie!C22</f>
        <v>0</v>
      </c>
      <c r="E39" s="704">
        <f>industrie!D22</f>
        <v>128.68571461116909</v>
      </c>
      <c r="F39" s="704">
        <f>industrie!E22</f>
        <v>39.086187065166513</v>
      </c>
      <c r="G39" s="704">
        <f>industrie!F22</f>
        <v>183.89730637851616</v>
      </c>
      <c r="H39" s="704">
        <f>industrie!G22</f>
        <v>0</v>
      </c>
      <c r="I39" s="704">
        <f>industrie!H22</f>
        <v>0</v>
      </c>
      <c r="J39" s="704">
        <f>industrie!I22</f>
        <v>0</v>
      </c>
      <c r="K39" s="704">
        <f>industrie!J22</f>
        <v>0.15189906090574179</v>
      </c>
      <c r="L39" s="704">
        <f>industrie!K22</f>
        <v>0</v>
      </c>
      <c r="M39" s="704">
        <f>industrie!L22</f>
        <v>0</v>
      </c>
      <c r="N39" s="704">
        <f>industrie!M22</f>
        <v>0</v>
      </c>
      <c r="O39" s="704">
        <f>industrie!N22</f>
        <v>0</v>
      </c>
      <c r="P39" s="704">
        <f>industrie!O22</f>
        <v>0</v>
      </c>
      <c r="Q39" s="814">
        <f>industrie!P22</f>
        <v>0</v>
      </c>
      <c r="R39" s="906">
        <f ca="1">SUM(C39:Q39)</f>
        <v>478.35545994867334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2852.0031024197156</v>
      </c>
      <c r="D41" s="749">
        <f t="shared" ref="D41:R41" ca="1" si="4">SUM(D35:D40)</f>
        <v>0</v>
      </c>
      <c r="E41" s="749">
        <f t="shared" ca="1" si="4"/>
        <v>7390.9694796406911</v>
      </c>
      <c r="F41" s="749">
        <f t="shared" si="4"/>
        <v>619.32873477967689</v>
      </c>
      <c r="G41" s="749">
        <f t="shared" ca="1" si="4"/>
        <v>6097.1842241168806</v>
      </c>
      <c r="H41" s="749">
        <f t="shared" si="4"/>
        <v>0</v>
      </c>
      <c r="I41" s="749">
        <f t="shared" si="4"/>
        <v>0</v>
      </c>
      <c r="J41" s="749">
        <f t="shared" si="4"/>
        <v>0</v>
      </c>
      <c r="K41" s="749">
        <f t="shared" si="4"/>
        <v>0.15189906090574179</v>
      </c>
      <c r="L41" s="749">
        <f t="shared" si="4"/>
        <v>0</v>
      </c>
      <c r="M41" s="749">
        <f t="shared" ca="1" si="4"/>
        <v>0</v>
      </c>
      <c r="N41" s="749">
        <f t="shared" si="4"/>
        <v>0</v>
      </c>
      <c r="O41" s="749">
        <f t="shared" ca="1" si="4"/>
        <v>0</v>
      </c>
      <c r="P41" s="749">
        <f t="shared" si="4"/>
        <v>0</v>
      </c>
      <c r="Q41" s="750">
        <f t="shared" si="4"/>
        <v>0</v>
      </c>
      <c r="R41" s="751">
        <f t="shared" ca="1" si="4"/>
        <v>16959.637440017872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199.22936542166306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199.22936542166306</v>
      </c>
    </row>
    <row r="45" spans="1:18" ht="15" thickBot="1">
      <c r="A45" s="876" t="s">
        <v>307</v>
      </c>
      <c r="B45" s="886"/>
      <c r="C45" s="713">
        <f ca="1">transport!B18</f>
        <v>0.8995612606048089</v>
      </c>
      <c r="D45" s="713">
        <f>transport!C18</f>
        <v>0</v>
      </c>
      <c r="E45" s="713">
        <f>transport!D18</f>
        <v>2.0230044002880732</v>
      </c>
      <c r="F45" s="713">
        <f>transport!E18</f>
        <v>81.939726868753652</v>
      </c>
      <c r="G45" s="713">
        <f>transport!F18</f>
        <v>0</v>
      </c>
      <c r="H45" s="713">
        <f>transport!G18</f>
        <v>23662.257461789337</v>
      </c>
      <c r="I45" s="713">
        <f>transport!H18</f>
        <v>3867.7974802146273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27614.917234533612</v>
      </c>
    </row>
    <row r="46" spans="1:18" ht="15.75" thickBot="1">
      <c r="A46" s="874" t="s">
        <v>230</v>
      </c>
      <c r="B46" s="887"/>
      <c r="C46" s="749">
        <f t="shared" ref="C46:R46" ca="1" si="5">SUM(C43:C45)</f>
        <v>0.8995612606048089</v>
      </c>
      <c r="D46" s="749">
        <f t="shared" ca="1" si="5"/>
        <v>0</v>
      </c>
      <c r="E46" s="749">
        <f t="shared" si="5"/>
        <v>2.0230044002880732</v>
      </c>
      <c r="F46" s="749">
        <f t="shared" si="5"/>
        <v>81.939726868753652</v>
      </c>
      <c r="G46" s="749">
        <f t="shared" si="5"/>
        <v>0</v>
      </c>
      <c r="H46" s="749">
        <f t="shared" si="5"/>
        <v>23861.486827211</v>
      </c>
      <c r="I46" s="749">
        <f t="shared" si="5"/>
        <v>3867.7974802146273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27814.146599955275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70.086441434208439</v>
      </c>
      <c r="D48" s="704">
        <f ca="1">+landbouw!C12</f>
        <v>0</v>
      </c>
      <c r="E48" s="704">
        <f>+landbouw!D12</f>
        <v>196.28695161252566</v>
      </c>
      <c r="F48" s="704">
        <f>+landbouw!E12</f>
        <v>1.4306183892861006</v>
      </c>
      <c r="G48" s="704">
        <f>+landbouw!F12</f>
        <v>460.72830098660671</v>
      </c>
      <c r="H48" s="704">
        <f>+landbouw!G12</f>
        <v>0</v>
      </c>
      <c r="I48" s="704">
        <f>+landbouw!H12</f>
        <v>0</v>
      </c>
      <c r="J48" s="704">
        <f>+landbouw!I12</f>
        <v>0</v>
      </c>
      <c r="K48" s="704">
        <f>+landbouw!J12</f>
        <v>26.625714543612467</v>
      </c>
      <c r="L48" s="704">
        <f>+landbouw!K12</f>
        <v>0</v>
      </c>
      <c r="M48" s="704">
        <f>+landbouw!L12</f>
        <v>0</v>
      </c>
      <c r="N48" s="704">
        <f>+landbouw!M12</f>
        <v>0</v>
      </c>
      <c r="O48" s="704">
        <f>+landbouw!N12</f>
        <v>0</v>
      </c>
      <c r="P48" s="704">
        <f>+landbouw!O12</f>
        <v>0</v>
      </c>
      <c r="Q48" s="705">
        <f>+landbouw!P12</f>
        <v>0</v>
      </c>
      <c r="R48" s="747">
        <f ca="1">SUM(C48:Q48)</f>
        <v>755.1580269662395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2922.9891051145291</v>
      </c>
      <c r="D53" s="759">
        <f t="shared" ref="D53:Q53" ca="1" si="6">D41+D46+D48</f>
        <v>0</v>
      </c>
      <c r="E53" s="759">
        <f t="shared" ca="1" si="6"/>
        <v>7589.2794356535051</v>
      </c>
      <c r="F53" s="759">
        <f t="shared" si="6"/>
        <v>702.69908003771661</v>
      </c>
      <c r="G53" s="759">
        <f t="shared" ca="1" si="6"/>
        <v>6557.9125251034875</v>
      </c>
      <c r="H53" s="759">
        <f t="shared" si="6"/>
        <v>23861.486827211</v>
      </c>
      <c r="I53" s="759">
        <f t="shared" si="6"/>
        <v>3867.7974802146273</v>
      </c>
      <c r="J53" s="759">
        <f t="shared" si="6"/>
        <v>0</v>
      </c>
      <c r="K53" s="759">
        <f t="shared" si="6"/>
        <v>26.777613604518208</v>
      </c>
      <c r="L53" s="759">
        <f t="shared" si="6"/>
        <v>0</v>
      </c>
      <c r="M53" s="759">
        <f t="shared" ca="1" si="6"/>
        <v>0</v>
      </c>
      <c r="N53" s="759">
        <f t="shared" si="6"/>
        <v>0</v>
      </c>
      <c r="O53" s="759">
        <f t="shared" ca="1" si="6"/>
        <v>0</v>
      </c>
      <c r="P53" s="759">
        <f>P41+P46+P48</f>
        <v>0</v>
      </c>
      <c r="Q53" s="760">
        <f t="shared" si="6"/>
        <v>0</v>
      </c>
      <c r="R53" s="761">
        <f ca="1">R41+R46+R48</f>
        <v>45528.942066939388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0.14013641726692536</v>
      </c>
      <c r="D55" s="824">
        <f t="shared" ca="1" si="7"/>
        <v>0</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2015.9741733514052</v>
      </c>
      <c r="C66" s="781">
        <f>'lokale energieproductie'!B6</f>
        <v>2015.9741733514052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5616</v>
      </c>
      <c r="C67" s="780">
        <f>B67*IFERROR(SUM(J67:L67)/SUM(D67:M67),0)</f>
        <v>5616</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6607.0588235294117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7631.9741733514056</v>
      </c>
      <c r="C69" s="789">
        <f>SUM(C64:C68)</f>
        <v>7631.9741733514056</v>
      </c>
      <c r="D69" s="790">
        <f t="shared" ref="D69:M69" si="8">SUM(D67:D68)</f>
        <v>0</v>
      </c>
      <c r="E69" s="790">
        <f t="shared" si="8"/>
        <v>0</v>
      </c>
      <c r="F69" s="790">
        <f t="shared" si="8"/>
        <v>0</v>
      </c>
      <c r="G69" s="790">
        <f t="shared" si="8"/>
        <v>0</v>
      </c>
      <c r="H69" s="790">
        <f t="shared" si="8"/>
        <v>0</v>
      </c>
      <c r="I69" s="790">
        <f t="shared" si="8"/>
        <v>0</v>
      </c>
      <c r="J69" s="790">
        <f t="shared" si="8"/>
        <v>0</v>
      </c>
      <c r="K69" s="790">
        <f t="shared" si="8"/>
        <v>6607.0588235294117</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8022.8571428571431</v>
      </c>
      <c r="C78" s="803">
        <f>B78*IFERROR(SUM(I78:L78)/SUM(D78:M78),0)</f>
        <v>8022.8571428571431</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9438.6554621848754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8022.8571428571431</v>
      </c>
      <c r="C81" s="789">
        <f>SUM(C78:C80)</f>
        <v>8022.8571428571431</v>
      </c>
      <c r="D81" s="789">
        <f t="shared" ref="D81:P81" si="9">SUM(D78:D80)</f>
        <v>0</v>
      </c>
      <c r="E81" s="789">
        <f t="shared" si="9"/>
        <v>0</v>
      </c>
      <c r="F81" s="789">
        <f t="shared" si="9"/>
        <v>0</v>
      </c>
      <c r="G81" s="789">
        <f t="shared" si="9"/>
        <v>0</v>
      </c>
      <c r="H81" s="789">
        <f t="shared" si="9"/>
        <v>0</v>
      </c>
      <c r="I81" s="789">
        <f t="shared" si="9"/>
        <v>0</v>
      </c>
      <c r="J81" s="789">
        <f t="shared" si="9"/>
        <v>0</v>
      </c>
      <c r="K81" s="789">
        <f t="shared" si="9"/>
        <v>9438.6554621848754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14502.305517742408</v>
      </c>
      <c r="C4" s="463">
        <f>huishoudens!C8</f>
        <v>0</v>
      </c>
      <c r="D4" s="463">
        <f>huishoudens!D8</f>
        <v>30532.219746078394</v>
      </c>
      <c r="E4" s="463">
        <f>huishoudens!E8</f>
        <v>2505.5609839235917</v>
      </c>
      <c r="F4" s="463">
        <f>huishoudens!F8</f>
        <v>21296.6097567672</v>
      </c>
      <c r="G4" s="463">
        <f>huishoudens!G8</f>
        <v>0</v>
      </c>
      <c r="H4" s="463">
        <f>huishoudens!H8</f>
        <v>0</v>
      </c>
      <c r="I4" s="463">
        <f>huishoudens!I8</f>
        <v>0</v>
      </c>
      <c r="J4" s="463">
        <f>huishoudens!J8</f>
        <v>0</v>
      </c>
      <c r="K4" s="463">
        <f>huishoudens!K8</f>
        <v>0</v>
      </c>
      <c r="L4" s="463">
        <f>huishoudens!L8</f>
        <v>0</v>
      </c>
      <c r="M4" s="463">
        <f>huishoudens!M8</f>
        <v>0</v>
      </c>
      <c r="N4" s="463">
        <f>huishoudens!N8</f>
        <v>6679.5848231322871</v>
      </c>
      <c r="O4" s="463">
        <f>huishoudens!O8</f>
        <v>92.236666666666679</v>
      </c>
      <c r="P4" s="464">
        <f>huishoudens!P8</f>
        <v>381.33333333333337</v>
      </c>
      <c r="Q4" s="465">
        <f>SUM(B4:P4)</f>
        <v>75989.850827643881</v>
      </c>
    </row>
    <row r="5" spans="1:17">
      <c r="A5" s="462" t="s">
        <v>156</v>
      </c>
      <c r="B5" s="463">
        <f ca="1">tertiair!B16</f>
        <v>4470.6554352080275</v>
      </c>
      <c r="C5" s="463">
        <f ca="1">tertiair!C16</f>
        <v>0</v>
      </c>
      <c r="D5" s="463">
        <f ca="1">tertiair!D16</f>
        <v>5419.6800808004264</v>
      </c>
      <c r="E5" s="463">
        <f>tertiair!E16</f>
        <v>50.573587505969499</v>
      </c>
      <c r="F5" s="463">
        <f ca="1">tertiair!F16</f>
        <v>850.53225723416369</v>
      </c>
      <c r="G5" s="463">
        <f>tertiair!G16</f>
        <v>0</v>
      </c>
      <c r="H5" s="463">
        <f>tertiair!H16</f>
        <v>0</v>
      </c>
      <c r="I5" s="463">
        <f>tertiair!I16</f>
        <v>0</v>
      </c>
      <c r="J5" s="463">
        <f>tertiair!J16</f>
        <v>0</v>
      </c>
      <c r="K5" s="463">
        <f>tertiair!K16</f>
        <v>0</v>
      </c>
      <c r="L5" s="463">
        <f ca="1">tertiair!L16</f>
        <v>0</v>
      </c>
      <c r="M5" s="463">
        <f>tertiair!M16</f>
        <v>0</v>
      </c>
      <c r="N5" s="463">
        <f ca="1">tertiair!N16</f>
        <v>382.06454882430637</v>
      </c>
      <c r="O5" s="463">
        <f>tertiair!O16</f>
        <v>0</v>
      </c>
      <c r="P5" s="464">
        <f>tertiair!P16</f>
        <v>19.066666666666666</v>
      </c>
      <c r="Q5" s="462">
        <f t="shared" ref="Q5:Q13" ca="1" si="0">SUM(B5:P5)</f>
        <v>11192.57257623956</v>
      </c>
    </row>
    <row r="6" spans="1:17">
      <c r="A6" s="462" t="s">
        <v>194</v>
      </c>
      <c r="B6" s="463">
        <f>'openbare verlichting'!B8</f>
        <v>475.72199999999998</v>
      </c>
      <c r="C6" s="463"/>
      <c r="D6" s="463"/>
      <c r="E6" s="463"/>
      <c r="F6" s="463"/>
      <c r="G6" s="463"/>
      <c r="H6" s="463"/>
      <c r="I6" s="463"/>
      <c r="J6" s="463"/>
      <c r="K6" s="463"/>
      <c r="L6" s="463"/>
      <c r="M6" s="463"/>
      <c r="N6" s="463"/>
      <c r="O6" s="463"/>
      <c r="P6" s="464"/>
      <c r="Q6" s="462">
        <f t="shared" si="0"/>
        <v>475.72199999999998</v>
      </c>
    </row>
    <row r="7" spans="1:17">
      <c r="A7" s="462" t="s">
        <v>112</v>
      </c>
      <c r="B7" s="463">
        <f>landbouw!B8</f>
        <v>500.13010751310304</v>
      </c>
      <c r="C7" s="463">
        <f>landbouw!C8</f>
        <v>8022.8571428571431</v>
      </c>
      <c r="D7" s="463">
        <f>landbouw!D8</f>
        <v>971.71758224022597</v>
      </c>
      <c r="E7" s="463">
        <f>landbouw!E8</f>
        <v>6.3022836532427338</v>
      </c>
      <c r="F7" s="463">
        <f>landbouw!F8</f>
        <v>1725.5741609985268</v>
      </c>
      <c r="G7" s="463">
        <f>landbouw!G8</f>
        <v>0</v>
      </c>
      <c r="H7" s="463">
        <f>landbouw!H8</f>
        <v>0</v>
      </c>
      <c r="I7" s="463">
        <f>landbouw!I8</f>
        <v>0</v>
      </c>
      <c r="J7" s="463">
        <f>landbouw!J8</f>
        <v>75.213882891560644</v>
      </c>
      <c r="K7" s="463">
        <f>landbouw!K8</f>
        <v>0</v>
      </c>
      <c r="L7" s="463">
        <f>landbouw!L8</f>
        <v>0</v>
      </c>
      <c r="M7" s="463">
        <f>landbouw!M8</f>
        <v>0</v>
      </c>
      <c r="N7" s="463">
        <f>landbouw!N8</f>
        <v>0</v>
      </c>
      <c r="O7" s="463">
        <f>landbouw!O8</f>
        <v>0</v>
      </c>
      <c r="P7" s="464">
        <f>landbouw!P8</f>
        <v>0</v>
      </c>
      <c r="Q7" s="462">
        <f t="shared" si="0"/>
        <v>11301.795160153802</v>
      </c>
    </row>
    <row r="8" spans="1:17">
      <c r="A8" s="462" t="s">
        <v>657</v>
      </c>
      <c r="B8" s="463">
        <f>industrie!B18</f>
        <v>902.93697598889707</v>
      </c>
      <c r="C8" s="463">
        <f>industrie!C18</f>
        <v>0</v>
      </c>
      <c r="D8" s="463">
        <f>industrie!D18</f>
        <v>637.05799312459942</v>
      </c>
      <c r="E8" s="463">
        <f>industrie!E18</f>
        <v>172.18584610205511</v>
      </c>
      <c r="F8" s="463">
        <f>industrie!F18</f>
        <v>688.75395647384323</v>
      </c>
      <c r="G8" s="463">
        <f>industrie!G18</f>
        <v>0</v>
      </c>
      <c r="H8" s="463">
        <f>industrie!H18</f>
        <v>0</v>
      </c>
      <c r="I8" s="463">
        <f>industrie!I18</f>
        <v>0</v>
      </c>
      <c r="J8" s="463">
        <f>industrie!J18</f>
        <v>0.4290933923891011</v>
      </c>
      <c r="K8" s="463">
        <f>industrie!K18</f>
        <v>0</v>
      </c>
      <c r="L8" s="463">
        <f>industrie!L18</f>
        <v>0</v>
      </c>
      <c r="M8" s="463">
        <f>industrie!M18</f>
        <v>0</v>
      </c>
      <c r="N8" s="463">
        <f>industrie!N18</f>
        <v>266.81386393003618</v>
      </c>
      <c r="O8" s="463">
        <f>industrie!O18</f>
        <v>0</v>
      </c>
      <c r="P8" s="464">
        <f>industrie!P18</f>
        <v>0</v>
      </c>
      <c r="Q8" s="462">
        <f t="shared" si="0"/>
        <v>2668.1777290118198</v>
      </c>
    </row>
    <row r="9" spans="1:17" s="468" customFormat="1">
      <c r="A9" s="466" t="s">
        <v>574</v>
      </c>
      <c r="B9" s="467">
        <f>transport!B14</f>
        <v>6.4191826660686386</v>
      </c>
      <c r="C9" s="467">
        <f>transport!C14</f>
        <v>0</v>
      </c>
      <c r="D9" s="467">
        <f>transport!D14</f>
        <v>10.014873268752837</v>
      </c>
      <c r="E9" s="467">
        <f>transport!E14</f>
        <v>360.96795977424517</v>
      </c>
      <c r="F9" s="467">
        <f>transport!F14</f>
        <v>0</v>
      </c>
      <c r="G9" s="467">
        <f>transport!G14</f>
        <v>88622.687122806499</v>
      </c>
      <c r="H9" s="467">
        <f>transport!H14</f>
        <v>15533.323213713362</v>
      </c>
      <c r="I9" s="467">
        <f>transport!I14</f>
        <v>0</v>
      </c>
      <c r="J9" s="467">
        <f>transport!J14</f>
        <v>0</v>
      </c>
      <c r="K9" s="467">
        <f>transport!K14</f>
        <v>0</v>
      </c>
      <c r="L9" s="467">
        <f>transport!L14</f>
        <v>0</v>
      </c>
      <c r="M9" s="467">
        <f>transport!M14</f>
        <v>4662.8838231206673</v>
      </c>
      <c r="N9" s="467">
        <f>transport!N14</f>
        <v>0</v>
      </c>
      <c r="O9" s="467">
        <f>transport!O14</f>
        <v>0</v>
      </c>
      <c r="P9" s="467">
        <f>transport!P14</f>
        <v>0</v>
      </c>
      <c r="Q9" s="466">
        <f>SUM(B9:P9)</f>
        <v>109196.29617534959</v>
      </c>
    </row>
    <row r="10" spans="1:17">
      <c r="A10" s="462" t="s">
        <v>564</v>
      </c>
      <c r="B10" s="463">
        <f>transport!B54</f>
        <v>0</v>
      </c>
      <c r="C10" s="463">
        <f>transport!C54</f>
        <v>0</v>
      </c>
      <c r="D10" s="463">
        <f>transport!D54</f>
        <v>0</v>
      </c>
      <c r="E10" s="463">
        <f>transport!E54</f>
        <v>0</v>
      </c>
      <c r="F10" s="463">
        <f>transport!F54</f>
        <v>0</v>
      </c>
      <c r="G10" s="463">
        <f>transport!G54</f>
        <v>746.17739858300763</v>
      </c>
      <c r="H10" s="463">
        <f>transport!H54</f>
        <v>0</v>
      </c>
      <c r="I10" s="463">
        <f>transport!I54</f>
        <v>0</v>
      </c>
      <c r="J10" s="463">
        <f>transport!J54</f>
        <v>0</v>
      </c>
      <c r="K10" s="463">
        <f>transport!K54</f>
        <v>0</v>
      </c>
      <c r="L10" s="463">
        <f>transport!L54</f>
        <v>0</v>
      </c>
      <c r="M10" s="463">
        <f>transport!M54</f>
        <v>33.184334002506723</v>
      </c>
      <c r="N10" s="463">
        <f>transport!N54</f>
        <v>0</v>
      </c>
      <c r="O10" s="463">
        <f>transport!O54</f>
        <v>0</v>
      </c>
      <c r="P10" s="464">
        <f>transport!P54</f>
        <v>0</v>
      </c>
      <c r="Q10" s="462">
        <f t="shared" si="0"/>
        <v>779.36173258551435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20858.169219118507</v>
      </c>
      <c r="C14" s="473">
        <f t="shared" ref="C14:Q14" ca="1" si="1">SUM(C4:C13)</f>
        <v>8022.8571428571431</v>
      </c>
      <c r="D14" s="473">
        <f t="shared" ca="1" si="1"/>
        <v>37570.690275512403</v>
      </c>
      <c r="E14" s="473">
        <f t="shared" si="1"/>
        <v>3095.5906609591043</v>
      </c>
      <c r="F14" s="473">
        <f t="shared" ca="1" si="1"/>
        <v>24561.470131473736</v>
      </c>
      <c r="G14" s="473">
        <f t="shared" si="1"/>
        <v>89368.864521389507</v>
      </c>
      <c r="H14" s="473">
        <f t="shared" si="1"/>
        <v>15533.323213713362</v>
      </c>
      <c r="I14" s="473">
        <f t="shared" si="1"/>
        <v>0</v>
      </c>
      <c r="J14" s="473">
        <f t="shared" si="1"/>
        <v>75.64297628394975</v>
      </c>
      <c r="K14" s="473">
        <f t="shared" si="1"/>
        <v>0</v>
      </c>
      <c r="L14" s="473">
        <f t="shared" ca="1" si="1"/>
        <v>0</v>
      </c>
      <c r="M14" s="473">
        <f t="shared" si="1"/>
        <v>4696.0681571231744</v>
      </c>
      <c r="N14" s="473">
        <f t="shared" ca="1" si="1"/>
        <v>7328.4632358866293</v>
      </c>
      <c r="O14" s="473">
        <f t="shared" si="1"/>
        <v>92.236666666666679</v>
      </c>
      <c r="P14" s="474">
        <f t="shared" si="1"/>
        <v>400.40000000000003</v>
      </c>
      <c r="Q14" s="474">
        <f t="shared" ca="1" si="1"/>
        <v>211603.77620098417</v>
      </c>
    </row>
    <row r="16" spans="1:17">
      <c r="A16" s="476" t="s">
        <v>569</v>
      </c>
      <c r="B16" s="829">
        <f ca="1">huishoudens!B10</f>
        <v>0.14013641726692533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2032.3011373667837</v>
      </c>
      <c r="C21" s="463">
        <f t="shared" ref="C21:C30" ca="1" si="3">C4*$C$16</f>
        <v>0</v>
      </c>
      <c r="D21" s="463">
        <f t="shared" ref="D21:D30" si="4">D4*$D$16</f>
        <v>6167.5083887078363</v>
      </c>
      <c r="E21" s="463">
        <f t="shared" ref="E21:E30" si="5">E4*$E$16</f>
        <v>568.76234335065533</v>
      </c>
      <c r="F21" s="463">
        <f t="shared" ref="F21:F30" si="6">F4*$F$16</f>
        <v>5686.1948050568426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14454.766674482118</v>
      </c>
    </row>
    <row r="22" spans="1:17">
      <c r="A22" s="462" t="s">
        <v>156</v>
      </c>
      <c r="B22" s="463">
        <f t="shared" ca="1" si="2"/>
        <v>626.50163552495974</v>
      </c>
      <c r="C22" s="463">
        <f t="shared" ca="1" si="3"/>
        <v>0</v>
      </c>
      <c r="D22" s="463">
        <f t="shared" ca="1" si="4"/>
        <v>1094.7753763216863</v>
      </c>
      <c r="E22" s="463">
        <f t="shared" si="5"/>
        <v>11.480204363855076</v>
      </c>
      <c r="F22" s="463">
        <f t="shared" ca="1" si="6"/>
        <v>227.09211268152171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1959.8493288920229</v>
      </c>
    </row>
    <row r="23" spans="1:17">
      <c r="A23" s="462" t="s">
        <v>194</v>
      </c>
      <c r="B23" s="463">
        <f t="shared" ca="1" si="2"/>
        <v>66.665976695056244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66.665976695056244</v>
      </c>
    </row>
    <row r="24" spans="1:17">
      <c r="A24" s="462" t="s">
        <v>112</v>
      </c>
      <c r="B24" s="463">
        <f t="shared" ca="1" si="2"/>
        <v>70.086441434208439</v>
      </c>
      <c r="C24" s="463">
        <f t="shared" ca="1" si="3"/>
        <v>0</v>
      </c>
      <c r="D24" s="463">
        <f t="shared" si="4"/>
        <v>196.28695161252566</v>
      </c>
      <c r="E24" s="463">
        <f t="shared" si="5"/>
        <v>1.4306183892861006</v>
      </c>
      <c r="F24" s="463">
        <f t="shared" si="6"/>
        <v>460.72830098660671</v>
      </c>
      <c r="G24" s="463">
        <f t="shared" si="7"/>
        <v>0</v>
      </c>
      <c r="H24" s="463">
        <f t="shared" si="8"/>
        <v>0</v>
      </c>
      <c r="I24" s="463">
        <f t="shared" si="9"/>
        <v>0</v>
      </c>
      <c r="J24" s="463">
        <f t="shared" si="10"/>
        <v>26.625714543612467</v>
      </c>
      <c r="K24" s="463">
        <f t="shared" si="11"/>
        <v>0</v>
      </c>
      <c r="L24" s="463">
        <f t="shared" si="12"/>
        <v>0</v>
      </c>
      <c r="M24" s="463">
        <f t="shared" si="13"/>
        <v>0</v>
      </c>
      <c r="N24" s="463">
        <f t="shared" si="14"/>
        <v>0</v>
      </c>
      <c r="O24" s="463">
        <f t="shared" si="15"/>
        <v>0</v>
      </c>
      <c r="P24" s="464">
        <f t="shared" si="16"/>
        <v>0</v>
      </c>
      <c r="Q24" s="462">
        <f t="shared" ca="1" si="17"/>
        <v>755.1580269662395</v>
      </c>
    </row>
    <row r="25" spans="1:17">
      <c r="A25" s="462" t="s">
        <v>657</v>
      </c>
      <c r="B25" s="463">
        <f t="shared" ca="1" si="2"/>
        <v>126.53435283291581</v>
      </c>
      <c r="C25" s="463">
        <f t="shared" ca="1" si="3"/>
        <v>0</v>
      </c>
      <c r="D25" s="463">
        <f t="shared" si="4"/>
        <v>128.68571461116909</v>
      </c>
      <c r="E25" s="463">
        <f t="shared" si="5"/>
        <v>39.086187065166513</v>
      </c>
      <c r="F25" s="463">
        <f t="shared" si="6"/>
        <v>183.89730637851616</v>
      </c>
      <c r="G25" s="463">
        <f t="shared" si="7"/>
        <v>0</v>
      </c>
      <c r="H25" s="463">
        <f t="shared" si="8"/>
        <v>0</v>
      </c>
      <c r="I25" s="463">
        <f t="shared" si="9"/>
        <v>0</v>
      </c>
      <c r="J25" s="463">
        <f t="shared" si="10"/>
        <v>0.15189906090574179</v>
      </c>
      <c r="K25" s="463">
        <f t="shared" si="11"/>
        <v>0</v>
      </c>
      <c r="L25" s="463">
        <f t="shared" si="12"/>
        <v>0</v>
      </c>
      <c r="M25" s="463">
        <f t="shared" si="13"/>
        <v>0</v>
      </c>
      <c r="N25" s="463">
        <f t="shared" si="14"/>
        <v>0</v>
      </c>
      <c r="O25" s="463">
        <f t="shared" si="15"/>
        <v>0</v>
      </c>
      <c r="P25" s="464">
        <f t="shared" si="16"/>
        <v>0</v>
      </c>
      <c r="Q25" s="462">
        <f t="shared" ca="1" si="17"/>
        <v>478.35545994867334</v>
      </c>
    </row>
    <row r="26" spans="1:17" s="468" customFormat="1">
      <c r="A26" s="466" t="s">
        <v>574</v>
      </c>
      <c r="B26" s="823">
        <f t="shared" ca="1" si="2"/>
        <v>0.8995612606048089</v>
      </c>
      <c r="C26" s="467">
        <f t="shared" ca="1" si="3"/>
        <v>0</v>
      </c>
      <c r="D26" s="467">
        <f t="shared" si="4"/>
        <v>2.0230044002880732</v>
      </c>
      <c r="E26" s="467">
        <f t="shared" si="5"/>
        <v>81.939726868753652</v>
      </c>
      <c r="F26" s="467">
        <f t="shared" si="6"/>
        <v>0</v>
      </c>
      <c r="G26" s="467">
        <f t="shared" si="7"/>
        <v>23662.257461789337</v>
      </c>
      <c r="H26" s="467">
        <f t="shared" si="8"/>
        <v>3867.7974802146273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27614.917234533612</v>
      </c>
    </row>
    <row r="27" spans="1:17">
      <c r="A27" s="462" t="s">
        <v>564</v>
      </c>
      <c r="B27" s="463">
        <f t="shared" ca="1" si="2"/>
        <v>0</v>
      </c>
      <c r="C27" s="463">
        <f t="shared" ca="1" si="3"/>
        <v>0</v>
      </c>
      <c r="D27" s="463">
        <f t="shared" si="4"/>
        <v>0</v>
      </c>
      <c r="E27" s="463">
        <f t="shared" si="5"/>
        <v>0</v>
      </c>
      <c r="F27" s="463">
        <f t="shared" si="6"/>
        <v>0</v>
      </c>
      <c r="G27" s="463">
        <f t="shared" si="7"/>
        <v>199.22936542166306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199.22936542166306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2922.9891051145287</v>
      </c>
      <c r="C31" s="473">
        <f t="shared" ca="1" si="18"/>
        <v>0</v>
      </c>
      <c r="D31" s="473">
        <f t="shared" ca="1" si="18"/>
        <v>7589.2794356535051</v>
      </c>
      <c r="E31" s="473">
        <f t="shared" si="18"/>
        <v>702.69908003771661</v>
      </c>
      <c r="F31" s="473">
        <f t="shared" ca="1" si="18"/>
        <v>6557.9125251034875</v>
      </c>
      <c r="G31" s="473">
        <f t="shared" si="18"/>
        <v>23861.486827211</v>
      </c>
      <c r="H31" s="473">
        <f t="shared" si="18"/>
        <v>3867.7974802146273</v>
      </c>
      <c r="I31" s="473">
        <f t="shared" si="18"/>
        <v>0</v>
      </c>
      <c r="J31" s="473">
        <f t="shared" si="18"/>
        <v>26.777613604518208</v>
      </c>
      <c r="K31" s="473">
        <f t="shared" si="18"/>
        <v>0</v>
      </c>
      <c r="L31" s="473">
        <f t="shared" ca="1" si="18"/>
        <v>0</v>
      </c>
      <c r="M31" s="473">
        <f t="shared" si="18"/>
        <v>0</v>
      </c>
      <c r="N31" s="473">
        <f t="shared" ca="1" si="18"/>
        <v>0</v>
      </c>
      <c r="O31" s="473">
        <f t="shared" si="18"/>
        <v>0</v>
      </c>
      <c r="P31" s="474">
        <f t="shared" si="18"/>
        <v>0</v>
      </c>
      <c r="Q31" s="474">
        <f t="shared" ca="1" si="18"/>
        <v>45528.942066939388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0.14013641726692533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0.14013641726692533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0.14013641726692533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2018-06-27T09:30:14Z</dcterms:modified>
</cp:coreProperties>
</file>