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L7" i="48"/>
  <c r="L24" s="1"/>
  <c r="E7"/>
  <c r="E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L31"/>
  <c r="J20" i="15"/>
  <c r="K36" i="14" s="1"/>
  <c r="J5" i="48"/>
  <c r="J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F8" i="48"/>
  <c r="Q4"/>
  <c r="N22"/>
  <c r="R11" i="14"/>
  <c r="J21" i="48"/>
  <c r="R10" i="14"/>
  <c r="C29" i="20" l="1"/>
  <c r="C17" i="19"/>
  <c r="C19" s="1"/>
  <c r="D35" i="14" s="1"/>
  <c r="C20" i="16"/>
  <c r="C22" s="1"/>
  <c r="D39" i="14" s="1"/>
  <c r="C18" i="15"/>
  <c r="C20" s="1"/>
  <c r="D36" i="14" s="1"/>
  <c r="C10" i="13"/>
  <c r="C16" i="48" s="1"/>
  <c r="C30" s="1"/>
  <c r="C56" i="22"/>
  <c r="C58" s="1"/>
  <c r="D44" i="14" s="1"/>
  <c r="D46" s="1"/>
  <c r="C17" i="49"/>
  <c r="C16" i="22"/>
  <c r="C10" i="17"/>
  <c r="C12" s="1"/>
  <c r="D48" i="14" s="1"/>
  <c r="K13"/>
  <c r="K15" s="1"/>
  <c r="K2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27" i="48"/>
  <c r="C28"/>
  <c r="C22"/>
  <c r="C25"/>
  <c r="C29"/>
  <c r="R13" i="14"/>
  <c r="R15" s="1"/>
  <c r="F25" i="48"/>
  <c r="F31" s="1"/>
  <c r="F14"/>
  <c r="C21" l="1"/>
  <c r="C31" s="1"/>
  <c r="C12" i="13"/>
  <c r="D37" i="14" s="1"/>
  <c r="D41" s="1"/>
  <c r="C26" i="48"/>
  <c r="C23"/>
  <c r="C2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<sst xmlns="http://schemas.openxmlformats.org/spreadsheetml/2006/main" count="1979" uniqueCount="850">
  <si>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</si>
  <si>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</si>
  <si>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</si>
  <si>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</si>
  <si>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</si>
  <si>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</si>
  <si>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</si>
  <si>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</si>
  <si>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</si>
  <si>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</si>
  <si>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</si>
  <si>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</si>
  <si>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</si>
  <si>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</si>
  <si>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</si>
  <si>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</si>
  <si>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</si>
  <si>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</si>
  <si>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</si>
  <si>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</si>
  <si>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</si>
  <si>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</si>
  <si>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</si>
  <si>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</si>
  <si>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</si>
  <si>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</si>
  <si>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</si>
  <si>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</si>
  <si>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</si>
  <si>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</si>
  <si>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</si>
  <si>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</si>
  <si>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</si>
  <si>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</si>
  <si>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</si>
  <si>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</si>
  <si>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</si>
  <si>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</si>
  <si>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</si>
  <si>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</si>
  <si>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</si>
  <si>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</si>
  <si>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</si>
  <si>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</si>
  <si>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</si>
  <si>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</si>
  <si>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</si>
  <si>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</si>
  <si>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</si>
  <si>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</si>
  <si>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</si>
  <si>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</si>
  <si>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</si>
  <si>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</si>
  <si>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</si>
  <si>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</si>
  <si>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</si>
  <si>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</si>
  <si>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</si>
  <si>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</si>
  <si>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</si>
  <si>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</si>
  <si>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</si>
  <si>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</si>
  <si>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</si>
  <si>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</si>
  <si>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</si>
  <si>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</si>
  <si>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</si>
  <si>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</si>
  <si>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</si>
  <si>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</si>
  <si>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</si>
  <si>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</si>
  <si>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</si>
  <si>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</si>
  <si>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</si>
  <si>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</si>
  <si>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</si>
  <si>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</si>
  <si>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</si>
  <si>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</si>
  <si>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</si>
  <si>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</si>
  <si>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</si>
  <si>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</si>
  <si>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</si>
  <si>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</si>
  <si>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</si>
  <si>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</si>
  <si>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</si>
  <si>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</si>
  <si>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</si>
  <si>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</si>
  <si>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</si>
  <si>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</si>
  <si>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</si>
  <si>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</si>
  <si>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</si>
  <si>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</si>
  <si>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</si>
  <si>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</si>
  <si>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</si>
  <si>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</si>
  <si>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</si>
  <si>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</si>
  <si>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</si>
  <si>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</si>
  <si>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</si>
  <si>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</si>
  <si>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</si>
  <si>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</si>
  <si>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</si>
  <si>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</si>
  <si>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</si>
  <si>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</si>
  <si>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</si>
  <si>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</si>
  <si>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</si>
  <si>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</si>
  <si>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</si>
  <si>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</si>
  <si>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</si>
  <si>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</si>
  <si>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</si>
  <si>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</si>
  <si>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</si>
  <si>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</si>
  <si>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</si>
  <si>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</si>
  <si>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</si>
  <si>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</si>
  <si>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</si>
  <si>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</si>
  <si>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</si>
  <si>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</si>
  <si>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</si>
  <si>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</si>
  <si>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</si>
  <si>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</si>
  <si>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</si>
  <si>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</si>
  <si>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</si>
  <si>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</si>
  <si>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</si>
  <si>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</si>
  <si>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</si>
  <si>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</si>
  <si>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</si>
  <si>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</si>
  <si>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</si>
  <si>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</si>
  <si>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</si>
  <si>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</si>
  <si>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</si>
  <si>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</si>
  <si>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</si>
  <si>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</si>
  <si>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</si>
  <si>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</si>
  <si>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</si>
  <si>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</si>
  <si>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</si>
  <si>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</si>
  <si>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</si>
  <si>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</si>
  <si>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</si>
  <si>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</si>
  <si>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</si>
  <si>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</si>
  <si>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</si>
  <si>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</si>
  <si>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</si>
  <si>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</si>
  <si>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</si>
  <si>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</si>
  <si>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</si>
  <si>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</si>
  <si>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</si>
  <si>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</si>
  <si>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</si>
  <si>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</si>
  <si>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</si>
  <si>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</si>
  <si>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</si>
  <si>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</si>
  <si>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</si>
  <si>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</si>
  <si>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</si>
  <si>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</si>
  <si>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</si>
  <si>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</si>
  <si>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</si>
  <si>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</si>
  <si>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</si>
  <si>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</si>
  <si>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</si>
  <si>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</si>
  <si>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</si>
  <si>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</si>
  <si>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</si>
  <si>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</si>
  <si>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</si>
  <si>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</si>
  <si>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</si>
  <si>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</si>
  <si>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</si>
  <si>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</si>
  <si>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</si>
  <si>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</si>
  <si>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</si>
  <si>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</si>
  <si>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</si>
  <si>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</si>
  <si>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</si>
  <si>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</si>
  <si>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</si>
  <si>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</si>
  <si>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</si>
  <si>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</si>
  <si>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</si>
  <si>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</si>
  <si>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</si>
  <si>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</si>
  <si>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</si>
  <si>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</si>
  <si>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</si>
  <si>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</si>
  <si>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</si>
  <si>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</si>
  <si>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</si>
  <si>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</si>
  <si>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</si>
  <si>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</si>
  <si>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</si>
  <si>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</si>
  <si>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</si>
  <si>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</si>
  <si>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</si>
  <si>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</si>
  <si>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</si>
  <si>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</si>
  <si>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</si>
  <si>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</si>
  <si>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</si>
  <si>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</si>
  <si>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</si>
  <si>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</si>
  <si>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</si>
  <si>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</si>
  <si>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</si>
  <si>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</si>
  <si>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</si>
  <si>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</si>
  <si>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</si>
  <si>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</si>
  <si>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</si>
  <si>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</si>
  <si>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</si>
  <si>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</si>
  <si>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</si>
  <si>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</si>
  <si>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</si>
  <si>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</si>
  <si>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</si>
  <si>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</si>
  <si>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</si>
  <si>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</si>
  <si>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</si>
  <si>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</si>
  <si>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</si>
  <si>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</si>
  <si>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</si>
  <si>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</si>
  <si>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</si>
  <si>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</si>
  <si>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</si>
  <si>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</si>
  <si>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</si>
  <si>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</si>
  <si>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</si>
  <si>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</si>
  <si>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</si>
  <si>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</si>
  <si>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</si>
  <si>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</si>
  <si>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</si>
  <si>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</si>
  <si>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</si>
  <si>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</si>
  <si>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</si>
  <si>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</si>
  <si>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</si>
  <si>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</si>
  <si>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</si>
  <si>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</si>
  <si>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</si>
  <si>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</si>
  <si>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</si>
  <si>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</si>
  <si>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</si>
  <si>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</si>
  <si>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</si>
  <si>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</si>
  <si>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</si>
  <si>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</si>
  <si>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</si>
  <si>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</si>
  <si>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</si>
  <si>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</si>
  <si>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</si>
  <si>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</si>
  <si>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</si>
  <si>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</si>
  <si>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</si>
  <si>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</si>
  <si>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</si>
  <si>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</si>
  <si>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</si>
  <si>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</si>
  <si>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</si>
  <si>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</si>
  <si>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</si>
  <si>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</si>
  <si>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</si>
  <si>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</si>
  <si>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</si>
  <si>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</si>
  <si>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</si>
  <si>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</si>
  <si>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</si>
  <si>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</si>
  <si>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</si>
  <si>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</si>
  <si>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</si>
  <si>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</si>
  <si>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</si>
  <si>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</si>
  <si>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</si>
  <si>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</si>
  <si>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</si>
  <si>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</si>
  <si>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</si>
  <si>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</si>
  <si>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</si>
  <si>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</si>
  <si>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</si>
  <si>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</si>
  <si>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</si>
  <si>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</si>
  <si>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</si>
  <si>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</si>
  <si>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</si>
  <si>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</si>
  <si>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</si>
  <si>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</si>
  <si>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</si>
  <si>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</si>
  <si>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</si>
  <si>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</si>
  <si>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</si>
  <si>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</si>
  <si>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</si>
  <si>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</si>
  <si>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</si>
  <si>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</si>
  <si>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</si>
  <si>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</si>
  <si>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</si>
  <si>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</si>
  <si>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</si>
  <si>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</si>
  <si>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</si>
  <si>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</si>
  <si>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</si>
  <si>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</si>
  <si>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</si>
  <si>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</si>
  <si>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</si>
  <si>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</si>
  <si>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</si>
  <si>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</si>
  <si>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</si>
  <si>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</si>
  <si>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</si>
  <si>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</si>
  <si>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</si>
  <si>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</si>
  <si>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</si>
  <si>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</si>
  <si>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</si>
  <si>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</si>
  <si>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</si>
  <si>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</si>
  <si>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</si>
  <si>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</si>
  <si>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</si>
  <si>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</si>
  <si>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</si>
  <si>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</si>
  <si>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</si>
  <si>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</si>
  <si>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</si>
  <si>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</si>
  <si>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</si>
  <si>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</si>
  <si>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</si>
  <si>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</si>
  <si>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</si>
  <si>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</si>
  <si>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</si>
  <si>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</si>
  <si>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</si>
  <si>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</si>
  <si>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</si>
  <si>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</si>
  <si>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</si>
  <si>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</si>
  <si>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</si>
  <si>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</si>
  <si>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</si>
  <si>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</si>
  <si>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</si>
  <si>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</si>
  <si>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</si>
  <si>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</si>
  <si>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</si>
  <si>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</si>
  <si>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</si>
  <si>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</si>
  <si>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</si>
  <si>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</si>
  <si>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</si>
  <si>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</si>
  <si>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</si>
  <si>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</si>
  <si>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</si>
  <si>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</si>
  <si>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</si>
  <si>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</si>
  <si>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</si>
  <si>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</si>
  <si>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</si>
  <si>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</si>
  <si>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</si>
  <si>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</si>
  <si>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</si>
  <si>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</si>
  <si>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</si>
  <si>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</si>
  <si>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</si>
  <si>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</si>
  <si>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</si>
  <si>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</si>
  <si>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</si>
  <si>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</si>
  <si>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</si>
  <si>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</si>
  <si>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</si>
  <si>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</si>
  <si>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</si>
  <si>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</si>
  <si>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</si>
  <si>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</si>
  <si>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</si>
  <si>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</si>
  <si>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</si>
  <si>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</si>
  <si>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</si>
  <si>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</si>
  <si>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</si>
  <si>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</si>
  <si>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</si>
  <si>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</si>
  <si>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</si>
  <si>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</si>
  <si>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</si>
  <si>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</si>
  <si>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</si>
  <si>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</si>
  <si>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</si>
  <si>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</si>
  <si>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</si>
  <si>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</si>
  <si>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</si>
  <si>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</si>
  <si>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</si>
  <si>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</si>
  <si>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</si>
  <si>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</si>
  <si>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</si>
  <si>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</si>
  <si>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</si>
  <si>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</si>
  <si>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</si>
  <si>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</si>
  <si>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</si>
  <si>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</si>
  <si>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</si>
  <si>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</si>
  <si>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</si>
  <si>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</si>
  <si>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</si>
  <si>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</si>
  <si>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</si>
  <si>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</si>
  <si>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</si>
  <si>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</si>
  <si>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</si>
  <si>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</si>
  <si>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</si>
  <si>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</si>
  <si>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</si>
  <si>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</si>
  <si>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</si>
  <si>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</si>
  <si>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</si>
  <si>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</si>
  <si>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</si>
  <si>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</si>
  <si>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</si>
  <si>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</si>
  <si>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</si>
  <si>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</si>
  <si>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</si>
  <si>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</si>
  <si>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</si>
  <si>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</si>
  <si>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</si>
  <si>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</si>
  <si>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</si>
  <si>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</si>
  <si>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</si>
  <si>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</si>
  <si>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</si>
  <si>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</si>
  <si>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</si>
  <si>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</si>
  <si>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</si>
  <si>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</si>
  <si>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</si>
  <si>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</si>
  <si>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</si>
  <si>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</si>
  <si>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</si>
  <si>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</si>
  <si>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</si>
  <si>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</si>
  <si>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</si>
  <si>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</si>
  <si>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</si>
  <si>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</si>
  <si>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</si>
  <si>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</si>
  <si>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</si>
  <si>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</si>
  <si>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</si>
  <si>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</si>
  <si>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</si>
  <si>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</si>
  <si>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</si>
  <si>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</si>
  <si>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</si>
  <si>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</si>
  <si>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</si>
  <si>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</si>
  <si>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</si>
  <si>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</si>
  <si>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</si>
  <si>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</si>
  <si>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</si>
  <si>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</si>
  <si>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</si>
  <si>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</si>
  <si>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</si>
  <si>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</si>
  <si>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</si>
  <si>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</si>
  <si>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</si>
  <si>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</si>
  <si>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</si>
  <si>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</si>
  <si>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</si>
  <si>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</si>
  <si>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</si>
  <si>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</si>
  <si>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</si>
  <si>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</si>
  <si>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</si>
  <si>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</si>
  <si>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</si>
  <si>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</si>
  <si>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</si>
  <si>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</si>
  <si>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</si>
  <si>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</si>
  <si>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</si>
  <si>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</si>
  <si>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</si>
  <si>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</si>
  <si>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</si>
  <si>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</si>
  <si>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</si>
  <si>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</si>
  <si>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</si>
  <si>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</si>
  <si>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</si>
  <si>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</si>
  <si>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</si>
  <si>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</si>
  <si>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</si>
  <si>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</si>
  <si>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</si>
  <si>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</si>
  <si>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</si>
  <si>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</si>
  <si>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</si>
  <si>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</si>
  <si>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</si>
  <si>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</si>
  <si>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</si>
  <si>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</si>
  <si>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</si>
  <si>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</si>
  <si>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</si>
  <si>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</si>
  <si>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</si>
  <si>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</si>
  <si>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</si>
  <si>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</si>
  <si>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</si>
  <si>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</si>
  <si>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</si>
  <si>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</si>
  <si>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</si>
  <si>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</si>
  <si>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</si>
  <si>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</si>
  <si>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</si>
  <si>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</si>
  <si>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</si>
  <si>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</si>
  <si>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</si>
  <si>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</si>
  <si>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</si>
  <si>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</si>
  <si>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</si>
  <si>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</si>
  <si>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</si>
  <si>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</si>
  <si>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</si>
  <si>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</si>
  <si>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</si>
  <si>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</si>
  <si>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</si>
  <si>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</si>
  <si>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</si>
  <si>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</si>
  <si>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</si>
  <si>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</si>
  <si>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</si>
  <si>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</si>
  <si>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</si>
  <si>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</si>
  <si>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</si>
  <si>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</si>
  <si>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</si>
  <si>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</si>
  <si>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</si>
  <si>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</si>
  <si>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</si>
  <si>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</si>
  <si>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</si>
  <si>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</si>
  <si>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</si>
  <si>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</si>
  <si>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</si>
  <si>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</si>
  <si>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</si>
  <si>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</si>
  <si>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</si>
  <si>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</si>
  <si>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</si>
  <si>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</si>
  <si>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</si>
  <si>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</si>
  <si>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</si>
  <si>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</si>
  <si>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</si>
  <si>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</si>
  <si>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</si>
  <si>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</si>
  <si>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</si>
  <si>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</si>
  <si>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</si>
  <si>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</si>
  <si>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</si>
  <si>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</si>
  <si>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</si>
  <si>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</si>
  <si>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</si>
  <si>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</si>
  <si>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</si>
  <si>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</si>
  <si>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</si>
  <si>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</si>
  <si>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</si>
  <si>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</si>
  <si>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</si>
  <si>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</si>
  <si>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</si>
  <si>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</si>
  <si>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</si>
  <si>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</si>
  <si>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</si>
  <si>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</si>
  <si>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</si>
  <si>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</si>
  <si>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</si>
  <si>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</si>
  <si>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</si>
  <si>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</si>
  <si>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</si>
  <si>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</si>
  <si>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</si>
  <si>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</si>
  <si>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</si>
  <si>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</si>
  <si>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</si>
  <si>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</si>
  <si>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</si>
  <si>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</si>
  <si>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</si>
  <si>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</si>
  <si>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</si>
  <si>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</si>
  <si>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</si>
  <si>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</si>
  <si>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</si>
  <si>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</si>
  <si>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</si>
  <si>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</si>
  <si>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</si>
  <si>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</si>
  <si>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</si>
  <si>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</si>
  <si>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</si>
  <si>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</si>
  <si>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</si>
  <si>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</si>
  <si>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</si>
  <si>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</si>
  <si>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</si>
  <si>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</si>
  <si>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</si>
  <si>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</si>
  <si>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</si>
  <si>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</si>
  <si>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</si>
  <si>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</si>
  <si>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</si>
  <si>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</si>
  <si>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</si>
  <si>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</si>
  <si>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</si>
  <si>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</si>
  <si>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</si>
  <si>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</si>
  <si>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</si>
  <si>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</si>
  <si>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</si>
  <si>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</si>
  <si>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</si>
  <si>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</si>
  <si>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</si>
  <si>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</si>
  <si>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</si>
  <si>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</si>
  <si>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</si>
  <si>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</si>
  <si>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</si>
  <si>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</si>
  <si>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</si>
  <si>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</si>
  <si>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</si>
  <si>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</si>
  <si>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</si>
  <si>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</si>
  <si>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</si>
  <si>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</si>
  <si>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</si>
  <si>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</si>
  <si>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</si>
  <si>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</si>
  <si>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</si>
  <si>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</si>
  <si>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</si>
  <si>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</si>
  <si>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</si>
  <si>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</si>
  <si>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</si>
  <si>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</si>
  <si>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</si>
  <si>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</si>
  <si>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</si>
  <si>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</si>
  <si>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</si>
  <si>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</si>
  <si>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</si>
  <si>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</si>
  <si>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</si>
  <si>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</si>
  <si>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</si>
  <si>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</si>
  <si>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</si>
  <si>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</si>
  <si>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</si>
  <si>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</si>
  <si>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</si>
  <si>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</si>
  <si>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</si>
  <si>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</si>
  <si>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</si>
  <si>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</si>
  <si>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</si>
  <si>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</si>
  <si>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</si>
  <si>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</si>
  <si>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</si>
  <si>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</si>
  <si>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</si>
  <si>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</si>
  <si>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</si>
  <si>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23088</t>
  </si>
  <si>
    <t>VILVOORDE</t>
  </si>
  <si>
    <t>Cultuurgrond (ha)</t>
  </si>
  <si>
    <t>Paarden&amp;pony's 200 - 600 kg</t>
  </si>
  <si>
    <t>Paarden&amp;pony's &lt; 200 kg</t>
  </si>
  <si>
    <t>op basis van VEA (maart 2018) en Inventaris Hernieuwbare Energiebronnen (juni 2018)</t>
  </si>
  <si>
    <t>VEA (juni 2018)</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</si>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</sst>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278765.70618664759</c:v>
                </c:pt>
                <c:pt idx="1">
                  <c:v>230567.93775857374</c:v>
                </c:pt>
                <c:pt idx="2">
                  <c:v>2709.0151427719002</c:v>
                </c:pt>
                <c:pt idx="3">
                  <c:v>14488.353935915666</c:v>
                </c:pt>
                <c:pt idx="4">
                  <c:v>82808.52121166591</c:v>
                </c:pt>
                <c:pt idx="5">
                  <c:v>348282.2252695749</c:v>
                </c:pt>
                <c:pt idx="6">
                  <c:v>4858.3668322583117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278765.70618664759</c:v>
                </c:pt>
                <c:pt idx="1">
                  <c:v>230567.93775857374</c:v>
                </c:pt>
                <c:pt idx="2">
                  <c:v>2709.0151427719002</c:v>
                </c:pt>
                <c:pt idx="3">
                  <c:v>14488.353935915666</c:v>
                </c:pt>
                <c:pt idx="4">
                  <c:v>82808.52121166591</c:v>
                </c:pt>
                <c:pt idx="5">
                  <c:v>348282.2252695749</c:v>
                </c:pt>
                <c:pt idx="6">
                  <c:v>4858.3668322583117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54797.47112361261</c:v>
                </c:pt>
                <c:pt idx="1">
                  <c:v>48218.682912258722</c:v>
                </c:pt>
                <c:pt idx="2">
                  <c:v>582.99357510731215</c:v>
                </c:pt>
                <c:pt idx="3">
                  <c:v>2940.7259385067623</c:v>
                </c:pt>
                <c:pt idx="4">
                  <c:v>16618.32338067747</c:v>
                </c:pt>
                <c:pt idx="5">
                  <c:v>88094.302722303575</c:v>
                </c:pt>
                <c:pt idx="6">
                  <c:v>1241.9513308222045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54797.47112361261</c:v>
                </c:pt>
                <c:pt idx="1">
                  <c:v>48218.682912258722</c:v>
                </c:pt>
                <c:pt idx="2">
                  <c:v>582.99357510731215</c:v>
                </c:pt>
                <c:pt idx="3">
                  <c:v>2940.7259385067623</c:v>
                </c:pt>
                <c:pt idx="4">
                  <c:v>16618.32338067747</c:v>
                </c:pt>
                <c:pt idx="5">
                  <c:v>88094.302722303575</c:v>
                </c:pt>
                <c:pt idx="6">
                  <c:v>1241.9513308222045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23088</v>
      </c>
      <c r="B6" s="398"/>
      <c r="C6" s="399"/>
    </row>
    <row r="7" spans="1:7" s="396" customFormat="1" ht="15.75" customHeight="1">
      <c r="A7" s="400" t="str">
        <f>txtMunicipality</f>
        <v>VILVOORDE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89200.228344779811</v>
      </c>
      <c r="D10" s="704">
        <f ca="1">tertiair!C16</f>
        <v>1928.5714285714287</v>
      </c>
      <c r="E10" s="704">
        <f ca="1">tertiair!D16</f>
        <v>120990.93212761024</v>
      </c>
      <c r="F10" s="704">
        <f>tertiair!E16</f>
        <v>1325.3336506074133</v>
      </c>
      <c r="G10" s="704">
        <f ca="1">tertiair!F16</f>
        <v>16501.887397034472</v>
      </c>
      <c r="H10" s="704">
        <f>tertiair!G16</f>
        <v>0</v>
      </c>
      <c r="I10" s="704">
        <f>tertiair!H16</f>
        <v>0</v>
      </c>
      <c r="J10" s="704">
        <f>tertiair!I16</f>
        <v>0</v>
      </c>
      <c r="K10" s="704">
        <f>tertiair!J16</f>
        <v>0</v>
      </c>
      <c r="L10" s="704">
        <f>tertiair!K16</f>
        <v>0</v>
      </c>
      <c r="M10" s="704">
        <f ca="1">tertiair!L16</f>
        <v>0</v>
      </c>
      <c r="N10" s="704">
        <f>tertiair!M16</f>
        <v>0</v>
      </c>
      <c r="O10" s="704">
        <f ca="1">tertiair!N16</f>
        <v>3253.7332860755769</v>
      </c>
      <c r="P10" s="704">
        <f>tertiair!O16</f>
        <v>0</v>
      </c>
      <c r="Q10" s="705">
        <f>tertiair!P16</f>
        <v>76.266666666666666</v>
      </c>
      <c r="R10" s="707">
        <f ca="1">SUM(C10:Q10)</f>
        <v>233276.95290134562</v>
      </c>
      <c r="S10" s="67"/>
    </row>
    <row r="11" spans="1:19" s="459" customFormat="1">
      <c r="A11" s="858" t="s">
        <v>225</v>
      </c>
      <c r="B11" s="863"/>
      <c r="C11" s="704">
        <f>huishoudens!B8</f>
        <v>56841.062002054699</v>
      </c>
      <c r="D11" s="704">
        <f>huishoudens!C8</f>
        <v>0</v>
      </c>
      <c r="E11" s="704">
        <f>huishoudens!D8</f>
        <v>208223.9194094546</v>
      </c>
      <c r="F11" s="704">
        <f>huishoudens!E8</f>
        <v>2219.2037744083186</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11160.484334063327</v>
      </c>
      <c r="P11" s="704">
        <f>huishoudens!O8</f>
        <v>92.236666666666679</v>
      </c>
      <c r="Q11" s="705">
        <f>huishoudens!P8</f>
        <v>228.8</v>
      </c>
      <c r="R11" s="707">
        <f>SUM(C11:Q11)</f>
        <v>278765.70618664759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41282.324025504407</v>
      </c>
      <c r="D13" s="704">
        <f>industrie!C18</f>
        <v>0</v>
      </c>
      <c r="E13" s="704">
        <f>industrie!D18</f>
        <v>17913.948677445514</v>
      </c>
      <c r="F13" s="704">
        <f>industrie!E18</f>
        <v>2534.9015276064347</v>
      </c>
      <c r="G13" s="704">
        <f>industrie!F18</f>
        <v>13152.81302591122</v>
      </c>
      <c r="H13" s="704">
        <f>industrie!G18</f>
        <v>0</v>
      </c>
      <c r="I13" s="704">
        <f>industrie!H18</f>
        <v>0</v>
      </c>
      <c r="J13" s="704">
        <f>industrie!I18</f>
        <v>0</v>
      </c>
      <c r="K13" s="704">
        <f>industrie!J18</f>
        <v>79.999769738366567</v>
      </c>
      <c r="L13" s="704">
        <f>industrie!K18</f>
        <v>0</v>
      </c>
      <c r="M13" s="704">
        <f>industrie!L18</f>
        <v>0</v>
      </c>
      <c r="N13" s="704">
        <f>industrie!M18</f>
        <v>0</v>
      </c>
      <c r="O13" s="704">
        <f>industrie!N18</f>
        <v>7844.5341854599628</v>
      </c>
      <c r="P13" s="704">
        <f>industrie!O18</f>
        <v>0</v>
      </c>
      <c r="Q13" s="705">
        <f>industrie!P18</f>
        <v>0</v>
      </c>
      <c r="R13" s="707">
        <f>SUM(C13:Q13)</f>
        <v>82808.52121166591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187323.61437233893</v>
      </c>
      <c r="D15" s="709">
        <f t="shared" ref="D15:Q15" ca="1" si="0">SUM(D9:D14)</f>
        <v>1928.5714285714287</v>
      </c>
      <c r="E15" s="709">
        <f t="shared" ca="1" si="0"/>
        <v>347128.80021451035</v>
      </c>
      <c r="F15" s="709">
        <f t="shared" si="0"/>
        <v>6079.4389526221667</v>
      </c>
      <c r="G15" s="709">
        <f t="shared" ca="1" si="0"/>
        <v>29654.700422945694</v>
      </c>
      <c r="H15" s="709">
        <f t="shared" si="0"/>
        <v>0</v>
      </c>
      <c r="I15" s="709">
        <f t="shared" si="0"/>
        <v>0</v>
      </c>
      <c r="J15" s="709">
        <f t="shared" si="0"/>
        <v>0</v>
      </c>
      <c r="K15" s="709">
        <f t="shared" si="0"/>
        <v>79.999769738366567</v>
      </c>
      <c r="L15" s="709">
        <f t="shared" si="0"/>
        <v>0</v>
      </c>
      <c r="M15" s="709">
        <f t="shared" ca="1" si="0"/>
        <v>0</v>
      </c>
      <c r="N15" s="709">
        <f t="shared" si="0"/>
        <v>0</v>
      </c>
      <c r="O15" s="709">
        <f t="shared" ca="1" si="0"/>
        <v>22258.751805598869</v>
      </c>
      <c r="P15" s="709">
        <f t="shared" si="0"/>
        <v>92.236666666666679</v>
      </c>
      <c r="Q15" s="710">
        <f t="shared" si="0"/>
        <v>305.06666666666666</v>
      </c>
      <c r="R15" s="711">
        <f ca="1">SUM(R9:R14)</f>
        <v>594851.18029965914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4651.5031116936498</v>
      </c>
      <c r="I18" s="704">
        <f>transport!H54</f>
        <v>0</v>
      </c>
      <c r="J18" s="704">
        <f>transport!I54</f>
        <v>0</v>
      </c>
      <c r="K18" s="704">
        <f>transport!J54</f>
        <v>0</v>
      </c>
      <c r="L18" s="704">
        <f>transport!K54</f>
        <v>0</v>
      </c>
      <c r="M18" s="704">
        <f>transport!L54</f>
        <v>0</v>
      </c>
      <c r="N18" s="704">
        <f>transport!M54</f>
        <v>206.86372056466161</v>
      </c>
      <c r="O18" s="704">
        <f>transport!N54</f>
        <v>0</v>
      </c>
      <c r="P18" s="704">
        <f>transport!O54</f>
        <v>0</v>
      </c>
      <c r="Q18" s="705">
        <f>transport!P54</f>
        <v>0</v>
      </c>
      <c r="R18" s="707">
        <f>SUM(C18:Q18)</f>
        <v>4858.3668322583117</v>
      </c>
      <c r="S18" s="67"/>
    </row>
    <row r="19" spans="1:19" s="459" customFormat="1" ht="15" thickBot="1">
      <c r="A19" s="858" t="s">
        <v>307</v>
      </c>
      <c r="B19" s="863"/>
      <c r="C19" s="713">
        <f>transport!B14</f>
        <v>20.419188741412679</v>
      </c>
      <c r="D19" s="713">
        <f>transport!C14</f>
        <v>0</v>
      </c>
      <c r="E19" s="713">
        <f>transport!D14</f>
        <v>31.270272670170407</v>
      </c>
      <c r="F19" s="713">
        <f>transport!E14</f>
        <v>1145.8465258472174</v>
      </c>
      <c r="G19" s="713">
        <f>transport!F14</f>
        <v>0</v>
      </c>
      <c r="H19" s="713">
        <f>transport!G14</f>
        <v>283506.92131449748</v>
      </c>
      <c r="I19" s="713">
        <f>transport!H14</f>
        <v>48703.360094735865</v>
      </c>
      <c r="J19" s="713">
        <f>transport!I14</f>
        <v>0</v>
      </c>
      <c r="K19" s="713">
        <f>transport!J14</f>
        <v>0</v>
      </c>
      <c r="L19" s="713">
        <f>transport!K14</f>
        <v>0</v>
      </c>
      <c r="M19" s="713">
        <f>transport!L14</f>
        <v>0</v>
      </c>
      <c r="N19" s="713">
        <f>transport!M14</f>
        <v>14874.407873082802</v>
      </c>
      <c r="O19" s="713">
        <f>transport!N14</f>
        <v>0</v>
      </c>
      <c r="P19" s="713">
        <f>transport!O14</f>
        <v>0</v>
      </c>
      <c r="Q19" s="714">
        <f>transport!P14</f>
        <v>0</v>
      </c>
      <c r="R19" s="715">
        <f>SUM(C19:Q19)</f>
        <v>348282.2252695749</v>
      </c>
      <c r="S19" s="67"/>
    </row>
    <row r="20" spans="1:19" s="459" customFormat="1" ht="15.75" thickBot="1">
      <c r="A20" s="716" t="s">
        <v>230</v>
      </c>
      <c r="B20" s="866"/>
      <c r="C20" s="861">
        <f>SUM(C17:C19)</f>
        <v>20.419188741412679</v>
      </c>
      <c r="D20" s="717">
        <f t="shared" ref="D20:R20" si="1">SUM(D17:D19)</f>
        <v>0</v>
      </c>
      <c r="E20" s="717">
        <f t="shared" si="1"/>
        <v>31.270272670170407</v>
      </c>
      <c r="F20" s="717">
        <f t="shared" si="1"/>
        <v>1145.8465258472174</v>
      </c>
      <c r="G20" s="717">
        <f t="shared" si="1"/>
        <v>0</v>
      </c>
      <c r="H20" s="717">
        <f t="shared" si="1"/>
        <v>288158.42442619114</v>
      </c>
      <c r="I20" s="717">
        <f t="shared" si="1"/>
        <v>48703.360094735865</v>
      </c>
      <c r="J20" s="717">
        <f t="shared" si="1"/>
        <v>0</v>
      </c>
      <c r="K20" s="717">
        <f t="shared" si="1"/>
        <v>0</v>
      </c>
      <c r="L20" s="717">
        <f t="shared" si="1"/>
        <v>0</v>
      </c>
      <c r="M20" s="717">
        <f t="shared" si="1"/>
        <v>0</v>
      </c>
      <c r="N20" s="717">
        <f t="shared" si="1"/>
        <v>15081.271593647463</v>
      </c>
      <c r="O20" s="717">
        <f t="shared" si="1"/>
        <v>0</v>
      </c>
      <c r="P20" s="717">
        <f t="shared" si="1"/>
        <v>0</v>
      </c>
      <c r="Q20" s="718">
        <f t="shared" si="1"/>
        <v>0</v>
      </c>
      <c r="R20" s="719">
        <f t="shared" si="1"/>
        <v>353140.5921018332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50.4969815197814</v>
      </c>
      <c r="D22" s="713">
        <f>+landbouw!C8</f>
        <v>25.714285714285715</v>
      </c>
      <c r="E22" s="713">
        <f>+landbouw!D8</f>
        <v>14229.684933176964</v>
      </c>
      <c r="F22" s="713">
        <f>+landbouw!E8</f>
        <v>0.63632702048812551</v>
      </c>
      <c r="G22" s="713">
        <f>+landbouw!F8</f>
        <v>174.22723649299999</v>
      </c>
      <c r="H22" s="713">
        <f>+landbouw!G8</f>
        <v>0</v>
      </c>
      <c r="I22" s="713">
        <f>+landbouw!H8</f>
        <v>0</v>
      </c>
      <c r="J22" s="713">
        <f>+landbouw!I8</f>
        <v>0</v>
      </c>
      <c r="K22" s="713">
        <f>+landbouw!J8</f>
        <v>7.5941719911485901</v>
      </c>
      <c r="L22" s="713">
        <f>+landbouw!K8</f>
        <v>0</v>
      </c>
      <c r="M22" s="713">
        <f>+landbouw!L8</f>
        <v>0</v>
      </c>
      <c r="N22" s="713">
        <f>+landbouw!M8</f>
        <v>0</v>
      </c>
      <c r="O22" s="713">
        <f>+landbouw!N8</f>
        <v>0</v>
      </c>
      <c r="P22" s="713">
        <f>+landbouw!O8</f>
        <v>0</v>
      </c>
      <c r="Q22" s="714">
        <f>+landbouw!P8</f>
        <v>0</v>
      </c>
      <c r="R22" s="715">
        <f>SUM(C22:Q22)</f>
        <v>14488.353935915666</v>
      </c>
      <c r="S22" s="67"/>
    </row>
    <row r="23" spans="1:19" s="459" customFormat="1" ht="17.25" thickTop="1" thickBot="1">
      <c r="A23" s="720" t="s">
        <v>116</v>
      </c>
      <c r="B23" s="852"/>
      <c r="C23" s="721">
        <f ca="1">C20+C15+C22</f>
        <v>187394.53054260011</v>
      </c>
      <c r="D23" s="721">
        <f t="shared" ref="D23:Q23" ca="1" si="2">D20+D15+D22</f>
        <v>1954.2857142857144</v>
      </c>
      <c r="E23" s="721">
        <f t="shared" ca="1" si="2"/>
        <v>361389.75542035751</v>
      </c>
      <c r="F23" s="721">
        <f t="shared" si="2"/>
        <v>7225.9218054898729</v>
      </c>
      <c r="G23" s="721">
        <f t="shared" ca="1" si="2"/>
        <v>29828.927659438694</v>
      </c>
      <c r="H23" s="721">
        <f t="shared" si="2"/>
        <v>288158.42442619114</v>
      </c>
      <c r="I23" s="721">
        <f t="shared" si="2"/>
        <v>48703.360094735865</v>
      </c>
      <c r="J23" s="721">
        <f t="shared" si="2"/>
        <v>0</v>
      </c>
      <c r="K23" s="721">
        <f t="shared" si="2"/>
        <v>87.593941729515151</v>
      </c>
      <c r="L23" s="721">
        <f t="shared" si="2"/>
        <v>0</v>
      </c>
      <c r="M23" s="721">
        <f t="shared" ca="1" si="2"/>
        <v>0</v>
      </c>
      <c r="N23" s="721">
        <f t="shared" si="2"/>
        <v>15081.271593647463</v>
      </c>
      <c r="O23" s="721">
        <f t="shared" ca="1" si="2"/>
        <v>22258.751805598869</v>
      </c>
      <c r="P23" s="721">
        <f t="shared" si="2"/>
        <v>92.236666666666679</v>
      </c>
      <c r="Q23" s="722">
        <f t="shared" si="2"/>
        <v>305.06666666666666</v>
      </c>
      <c r="R23" s="723">
        <f ca="1">R20+R15+R22</f>
        <v>962480.12633740797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19196.334196161584</v>
      </c>
      <c r="D36" s="704">
        <f ca="1">tertiair!C20</f>
        <v>458.31932773109253</v>
      </c>
      <c r="E36" s="704">
        <f ca="1">tertiair!D20</f>
        <v>24440.16828977727</v>
      </c>
      <c r="F36" s="704">
        <f>tertiair!E20</f>
        <v>300.85073868788282</v>
      </c>
      <c r="G36" s="704">
        <f ca="1">tertiair!F20</f>
        <v>4406.0039350082043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48801.676487366029</v>
      </c>
    </row>
    <row r="37" spans="1:18">
      <c r="A37" s="873" t="s">
        <v>225</v>
      </c>
      <c r="B37" s="880"/>
      <c r="C37" s="704">
        <f ca="1">huishoudens!B12</f>
        <v>12232.480146112084</v>
      </c>
      <c r="D37" s="704">
        <f ca="1">huishoudens!C12</f>
        <v>0</v>
      </c>
      <c r="E37" s="704">
        <f>huishoudens!D12</f>
        <v>42061.231720709831</v>
      </c>
      <c r="F37" s="704">
        <f>huishoudens!E12</f>
        <v>503.75925679068837</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54797.47112361261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8884.1621046611381</v>
      </c>
      <c r="D39" s="704">
        <f ca="1">industrie!C22</f>
        <v>0</v>
      </c>
      <c r="E39" s="704">
        <f>industrie!D22</f>
        <v>3618.6176328439942</v>
      </c>
      <c r="F39" s="704">
        <f>industrie!E22</f>
        <v>575.4226467666607</v>
      </c>
      <c r="G39" s="704">
        <f>industrie!F22</f>
        <v>3511.801077918296</v>
      </c>
      <c r="H39" s="704">
        <f>industrie!G22</f>
        <v>0</v>
      </c>
      <c r="I39" s="704">
        <f>industrie!H22</f>
        <v>0</v>
      </c>
      <c r="J39" s="704">
        <f>industrie!I22</f>
        <v>0</v>
      </c>
      <c r="K39" s="704">
        <f>industrie!J22</f>
        <v>28.319918487381763</v>
      </c>
      <c r="L39" s="704">
        <f>industrie!K22</f>
        <v>0</v>
      </c>
      <c r="M39" s="704">
        <f>industrie!L22</f>
        <v>0</v>
      </c>
      <c r="N39" s="704">
        <f>industrie!M22</f>
        <v>0</v>
      </c>
      <c r="O39" s="704">
        <f>industrie!N22</f>
        <v>0</v>
      </c>
      <c r="P39" s="704">
        <f>industrie!O22</f>
        <v>0</v>
      </c>
      <c r="Q39" s="814">
        <f>industrie!P22</f>
        <v>0</v>
      </c>
      <c r="R39" s="906">
        <f ca="1">SUM(C39:Q39)</f>
        <v>16618.32338067747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40312.976446934808</v>
      </c>
      <c r="D41" s="749">
        <f t="shared" ref="D41:R41" ca="1" si="4">SUM(D35:D40)</f>
        <v>458.31932773109253</v>
      </c>
      <c r="E41" s="749">
        <f t="shared" ca="1" si="4"/>
        <v>70120.017643331084</v>
      </c>
      <c r="F41" s="749">
        <f t="shared" si="4"/>
        <v>1380.0326422452317</v>
      </c>
      <c r="G41" s="749">
        <f t="shared" ca="1" si="4"/>
        <v>7917.8050129265002</v>
      </c>
      <c r="H41" s="749">
        <f t="shared" si="4"/>
        <v>0</v>
      </c>
      <c r="I41" s="749">
        <f t="shared" si="4"/>
        <v>0</v>
      </c>
      <c r="J41" s="749">
        <f t="shared" si="4"/>
        <v>0</v>
      </c>
      <c r="K41" s="749">
        <f t="shared" si="4"/>
        <v>28.319918487381763</v>
      </c>
      <c r="L41" s="749">
        <f t="shared" si="4"/>
        <v>0</v>
      </c>
      <c r="M41" s="749">
        <f t="shared" ca="1" si="4"/>
        <v>0</v>
      </c>
      <c r="N41" s="749">
        <f t="shared" si="4"/>
        <v>0</v>
      </c>
      <c r="O41" s="749">
        <f t="shared" ca="1" si="4"/>
        <v>0</v>
      </c>
      <c r="P41" s="749">
        <f t="shared" si="4"/>
        <v>0</v>
      </c>
      <c r="Q41" s="750">
        <f t="shared" si="4"/>
        <v>0</v>
      </c>
      <c r="R41" s="751">
        <f t="shared" ca="1" si="4"/>
        <v>120217.4709916561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1241.9513308222045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1241.9513308222045</v>
      </c>
    </row>
    <row r="45" spans="1:18" ht="15" thickBot="1">
      <c r="A45" s="876" t="s">
        <v>307</v>
      </c>
      <c r="B45" s="886"/>
      <c r="C45" s="713">
        <f ca="1">transport!B18</f>
        <v>4.394311296823008</v>
      </c>
      <c r="D45" s="713">
        <f>transport!C18</f>
        <v>0</v>
      </c>
      <c r="E45" s="713">
        <f>transport!D18</f>
        <v>6.3165950793744221</v>
      </c>
      <c r="F45" s="713">
        <f>transport!E18</f>
        <v>260.10716136731838</v>
      </c>
      <c r="G45" s="713">
        <f>transport!F18</f>
        <v>0</v>
      </c>
      <c r="H45" s="713">
        <f>transport!G18</f>
        <v>75696.347990970826</v>
      </c>
      <c r="I45" s="713">
        <f>transport!H18</f>
        <v>12127.13666358923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88094.302722303575</v>
      </c>
    </row>
    <row r="46" spans="1:18" ht="15.75" thickBot="1">
      <c r="A46" s="874" t="s">
        <v>230</v>
      </c>
      <c r="B46" s="887"/>
      <c r="C46" s="749">
        <f t="shared" ref="C46:R46" ca="1" si="5">SUM(C43:C45)</f>
        <v>4.394311296823008</v>
      </c>
      <c r="D46" s="749">
        <f t="shared" ca="1" si="5"/>
        <v>0</v>
      </c>
      <c r="E46" s="749">
        <f t="shared" si="5"/>
        <v>6.3165950793744221</v>
      </c>
      <c r="F46" s="749">
        <f t="shared" si="5"/>
        <v>260.10716136731838</v>
      </c>
      <c r="G46" s="749">
        <f t="shared" si="5"/>
        <v>0</v>
      </c>
      <c r="H46" s="749">
        <f t="shared" si="5"/>
        <v>76938.299321793034</v>
      </c>
      <c r="I46" s="749">
        <f t="shared" si="5"/>
        <v>12127.13666358923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89336.254053125784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10.867202373118678</v>
      </c>
      <c r="D48" s="704">
        <f ca="1">+landbouw!C12</f>
        <v>6.1109243697478997</v>
      </c>
      <c r="E48" s="704">
        <f>+landbouw!D12</f>
        <v>2874.3963565017471</v>
      </c>
      <c r="F48" s="704">
        <f>+landbouw!E12</f>
        <v>0.1444462336508045</v>
      </c>
      <c r="G48" s="704">
        <f>+landbouw!F12</f>
        <v>46.518672143631001</v>
      </c>
      <c r="H48" s="704">
        <f>+landbouw!G12</f>
        <v>0</v>
      </c>
      <c r="I48" s="704">
        <f>+landbouw!H12</f>
        <v>0</v>
      </c>
      <c r="J48" s="704">
        <f>+landbouw!I12</f>
        <v>0</v>
      </c>
      <c r="K48" s="704">
        <f>+landbouw!J12</f>
        <v>2.6883368848666009</v>
      </c>
      <c r="L48" s="704">
        <f>+landbouw!K12</f>
        <v>0</v>
      </c>
      <c r="M48" s="704">
        <f>+landbouw!L12</f>
        <v>0</v>
      </c>
      <c r="N48" s="704">
        <f>+landbouw!M12</f>
        <v>0</v>
      </c>
      <c r="O48" s="704">
        <f>+landbouw!N12</f>
        <v>0</v>
      </c>
      <c r="P48" s="704">
        <f>+landbouw!O12</f>
        <v>0</v>
      </c>
      <c r="Q48" s="705">
        <f>+landbouw!P12</f>
        <v>0</v>
      </c>
      <c r="R48" s="747">
        <f ca="1">SUM(C48:Q48)</f>
        <v>2940.7259385067623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40328.237960604754</v>
      </c>
      <c r="D53" s="759">
        <f t="shared" ref="D53:Q53" ca="1" si="6">D41+D46+D48</f>
        <v>464.43025210084045</v>
      </c>
      <c r="E53" s="759">
        <f t="shared" ca="1" si="6"/>
        <v>73000.730594912209</v>
      </c>
      <c r="F53" s="759">
        <f t="shared" si="6"/>
        <v>1640.284249846201</v>
      </c>
      <c r="G53" s="759">
        <f t="shared" ca="1" si="6"/>
        <v>7964.3236850701314</v>
      </c>
      <c r="H53" s="759">
        <f t="shared" si="6"/>
        <v>76938.299321793034</v>
      </c>
      <c r="I53" s="759">
        <f t="shared" si="6"/>
        <v>12127.13666358923</v>
      </c>
      <c r="J53" s="759">
        <f t="shared" si="6"/>
        <v>0</v>
      </c>
      <c r="K53" s="759">
        <f t="shared" si="6"/>
        <v>31.008255372248364</v>
      </c>
      <c r="L53" s="759">
        <f t="shared" si="6"/>
        <v>0</v>
      </c>
      <c r="M53" s="759">
        <f t="shared" ca="1" si="6"/>
        <v>0</v>
      </c>
      <c r="N53" s="759">
        <f t="shared" si="6"/>
        <v>0</v>
      </c>
      <c r="O53" s="759">
        <f t="shared" ca="1" si="6"/>
        <v>0</v>
      </c>
      <c r="P53" s="759">
        <f>P41+P46+P48</f>
        <v>0</v>
      </c>
      <c r="Q53" s="760">
        <f t="shared" si="6"/>
        <v>0</v>
      </c>
      <c r="R53" s="761">
        <f ca="1">R41+R46+R48</f>
        <v>212494.45098328864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0.21520498940835947</v>
      </c>
      <c r="D55" s="824">
        <f t="shared" ca="1" si="7"/>
        <v>0.23764705882352946</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5016.8618361107037</v>
      </c>
      <c r="C66" s="781">
        <f>'lokale energieproductie'!B6</f>
        <v>5016.8618361107037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1368</v>
      </c>
      <c r="C67" s="780">
        <f>B67*IFERROR(SUM(J67:L67)/SUM(D67:M67),0)</f>
        <v>0</v>
      </c>
      <c r="D67" s="812">
        <f>'lokale energieproductie'!C7</f>
        <v>1609.4117647058822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325.1011764705882</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6384.8618361107037</v>
      </c>
      <c r="C69" s="789">
        <f>SUM(C64:C68)</f>
        <v>5016.8618361107037</v>
      </c>
      <c r="D69" s="790">
        <f t="shared" ref="D69:M69" si="8">SUM(D67:D68)</f>
        <v>1609.4117647058822</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325.1011764705882</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1954.2857142857144</v>
      </c>
      <c r="C78" s="803">
        <f>B78*IFERROR(SUM(I78:L78)/SUM(D78:M78),0)</f>
        <v>0</v>
      </c>
      <c r="D78" s="818">
        <f>'lokale energieproductie'!C16</f>
        <v>2299.1596638655465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464.43025210084039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1954.2857142857144</v>
      </c>
      <c r="C81" s="789">
        <f>SUM(C78:C80)</f>
        <v>0</v>
      </c>
      <c r="D81" s="789">
        <f t="shared" ref="D81:P81" si="9">SUM(D78:D80)</f>
        <v>2299.1596638655465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464.43025210084039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56841.062002054699</v>
      </c>
      <c r="C4" s="463">
        <f>huishoudens!C8</f>
        <v>0</v>
      </c>
      <c r="D4" s="463">
        <f>huishoudens!D8</f>
        <v>208223.9194094546</v>
      </c>
      <c r="E4" s="463">
        <f>huishoudens!E8</f>
        <v>2219.2037744083186</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11160.484334063327</v>
      </c>
      <c r="O4" s="463">
        <f>huishoudens!O8</f>
        <v>92.236666666666679</v>
      </c>
      <c r="P4" s="464">
        <f>huishoudens!P8</f>
        <v>228.8</v>
      </c>
      <c r="Q4" s="465">
        <f>SUM(B4:P4)</f>
        <v>278765.70618664759</v>
      </c>
    </row>
    <row r="5" spans="1:17">
      <c r="A5" s="462" t="s">
        <v>156</v>
      </c>
      <c r="B5" s="463">
        <f ca="1">tertiair!B16</f>
        <v>86491.213202007915</v>
      </c>
      <c r="C5" s="463">
        <f ca="1">tertiair!C16</f>
        <v>1928.5714285714287</v>
      </c>
      <c r="D5" s="463">
        <f ca="1">tertiair!D16</f>
        <v>120990.93212761024</v>
      </c>
      <c r="E5" s="463">
        <f>tertiair!E16</f>
        <v>1325.3336506074133</v>
      </c>
      <c r="F5" s="463">
        <f ca="1">tertiair!F16</f>
        <v>16501.887397034472</v>
      </c>
      <c r="G5" s="463">
        <f>tertiair!G16</f>
        <v>0</v>
      </c>
      <c r="H5" s="463">
        <f>tertiair!H16</f>
        <v>0</v>
      </c>
      <c r="I5" s="463">
        <f>tertiair!I16</f>
        <v>0</v>
      </c>
      <c r="J5" s="463">
        <f>tertiair!J16</f>
        <v>0</v>
      </c>
      <c r="K5" s="463">
        <f>tertiair!K16</f>
        <v>0</v>
      </c>
      <c r="L5" s="463">
        <f ca="1">tertiair!L16</f>
        <v>0</v>
      </c>
      <c r="M5" s="463">
        <f>tertiair!M16</f>
        <v>0</v>
      </c>
      <c r="N5" s="463">
        <f ca="1">tertiair!N16</f>
        <v>3253.7332860755769</v>
      </c>
      <c r="O5" s="463">
        <f>tertiair!O16</f>
        <v>0</v>
      </c>
      <c r="P5" s="464">
        <f>tertiair!P16</f>
        <v>76.266666666666666</v>
      </c>
      <c r="Q5" s="462">
        <f t="shared" ref="Q5:Q13" ca="1" si="0">SUM(B5:P5)</f>
        <v>230567.93775857374</v>
      </c>
    </row>
    <row r="6" spans="1:17">
      <c r="A6" s="462" t="s">
        <v>194</v>
      </c>
      <c r="B6" s="463">
        <f>'openbare verlichting'!B8</f>
        <v>2709.0151427719002</v>
      </c>
      <c r="C6" s="463"/>
      <c r="D6" s="463"/>
      <c r="E6" s="463"/>
      <c r="F6" s="463"/>
      <c r="G6" s="463"/>
      <c r="H6" s="463"/>
      <c r="I6" s="463"/>
      <c r="J6" s="463"/>
      <c r="K6" s="463"/>
      <c r="L6" s="463"/>
      <c r="M6" s="463"/>
      <c r="N6" s="463"/>
      <c r="O6" s="463"/>
      <c r="P6" s="464"/>
      <c r="Q6" s="462">
        <f t="shared" si="0"/>
        <v>2709.0151427719002</v>
      </c>
    </row>
    <row r="7" spans="1:17">
      <c r="A7" s="462" t="s">
        <v>112</v>
      </c>
      <c r="B7" s="463">
        <f>landbouw!B8</f>
        <v>50.4969815197814</v>
      </c>
      <c r="C7" s="463">
        <f>landbouw!C8</f>
        <v>25.714285714285715</v>
      </c>
      <c r="D7" s="463">
        <f>landbouw!D8</f>
        <v>14229.684933176964</v>
      </c>
      <c r="E7" s="463">
        <f>landbouw!E8</f>
        <v>0.63632702048812551</v>
      </c>
      <c r="F7" s="463">
        <f>landbouw!F8</f>
        <v>174.22723649299999</v>
      </c>
      <c r="G7" s="463">
        <f>landbouw!G8</f>
        <v>0</v>
      </c>
      <c r="H7" s="463">
        <f>landbouw!H8</f>
        <v>0</v>
      </c>
      <c r="I7" s="463">
        <f>landbouw!I8</f>
        <v>0</v>
      </c>
      <c r="J7" s="463">
        <f>landbouw!J8</f>
        <v>7.5941719911485901</v>
      </c>
      <c r="K7" s="463">
        <f>landbouw!K8</f>
        <v>0</v>
      </c>
      <c r="L7" s="463">
        <f>landbouw!L8</f>
        <v>0</v>
      </c>
      <c r="M7" s="463">
        <f>landbouw!M8</f>
        <v>0</v>
      </c>
      <c r="N7" s="463">
        <f>landbouw!N8</f>
        <v>0</v>
      </c>
      <c r="O7" s="463">
        <f>landbouw!O8</f>
        <v>0</v>
      </c>
      <c r="P7" s="464">
        <f>landbouw!P8</f>
        <v>0</v>
      </c>
      <c r="Q7" s="462">
        <f t="shared" si="0"/>
        <v>14488.353935915666</v>
      </c>
    </row>
    <row r="8" spans="1:17">
      <c r="A8" s="462" t="s">
        <v>657</v>
      </c>
      <c r="B8" s="463">
        <f>industrie!B18</f>
        <v>41282.324025504407</v>
      </c>
      <c r="C8" s="463">
        <f>industrie!C18</f>
        <v>0</v>
      </c>
      <c r="D8" s="463">
        <f>industrie!D18</f>
        <v>17913.948677445514</v>
      </c>
      <c r="E8" s="463">
        <f>industrie!E18</f>
        <v>2534.9015276064347</v>
      </c>
      <c r="F8" s="463">
        <f>industrie!F18</f>
        <v>13152.81302591122</v>
      </c>
      <c r="G8" s="463">
        <f>industrie!G18</f>
        <v>0</v>
      </c>
      <c r="H8" s="463">
        <f>industrie!H18</f>
        <v>0</v>
      </c>
      <c r="I8" s="463">
        <f>industrie!I18</f>
        <v>0</v>
      </c>
      <c r="J8" s="463">
        <f>industrie!J18</f>
        <v>79.999769738366567</v>
      </c>
      <c r="K8" s="463">
        <f>industrie!K18</f>
        <v>0</v>
      </c>
      <c r="L8" s="463">
        <f>industrie!L18</f>
        <v>0</v>
      </c>
      <c r="M8" s="463">
        <f>industrie!M18</f>
        <v>0</v>
      </c>
      <c r="N8" s="463">
        <f>industrie!N18</f>
        <v>7844.5341854599628</v>
      </c>
      <c r="O8" s="463">
        <f>industrie!O18</f>
        <v>0</v>
      </c>
      <c r="P8" s="464">
        <f>industrie!P18</f>
        <v>0</v>
      </c>
      <c r="Q8" s="462">
        <f t="shared" si="0"/>
        <v>82808.52121166591</v>
      </c>
    </row>
    <row r="9" spans="1:17" s="468" customFormat="1">
      <c r="A9" s="466" t="s">
        <v>574</v>
      </c>
      <c r="B9" s="467">
        <f>transport!B14</f>
        <v>20.419188741412679</v>
      </c>
      <c r="C9" s="467">
        <f>transport!C14</f>
        <v>0</v>
      </c>
      <c r="D9" s="467">
        <f>transport!D14</f>
        <v>31.270272670170407</v>
      </c>
      <c r="E9" s="467">
        <f>transport!E14</f>
        <v>1145.8465258472174</v>
      </c>
      <c r="F9" s="467">
        <f>transport!F14</f>
        <v>0</v>
      </c>
      <c r="G9" s="467">
        <f>transport!G14</f>
        <v>283506.92131449748</v>
      </c>
      <c r="H9" s="467">
        <f>transport!H14</f>
        <v>48703.360094735865</v>
      </c>
      <c r="I9" s="467">
        <f>transport!I14</f>
        <v>0</v>
      </c>
      <c r="J9" s="467">
        <f>transport!J14</f>
        <v>0</v>
      </c>
      <c r="K9" s="467">
        <f>transport!K14</f>
        <v>0</v>
      </c>
      <c r="L9" s="467">
        <f>transport!L14</f>
        <v>0</v>
      </c>
      <c r="M9" s="467">
        <f>transport!M14</f>
        <v>14874.407873082802</v>
      </c>
      <c r="N9" s="467">
        <f>transport!N14</f>
        <v>0</v>
      </c>
      <c r="O9" s="467">
        <f>transport!O14</f>
        <v>0</v>
      </c>
      <c r="P9" s="467">
        <f>transport!P14</f>
        <v>0</v>
      </c>
      <c r="Q9" s="466">
        <f>SUM(B9:P9)</f>
        <v>348282.2252695749</v>
      </c>
    </row>
    <row r="10" spans="1:17">
      <c r="A10" s="462" t="s">
        <v>564</v>
      </c>
      <c r="B10" s="463">
        <f>transport!B54</f>
        <v>0</v>
      </c>
      <c r="C10" s="463">
        <f>transport!C54</f>
        <v>0</v>
      </c>
      <c r="D10" s="463">
        <f>transport!D54</f>
        <v>0</v>
      </c>
      <c r="E10" s="463">
        <f>transport!E54</f>
        <v>0</v>
      </c>
      <c r="F10" s="463">
        <f>transport!F54</f>
        <v>0</v>
      </c>
      <c r="G10" s="463">
        <f>transport!G54</f>
        <v>4651.5031116936498</v>
      </c>
      <c r="H10" s="463">
        <f>transport!H54</f>
        <v>0</v>
      </c>
      <c r="I10" s="463">
        <f>transport!I54</f>
        <v>0</v>
      </c>
      <c r="J10" s="463">
        <f>transport!J54</f>
        <v>0</v>
      </c>
      <c r="K10" s="463">
        <f>transport!K54</f>
        <v>0</v>
      </c>
      <c r="L10" s="463">
        <f>transport!L54</f>
        <v>0</v>
      </c>
      <c r="M10" s="463">
        <f>transport!M54</f>
        <v>206.86372056466161</v>
      </c>
      <c r="N10" s="463">
        <f>transport!N54</f>
        <v>0</v>
      </c>
      <c r="O10" s="463">
        <f>transport!O54</f>
        <v>0</v>
      </c>
      <c r="P10" s="464">
        <f>transport!P54</f>
        <v>0</v>
      </c>
      <c r="Q10" s="462">
        <f t="shared" si="0"/>
        <v>4858.3668322583117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187394.53054260011</v>
      </c>
      <c r="C14" s="473">
        <f t="shared" ref="C14:Q14" ca="1" si="1">SUM(C4:C13)</f>
        <v>1954.2857142857144</v>
      </c>
      <c r="D14" s="473">
        <f t="shared" ca="1" si="1"/>
        <v>361389.75542035751</v>
      </c>
      <c r="E14" s="473">
        <f t="shared" si="1"/>
        <v>7225.921805489872</v>
      </c>
      <c r="F14" s="473">
        <f t="shared" ca="1" si="1"/>
        <v>29828.92765943869</v>
      </c>
      <c r="G14" s="473">
        <f t="shared" si="1"/>
        <v>288158.42442619114</v>
      </c>
      <c r="H14" s="473">
        <f t="shared" si="1"/>
        <v>48703.360094735865</v>
      </c>
      <c r="I14" s="473">
        <f t="shared" si="1"/>
        <v>0</v>
      </c>
      <c r="J14" s="473">
        <f t="shared" si="1"/>
        <v>87.593941729515151</v>
      </c>
      <c r="K14" s="473">
        <f t="shared" si="1"/>
        <v>0</v>
      </c>
      <c r="L14" s="473">
        <f t="shared" ca="1" si="1"/>
        <v>0</v>
      </c>
      <c r="M14" s="473">
        <f t="shared" si="1"/>
        <v>15081.271593647463</v>
      </c>
      <c r="N14" s="473">
        <f t="shared" ca="1" si="1"/>
        <v>22258.751805598869</v>
      </c>
      <c r="O14" s="473">
        <f t="shared" si="1"/>
        <v>92.236666666666679</v>
      </c>
      <c r="P14" s="474">
        <f t="shared" si="1"/>
        <v>305.06666666666666</v>
      </c>
      <c r="Q14" s="474">
        <f t="shared" ca="1" si="1"/>
        <v>962480.12633740797</v>
      </c>
    </row>
    <row r="16" spans="1:17">
      <c r="A16" s="476" t="s">
        <v>569</v>
      </c>
      <c r="B16" s="829">
        <f ca="1">huishoudens!B10</f>
        <v>0.21520498940835944</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12232.480146112084</v>
      </c>
      <c r="C21" s="463">
        <f t="shared" ref="C21:C30" ca="1" si="3">C4*$C$16</f>
        <v>0</v>
      </c>
      <c r="D21" s="463">
        <f t="shared" ref="D21:D30" si="4">D4*$D$16</f>
        <v>42061.231720709831</v>
      </c>
      <c r="E21" s="463">
        <f t="shared" ref="E21:E30" si="5">E4*$E$16</f>
        <v>503.75925679068837</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54797.47112361261</v>
      </c>
    </row>
    <row r="22" spans="1:17">
      <c r="A22" s="462" t="s">
        <v>156</v>
      </c>
      <c r="B22" s="463">
        <f t="shared" ca="1" si="2"/>
        <v>18613.340621054271</v>
      </c>
      <c r="C22" s="463">
        <f t="shared" ca="1" si="3"/>
        <v>458.31932773109253</v>
      </c>
      <c r="D22" s="463">
        <f t="shared" ca="1" si="4"/>
        <v>24440.16828977727</v>
      </c>
      <c r="E22" s="463">
        <f t="shared" si="5"/>
        <v>300.85073868788282</v>
      </c>
      <c r="F22" s="463">
        <f t="shared" ca="1" si="6"/>
        <v>4406.0039350082043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48218.682912258722</v>
      </c>
    </row>
    <row r="23" spans="1:17">
      <c r="A23" s="462" t="s">
        <v>194</v>
      </c>
      <c r="B23" s="463">
        <f t="shared" ca="1" si="2"/>
        <v>582.99357510731215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582.99357510731215</v>
      </c>
    </row>
    <row r="24" spans="1:17">
      <c r="A24" s="462" t="s">
        <v>112</v>
      </c>
      <c r="B24" s="463">
        <f t="shared" ca="1" si="2"/>
        <v>10.867202373118678</v>
      </c>
      <c r="C24" s="463">
        <f t="shared" ca="1" si="3"/>
        <v>6.1109243697478997</v>
      </c>
      <c r="D24" s="463">
        <f t="shared" si="4"/>
        <v>2874.3963565017471</v>
      </c>
      <c r="E24" s="463">
        <f t="shared" si="5"/>
        <v>0.1444462336508045</v>
      </c>
      <c r="F24" s="463">
        <f t="shared" si="6"/>
        <v>46.518672143631001</v>
      </c>
      <c r="G24" s="463">
        <f t="shared" si="7"/>
        <v>0</v>
      </c>
      <c r="H24" s="463">
        <f t="shared" si="8"/>
        <v>0</v>
      </c>
      <c r="I24" s="463">
        <f t="shared" si="9"/>
        <v>0</v>
      </c>
      <c r="J24" s="463">
        <f t="shared" si="10"/>
        <v>2.6883368848666009</v>
      </c>
      <c r="K24" s="463">
        <f t="shared" si="11"/>
        <v>0</v>
      </c>
      <c r="L24" s="463">
        <f t="shared" si="12"/>
        <v>0</v>
      </c>
      <c r="M24" s="463">
        <f t="shared" si="13"/>
        <v>0</v>
      </c>
      <c r="N24" s="463">
        <f t="shared" si="14"/>
        <v>0</v>
      </c>
      <c r="O24" s="463">
        <f t="shared" si="15"/>
        <v>0</v>
      </c>
      <c r="P24" s="464">
        <f t="shared" si="16"/>
        <v>0</v>
      </c>
      <c r="Q24" s="462">
        <f t="shared" ca="1" si="17"/>
        <v>2940.7259385067623</v>
      </c>
    </row>
    <row r="25" spans="1:17">
      <c r="A25" s="462" t="s">
        <v>657</v>
      </c>
      <c r="B25" s="463">
        <f t="shared" ca="1" si="2"/>
        <v>8884.1621046611381</v>
      </c>
      <c r="C25" s="463">
        <f t="shared" ca="1" si="3"/>
        <v>0</v>
      </c>
      <c r="D25" s="463">
        <f t="shared" si="4"/>
        <v>3618.6176328439942</v>
      </c>
      <c r="E25" s="463">
        <f t="shared" si="5"/>
        <v>575.4226467666607</v>
      </c>
      <c r="F25" s="463">
        <f t="shared" si="6"/>
        <v>3511.801077918296</v>
      </c>
      <c r="G25" s="463">
        <f t="shared" si="7"/>
        <v>0</v>
      </c>
      <c r="H25" s="463">
        <f t="shared" si="8"/>
        <v>0</v>
      </c>
      <c r="I25" s="463">
        <f t="shared" si="9"/>
        <v>0</v>
      </c>
      <c r="J25" s="463">
        <f t="shared" si="10"/>
        <v>28.319918487381763</v>
      </c>
      <c r="K25" s="463">
        <f t="shared" si="11"/>
        <v>0</v>
      </c>
      <c r="L25" s="463">
        <f t="shared" si="12"/>
        <v>0</v>
      </c>
      <c r="M25" s="463">
        <f t="shared" si="13"/>
        <v>0</v>
      </c>
      <c r="N25" s="463">
        <f t="shared" si="14"/>
        <v>0</v>
      </c>
      <c r="O25" s="463">
        <f t="shared" si="15"/>
        <v>0</v>
      </c>
      <c r="P25" s="464">
        <f t="shared" si="16"/>
        <v>0</v>
      </c>
      <c r="Q25" s="462">
        <f t="shared" ca="1" si="17"/>
        <v>16618.32338067747</v>
      </c>
    </row>
    <row r="26" spans="1:17" s="468" customFormat="1">
      <c r="A26" s="466" t="s">
        <v>574</v>
      </c>
      <c r="B26" s="823">
        <f t="shared" ca="1" si="2"/>
        <v>4.394311296823008</v>
      </c>
      <c r="C26" s="467">
        <f t="shared" ca="1" si="3"/>
        <v>0</v>
      </c>
      <c r="D26" s="467">
        <f t="shared" si="4"/>
        <v>6.3165950793744221</v>
      </c>
      <c r="E26" s="467">
        <f t="shared" si="5"/>
        <v>260.10716136731838</v>
      </c>
      <c r="F26" s="467">
        <f t="shared" si="6"/>
        <v>0</v>
      </c>
      <c r="G26" s="467">
        <f t="shared" si="7"/>
        <v>75696.347990970826</v>
      </c>
      <c r="H26" s="467">
        <f t="shared" si="8"/>
        <v>12127.13666358923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88094.302722303575</v>
      </c>
    </row>
    <row r="27" spans="1:17">
      <c r="A27" s="462" t="s">
        <v>564</v>
      </c>
      <c r="B27" s="463">
        <f t="shared" ca="1" si="2"/>
        <v>0</v>
      </c>
      <c r="C27" s="463">
        <f t="shared" ca="1" si="3"/>
        <v>0</v>
      </c>
      <c r="D27" s="463">
        <f t="shared" si="4"/>
        <v>0</v>
      </c>
      <c r="E27" s="463">
        <f t="shared" si="5"/>
        <v>0</v>
      </c>
      <c r="F27" s="463">
        <f t="shared" si="6"/>
        <v>0</v>
      </c>
      <c r="G27" s="463">
        <f t="shared" si="7"/>
        <v>1241.9513308222045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1241.9513308222045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40328.237960604754</v>
      </c>
      <c r="C31" s="473">
        <f t="shared" ca="1" si="18"/>
        <v>464.43025210084045</v>
      </c>
      <c r="D31" s="473">
        <f t="shared" ca="1" si="18"/>
        <v>73000.730594912209</v>
      </c>
      <c r="E31" s="473">
        <f t="shared" si="18"/>
        <v>1640.284249846201</v>
      </c>
      <c r="F31" s="473">
        <f t="shared" ca="1" si="18"/>
        <v>7964.3236850701314</v>
      </c>
      <c r="G31" s="473">
        <f t="shared" si="18"/>
        <v>76938.299321793034</v>
      </c>
      <c r="H31" s="473">
        <f t="shared" si="18"/>
        <v>12127.13666358923</v>
      </c>
      <c r="I31" s="473">
        <f t="shared" si="18"/>
        <v>0</v>
      </c>
      <c r="J31" s="473">
        <f t="shared" si="18"/>
        <v>31.008255372248364</v>
      </c>
      <c r="K31" s="473">
        <f t="shared" si="18"/>
        <v>0</v>
      </c>
      <c r="L31" s="473">
        <f t="shared" ca="1" si="18"/>
        <v>0</v>
      </c>
      <c r="M31" s="473">
        <f t="shared" si="18"/>
        <v>0</v>
      </c>
      <c r="N31" s="473">
        <f t="shared" ca="1" si="18"/>
        <v>0</v>
      </c>
      <c r="O31" s="473">
        <f t="shared" si="18"/>
        <v>0</v>
      </c>
      <c r="P31" s="474">
        <f t="shared" si="18"/>
        <v>0</v>
      </c>
      <c r="Q31" s="474">
        <f t="shared" ca="1" si="18"/>
        <v>212494.45098328864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0.21520498940835944</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0.21520498940835944</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0.21520498940835944</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23088</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16288</v>
      </c>
      <c r="C9" s="338">
        <v>17319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422</v>
      </c>
    </row>
    <row r="15" spans="1:6">
      <c r="A15" s="1212" t="s">
        <v>184</v>
      </c>
      <c r="B15" s="335">
        <v>0</v>
      </c>
    </row>
    <row r="16" spans="1:6">
      <c r="A16" s="1212" t="s">
        <v>6</v>
      </c>
      <c r="B16" s="335">
        <v>0</v>
      </c>
    </row>
    <row r="17" spans="1:6">
      <c r="A17" s="1212" t="s">
        <v>7</v>
      </c>
      <c r="B17" s="335">
        <v>16</v>
      </c>
    </row>
    <row r="18" spans="1:6">
      <c r="A18" s="1212" t="s">
        <v>8</v>
      </c>
      <c r="B18" s="335">
        <v>24</v>
      </c>
    </row>
    <row r="19" spans="1:6">
      <c r="A19" s="1212" t="s">
        <v>9</v>
      </c>
      <c r="B19" s="335">
        <v>5</v>
      </c>
    </row>
    <row r="20" spans="1:6">
      <c r="A20" s="1212" t="s">
        <v>10</v>
      </c>
      <c r="B20" s="335">
        <v>12</v>
      </c>
    </row>
    <row r="21" spans="1:6">
      <c r="A21" s="1212" t="s">
        <v>11</v>
      </c>
      <c r="B21" s="335">
        <v>0</v>
      </c>
    </row>
    <row r="22" spans="1:6">
      <c r="A22" s="1212" t="s">
        <v>12</v>
      </c>
      <c r="B22" s="335">
        <v>4</v>
      </c>
    </row>
    <row r="23" spans="1:6">
      <c r="A23" s="1212" t="s">
        <v>13</v>
      </c>
      <c r="B23" s="335">
        <v>0</v>
      </c>
    </row>
    <row r="24" spans="1:6">
      <c r="A24" s="1212" t="s">
        <v>14</v>
      </c>
      <c r="B24" s="335">
        <v>0</v>
      </c>
    </row>
    <row r="25" spans="1:6">
      <c r="A25" s="1212" t="s">
        <v>15</v>
      </c>
      <c r="B25" s="335">
        <v>1</v>
      </c>
    </row>
    <row r="26" spans="1:6">
      <c r="A26" s="1212" t="s">
        <v>16</v>
      </c>
      <c r="B26" s="335">
        <v>84</v>
      </c>
    </row>
    <row r="27" spans="1:6">
      <c r="A27" s="1212" t="s">
        <v>17</v>
      </c>
      <c r="B27" s="335">
        <v>8</v>
      </c>
    </row>
    <row r="28" spans="1:6" s="341" customFormat="1">
      <c r="A28" s="1213" t="s">
        <v>18</v>
      </c>
      <c r="B28" s="1213">
        <v>45</v>
      </c>
    </row>
    <row r="29" spans="1:6">
      <c r="A29" s="1213" t="s">
        <v>836</v>
      </c>
      <c r="B29" s="1213">
        <v>21</v>
      </c>
      <c r="C29" s="341"/>
      <c r="D29" s="341"/>
      <c r="E29" s="341"/>
      <c r="F29" s="341"/>
    </row>
    <row r="30" spans="1:6">
      <c r="A30" s="1208" t="s">
        <v>837</v>
      </c>
      <c r="B30" s="1208">
        <v>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4</v>
      </c>
      <c r="D36" s="335">
        <v>47109.764045501499</v>
      </c>
      <c r="E36" s="335">
        <v>7</v>
      </c>
      <c r="F36" s="335">
        <v>25399.9021045794</v>
      </c>
    </row>
    <row r="37" spans="1:6">
      <c r="A37" s="1212" t="s">
        <v>25</v>
      </c>
      <c r="B37" s="1212" t="s">
        <v>28</v>
      </c>
      <c r="C37" s="335">
        <v>0</v>
      </c>
      <c r="D37" s="335">
        <v>0</v>
      </c>
      <c r="E37" s="335">
        <v>0</v>
      </c>
      <c r="F37" s="335">
        <v>0</v>
      </c>
    </row>
    <row r="38" spans="1:6">
      <c r="A38" s="1212" t="s">
        <v>25</v>
      </c>
      <c r="B38" s="1212" t="s">
        <v>29</v>
      </c>
      <c r="C38" s="335">
        <v>2</v>
      </c>
      <c r="D38" s="335">
        <v>259248.95369353</v>
      </c>
      <c r="E38" s="335">
        <v>5</v>
      </c>
      <c r="F38" s="335">
        <v>40324.716660960003</v>
      </c>
    </row>
    <row r="39" spans="1:6">
      <c r="A39" s="1212" t="s">
        <v>30</v>
      </c>
      <c r="B39" s="1212" t="s">
        <v>31</v>
      </c>
      <c r="C39" s="335">
        <v>13946</v>
      </c>
      <c r="D39" s="335">
        <v>230846917.30538201</v>
      </c>
      <c r="E39" s="335">
        <v>16542</v>
      </c>
      <c r="F39" s="335">
        <v>55047790.002911702</v>
      </c>
    </row>
    <row r="40" spans="1:6">
      <c r="A40" s="1212" t="s">
        <v>30</v>
      </c>
      <c r="B40" s="1212" t="s">
        <v>29</v>
      </c>
      <c r="C40" s="335">
        <v>0</v>
      </c>
      <c r="D40" s="335">
        <v>0</v>
      </c>
      <c r="E40" s="335">
        <v>0</v>
      </c>
      <c r="F40" s="335">
        <v>0</v>
      </c>
    </row>
    <row r="41" spans="1:6">
      <c r="A41" s="1212" t="s">
        <v>32</v>
      </c>
      <c r="B41" s="1212" t="s">
        <v>33</v>
      </c>
      <c r="C41" s="335">
        <v>92</v>
      </c>
      <c r="D41" s="335">
        <v>4884531.2079915702</v>
      </c>
      <c r="E41" s="335">
        <v>176</v>
      </c>
      <c r="F41" s="335">
        <v>1919230.66115436</v>
      </c>
    </row>
    <row r="42" spans="1:6">
      <c r="A42" s="1212" t="s">
        <v>32</v>
      </c>
      <c r="B42" s="1212" t="s">
        <v>34</v>
      </c>
      <c r="C42" s="335">
        <v>6</v>
      </c>
      <c r="D42" s="335">
        <v>7356354.2198858401</v>
      </c>
      <c r="E42" s="335">
        <v>5</v>
      </c>
      <c r="F42" s="335">
        <v>4524676.77782337</v>
      </c>
    </row>
    <row r="43" spans="1:6">
      <c r="A43" s="1212" t="s">
        <v>32</v>
      </c>
      <c r="B43" s="1212" t="s">
        <v>35</v>
      </c>
      <c r="C43" s="335">
        <v>0</v>
      </c>
      <c r="D43" s="335">
        <v>0</v>
      </c>
      <c r="E43" s="335">
        <v>0</v>
      </c>
      <c r="F43" s="335">
        <v>0</v>
      </c>
    </row>
    <row r="44" spans="1:6">
      <c r="A44" s="1212" t="s">
        <v>32</v>
      </c>
      <c r="B44" s="1212" t="s">
        <v>36</v>
      </c>
      <c r="C44" s="335">
        <v>9</v>
      </c>
      <c r="D44" s="335">
        <v>688218.69303337997</v>
      </c>
      <c r="E44" s="335">
        <v>27</v>
      </c>
      <c r="F44" s="335">
        <v>734349.98397185002</v>
      </c>
    </row>
    <row r="45" spans="1:6">
      <c r="A45" s="1212" t="s">
        <v>32</v>
      </c>
      <c r="B45" s="1212" t="s">
        <v>37</v>
      </c>
      <c r="C45" s="335">
        <v>3</v>
      </c>
      <c r="D45" s="335">
        <v>7841.5420084330999</v>
      </c>
      <c r="E45" s="335">
        <v>4</v>
      </c>
      <c r="F45" s="335">
        <v>12478.1238055658</v>
      </c>
    </row>
    <row r="46" spans="1:6">
      <c r="A46" s="1212" t="s">
        <v>32</v>
      </c>
      <c r="B46" s="1212" t="s">
        <v>38</v>
      </c>
      <c r="C46" s="335">
        <v>0</v>
      </c>
      <c r="D46" s="335">
        <v>0</v>
      </c>
      <c r="E46" s="335">
        <v>0</v>
      </c>
      <c r="F46" s="335">
        <v>0</v>
      </c>
    </row>
    <row r="47" spans="1:6">
      <c r="A47" s="1212" t="s">
        <v>32</v>
      </c>
      <c r="B47" s="1212" t="s">
        <v>39</v>
      </c>
      <c r="C47" s="335">
        <v>5</v>
      </c>
      <c r="D47" s="335">
        <v>83489.060855852003</v>
      </c>
      <c r="E47" s="335">
        <v>7</v>
      </c>
      <c r="F47" s="335">
        <v>61175.669827916601</v>
      </c>
    </row>
    <row r="48" spans="1:6">
      <c r="A48" s="1212" t="s">
        <v>32</v>
      </c>
      <c r="B48" s="1212" t="s">
        <v>29</v>
      </c>
      <c r="C48" s="335">
        <v>33</v>
      </c>
      <c r="D48" s="335">
        <v>6279739.4040233204</v>
      </c>
      <c r="E48" s="335">
        <v>35</v>
      </c>
      <c r="F48" s="335">
        <v>31171031.908431899</v>
      </c>
    </row>
    <row r="49" spans="1:6">
      <c r="A49" s="1212" t="s">
        <v>32</v>
      </c>
      <c r="B49" s="1212" t="s">
        <v>40</v>
      </c>
      <c r="C49" s="335">
        <v>0</v>
      </c>
      <c r="D49" s="335">
        <v>0</v>
      </c>
      <c r="E49" s="335">
        <v>0</v>
      </c>
      <c r="F49" s="335">
        <v>0</v>
      </c>
    </row>
    <row r="50" spans="1:6">
      <c r="A50" s="1212" t="s">
        <v>32</v>
      </c>
      <c r="B50" s="1212" t="s">
        <v>41</v>
      </c>
      <c r="C50" s="335">
        <v>10</v>
      </c>
      <c r="D50" s="335">
        <v>560079.394868467</v>
      </c>
      <c r="E50" s="335">
        <v>20</v>
      </c>
      <c r="F50" s="335">
        <v>2859380.90048945</v>
      </c>
    </row>
    <row r="51" spans="1:6">
      <c r="A51" s="1212" t="s">
        <v>42</v>
      </c>
      <c r="B51" s="1212" t="s">
        <v>43</v>
      </c>
      <c r="C51" s="335">
        <v>0</v>
      </c>
      <c r="D51" s="335">
        <v>0</v>
      </c>
      <c r="E51" s="335">
        <v>3</v>
      </c>
      <c r="F51" s="335">
        <v>5421.4109958778999</v>
      </c>
    </row>
    <row r="52" spans="1:6">
      <c r="A52" s="1212" t="s">
        <v>42</v>
      </c>
      <c r="B52" s="1212" t="s">
        <v>29</v>
      </c>
      <c r="C52" s="335">
        <v>4</v>
      </c>
      <c r="D52" s="335">
        <v>88809.719302362399</v>
      </c>
      <c r="E52" s="335">
        <v>7</v>
      </c>
      <c r="F52" s="335">
        <v>45075.570523903501</v>
      </c>
    </row>
    <row r="53" spans="1:6">
      <c r="A53" s="1212" t="s">
        <v>44</v>
      </c>
      <c r="B53" s="1212" t="s">
        <v>45</v>
      </c>
      <c r="C53" s="335">
        <v>388</v>
      </c>
      <c r="D53" s="335">
        <v>15743910.3523224</v>
      </c>
      <c r="E53" s="335">
        <v>664</v>
      </c>
      <c r="F53" s="335">
        <v>17390022.6164947</v>
      </c>
    </row>
    <row r="54" spans="1:6">
      <c r="A54" s="1212" t="s">
        <v>46</v>
      </c>
      <c r="B54" s="1212" t="s">
        <v>47</v>
      </c>
      <c r="C54" s="335">
        <v>0</v>
      </c>
      <c r="D54" s="335">
        <v>0</v>
      </c>
      <c r="E54" s="335">
        <v>2</v>
      </c>
      <c r="F54" s="335">
        <v>2709015.1427719002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86</v>
      </c>
      <c r="D57" s="335">
        <v>3995374.0725658401</v>
      </c>
      <c r="E57" s="335">
        <v>144</v>
      </c>
      <c r="F57" s="335">
        <v>2726887.2871608799</v>
      </c>
    </row>
    <row r="58" spans="1:6">
      <c r="A58" s="1212" t="s">
        <v>49</v>
      </c>
      <c r="B58" s="1212" t="s">
        <v>51</v>
      </c>
      <c r="C58" s="335">
        <v>55</v>
      </c>
      <c r="D58" s="335">
        <v>3496200.6381363398</v>
      </c>
      <c r="E58" s="335">
        <v>77</v>
      </c>
      <c r="F58" s="335">
        <v>1059793.5223489399</v>
      </c>
    </row>
    <row r="59" spans="1:6">
      <c r="A59" s="1212" t="s">
        <v>49</v>
      </c>
      <c r="B59" s="1212" t="s">
        <v>52</v>
      </c>
      <c r="C59" s="335">
        <v>226</v>
      </c>
      <c r="D59" s="335">
        <v>15166986.131431701</v>
      </c>
      <c r="E59" s="335">
        <v>377</v>
      </c>
      <c r="F59" s="335">
        <v>18201071.206236899</v>
      </c>
    </row>
    <row r="60" spans="1:6">
      <c r="A60" s="1212" t="s">
        <v>49</v>
      </c>
      <c r="B60" s="1212" t="s">
        <v>53</v>
      </c>
      <c r="C60" s="335">
        <v>178</v>
      </c>
      <c r="D60" s="335">
        <v>22351417.203300498</v>
      </c>
      <c r="E60" s="335">
        <v>296</v>
      </c>
      <c r="F60" s="335">
        <v>12890229.699387001</v>
      </c>
    </row>
    <row r="61" spans="1:6">
      <c r="A61" s="1212" t="s">
        <v>49</v>
      </c>
      <c r="B61" s="1212" t="s">
        <v>54</v>
      </c>
      <c r="C61" s="335">
        <v>548</v>
      </c>
      <c r="D61" s="335">
        <v>65354283.839547001</v>
      </c>
      <c r="E61" s="335">
        <v>1030</v>
      </c>
      <c r="F61" s="335">
        <v>32995213.792169102</v>
      </c>
    </row>
    <row r="62" spans="1:6">
      <c r="A62" s="1212" t="s">
        <v>49</v>
      </c>
      <c r="B62" s="1212" t="s">
        <v>55</v>
      </c>
      <c r="C62" s="335">
        <v>3</v>
      </c>
      <c r="D62" s="335">
        <v>124922.451913688</v>
      </c>
      <c r="E62" s="335">
        <v>13</v>
      </c>
      <c r="F62" s="335">
        <v>1288548.6164057001</v>
      </c>
    </row>
    <row r="63" spans="1:6">
      <c r="A63" s="1212" t="s">
        <v>49</v>
      </c>
      <c r="B63" s="1212" t="s">
        <v>29</v>
      </c>
      <c r="C63" s="335">
        <v>130</v>
      </c>
      <c r="D63" s="335">
        <v>27923315.646201499</v>
      </c>
      <c r="E63" s="335">
        <v>114</v>
      </c>
      <c r="F63" s="335">
        <v>15979469.078299399</v>
      </c>
    </row>
    <row r="64" spans="1:6">
      <c r="A64" s="1212" t="s">
        <v>56</v>
      </c>
      <c r="B64" s="1212" t="s">
        <v>57</v>
      </c>
      <c r="C64" s="335">
        <v>0</v>
      </c>
      <c r="D64" s="335">
        <v>0</v>
      </c>
      <c r="E64" s="335">
        <v>0</v>
      </c>
      <c r="F64" s="335">
        <v>0</v>
      </c>
    </row>
    <row r="65" spans="1:6">
      <c r="A65" s="1212" t="s">
        <v>56</v>
      </c>
      <c r="B65" s="1212" t="s">
        <v>29</v>
      </c>
      <c r="C65" s="335">
        <v>6</v>
      </c>
      <c r="D65" s="335">
        <v>1578667.6147994399</v>
      </c>
      <c r="E65" s="335">
        <v>4</v>
      </c>
      <c r="F65" s="335">
        <v>433170.09594099602</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8</v>
      </c>
      <c r="D68" s="335">
        <v>533896.22273380996</v>
      </c>
      <c r="E68" s="335">
        <v>26</v>
      </c>
      <c r="F68" s="335">
        <v>1271427.23757605</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78271932</v>
      </c>
      <c r="E73" s="335">
        <v>127272960.57486093</v>
      </c>
    </row>
    <row r="74" spans="1:6">
      <c r="A74" s="1212" t="s">
        <v>64</v>
      </c>
      <c r="B74" s="1212" t="s">
        <v>727</v>
      </c>
      <c r="C74" s="1212" t="s">
        <v>728</v>
      </c>
      <c r="D74" s="335">
        <v>3574906.7091813437</v>
      </c>
      <c r="E74" s="335">
        <v>7437740.9300876353</v>
      </c>
    </row>
    <row r="75" spans="1:6">
      <c r="A75" s="1212" t="s">
        <v>65</v>
      </c>
      <c r="B75" s="1212" t="s">
        <v>725</v>
      </c>
      <c r="C75" s="1212" t="s">
        <v>729</v>
      </c>
      <c r="D75" s="335">
        <v>23560519</v>
      </c>
      <c r="E75" s="335">
        <v>39353212.150128797</v>
      </c>
    </row>
    <row r="76" spans="1:6">
      <c r="A76" s="1212" t="s">
        <v>65</v>
      </c>
      <c r="B76" s="1212" t="s">
        <v>727</v>
      </c>
      <c r="C76" s="1212" t="s">
        <v>730</v>
      </c>
      <c r="D76" s="335">
        <v>138087.70918134367</v>
      </c>
      <c r="E76" s="335">
        <v>811081.31767586875</v>
      </c>
    </row>
    <row r="77" spans="1:6">
      <c r="A77" s="1212" t="s">
        <v>66</v>
      </c>
      <c r="B77" s="1212" t="s">
        <v>725</v>
      </c>
      <c r="C77" s="1212" t="s">
        <v>731</v>
      </c>
      <c r="D77" s="335">
        <v>272118339</v>
      </c>
      <c r="E77" s="335">
        <v>304236480.48537856</v>
      </c>
    </row>
    <row r="78" spans="1:6">
      <c r="A78" s="1208" t="s">
        <v>66</v>
      </c>
      <c r="B78" s="1208" t="s">
        <v>727</v>
      </c>
      <c r="C78" s="1208" t="s">
        <v>732</v>
      </c>
      <c r="D78" s="1208">
        <v>33288884</v>
      </c>
      <c r="E78" s="1208">
        <v>33948381.992795698</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1283522.5816373127</v>
      </c>
      <c r="C83" s="335">
        <v>1272279.7999350559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1793.2719991430017</v>
      </c>
    </row>
    <row r="92" spans="1:6">
      <c r="A92" s="1208" t="s">
        <v>69</v>
      </c>
      <c r="B92" s="338">
        <v>3223.5898369677016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10093</v>
      </c>
    </row>
    <row r="98" spans="1:6">
      <c r="A98" s="1212" t="s">
        <v>72</v>
      </c>
      <c r="B98" s="335">
        <v>9</v>
      </c>
    </row>
    <row r="99" spans="1:6">
      <c r="A99" s="1212" t="s">
        <v>73</v>
      </c>
      <c r="B99" s="335">
        <v>41</v>
      </c>
    </row>
    <row r="100" spans="1:6">
      <c r="A100" s="1212" t="s">
        <v>74</v>
      </c>
      <c r="B100" s="335">
        <v>801</v>
      </c>
    </row>
    <row r="101" spans="1:6">
      <c r="A101" s="1212" t="s">
        <v>75</v>
      </c>
      <c r="B101" s="335">
        <v>55</v>
      </c>
    </row>
    <row r="102" spans="1:6">
      <c r="A102" s="1212" t="s">
        <v>76</v>
      </c>
      <c r="B102" s="335">
        <v>331</v>
      </c>
    </row>
    <row r="103" spans="1:6">
      <c r="A103" s="1212" t="s">
        <v>77</v>
      </c>
      <c r="B103" s="335">
        <v>206</v>
      </c>
    </row>
    <row r="104" spans="1:6">
      <c r="A104" s="1212" t="s">
        <v>78</v>
      </c>
      <c r="B104" s="335">
        <v>2710</v>
      </c>
    </row>
    <row r="105" spans="1:6">
      <c r="A105" s="1208" t="s">
        <v>79</v>
      </c>
      <c r="B105" s="1208">
        <v>10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11</v>
      </c>
      <c r="C123" s="335">
        <v>11</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48</v>
      </c>
    </row>
    <row r="130" spans="1:6">
      <c r="A130" s="1212" t="s">
        <v>295</v>
      </c>
      <c r="B130" s="335">
        <v>0</v>
      </c>
    </row>
    <row r="131" spans="1:6">
      <c r="A131" s="1212" t="s">
        <v>296</v>
      </c>
      <c r="B131" s="335">
        <v>4</v>
      </c>
    </row>
    <row r="132" spans="1:6">
      <c r="A132" s="1208" t="s">
        <v>297</v>
      </c>
      <c r="B132" s="338">
        <v>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187394.53054260011</v>
      </c>
      <c r="C3" s="43" t="s">
        <v>170</v>
      </c>
      <c r="D3" s="43"/>
      <c r="E3" s="156"/>
      <c r="F3" s="43"/>
      <c r="G3" s="43"/>
      <c r="H3" s="43"/>
      <c r="I3" s="43"/>
      <c r="J3" s="43"/>
      <c r="K3" s="96"/>
    </row>
    <row r="4" spans="1:11">
      <c r="A4" s="366" t="s">
        <v>171</v>
      </c>
      <c r="B4" s="49">
        <f>IF(ISERROR('SEAP template'!B69),0,'SEAP template'!B69)</f>
        <v>6384.8618361107037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325.1011764705882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0.21520498940835944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464.43025210084039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1954.2857142857144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2709.0151427719002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2709.0151427719002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0.21520498940835944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582.99357510731215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55047.790002911701</v>
      </c>
      <c r="C5" s="17">
        <f>IF(ISERROR('Eigen informatie GS &amp; warmtenet'!B57),0,'Eigen informatie GS &amp; warmtenet'!B57)</f>
        <v>0</v>
      </c>
      <c r="D5" s="30">
        <f>(SUM(HH_hh_gas_kWh,HH_rest_gas_kWh)/1000)*0.902</f>
        <v>208223.9194094546</v>
      </c>
      <c r="E5" s="17">
        <f>B46*B57</f>
        <v>2219.2037744083186</v>
      </c>
      <c r="F5" s="17">
        <f>B51*B62</f>
        <v>0</v>
      </c>
      <c r="G5" s="18"/>
      <c r="H5" s="17"/>
      <c r="I5" s="17"/>
      <c r="J5" s="17">
        <f>B50*B61+C50*C61</f>
        <v>0</v>
      </c>
      <c r="K5" s="17"/>
      <c r="L5" s="17"/>
      <c r="M5" s="17"/>
      <c r="N5" s="17">
        <f>B48*B59+C48*C59</f>
        <v>11160.484334063327</v>
      </c>
      <c r="O5" s="17">
        <f>B69*B70*B71</f>
        <v>92.236666666666679</v>
      </c>
      <c r="P5" s="17">
        <f>B77*B78*B79/1000-B77*B78*B79/1000/B80</f>
        <v>228.8</v>
      </c>
    </row>
    <row r="6" spans="1:16">
      <c r="A6" s="16" t="s">
        <v>634</v>
      </c>
      <c r="B6" s="831">
        <f>kWh_PV_kleiner_dan_10kW</f>
        <v>1793.2719991430017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56841.062002054699</v>
      </c>
      <c r="C8" s="21">
        <f>C5</f>
        <v>0</v>
      </c>
      <c r="D8" s="21">
        <f>D5</f>
        <v>208223.9194094546</v>
      </c>
      <c r="E8" s="21">
        <f>E5</f>
        <v>2219.2037744083186</v>
      </c>
      <c r="F8" s="21">
        <f>F5</f>
        <v>0</v>
      </c>
      <c r="G8" s="21"/>
      <c r="H8" s="21"/>
      <c r="I8" s="21"/>
      <c r="J8" s="21">
        <f>J5</f>
        <v>0</v>
      </c>
      <c r="K8" s="21"/>
      <c r="L8" s="21">
        <f>L5</f>
        <v>0</v>
      </c>
      <c r="M8" s="21">
        <f>M5</f>
        <v>0</v>
      </c>
      <c r="N8" s="21">
        <f>N5</f>
        <v>11160.484334063327</v>
      </c>
      <c r="O8" s="21">
        <f>O5</f>
        <v>92.236666666666679</v>
      </c>
      <c r="P8" s="21">
        <f>P5</f>
        <v>228.8</v>
      </c>
    </row>
    <row r="9" spans="1:16">
      <c r="B9" s="19"/>
      <c r="C9" s="19"/>
      <c r="D9" s="261"/>
      <c r="E9" s="19"/>
      <c r="F9" s="19"/>
      <c r="G9" s="19"/>
      <c r="H9" s="19"/>
      <c r="I9" s="19"/>
      <c r="J9" s="19"/>
      <c r="K9" s="19"/>
      <c r="L9" s="19"/>
      <c r="M9" s="19"/>
      <c r="N9" s="19"/>
      <c r="O9" s="19"/>
      <c r="P9" s="19"/>
    </row>
    <row r="10" spans="1:16">
      <c r="A10" s="24" t="s">
        <v>214</v>
      </c>
      <c r="B10" s="25">
        <f ca="1">'EF ele_warmte'!B12</f>
        <v>0.21520498940835944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12232.480146112084</v>
      </c>
      <c r="C12" s="23">
        <f ca="1">C10*C8</f>
        <v>0</v>
      </c>
      <c r="D12" s="23">
        <f>D8*D10</f>
        <v>42061.231720709831</v>
      </c>
      <c r="E12" s="23">
        <f>E10*E8</f>
        <v>503.75925679068837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10093</v>
      </c>
      <c r="C18" s="168" t="s">
        <v>111</v>
      </c>
      <c r="D18" s="230"/>
      <c r="E18" s="15"/>
    </row>
    <row r="19" spans="1:7">
      <c r="A19" s="173" t="s">
        <v>72</v>
      </c>
      <c r="B19" s="37">
        <f>aantalw2001_ander</f>
        <v>9</v>
      </c>
      <c r="C19" s="168" t="s">
        <v>111</v>
      </c>
      <c r="D19" s="231"/>
      <c r="E19" s="15"/>
    </row>
    <row r="20" spans="1:7">
      <c r="A20" s="173" t="s">
        <v>73</v>
      </c>
      <c r="B20" s="37">
        <f>aantalw2001_propaan</f>
        <v>41</v>
      </c>
      <c r="C20" s="169">
        <f>IF(ISERROR(B20/SUM($B$20,$B$21,$B$22)*100),0,B20/SUM($B$20,$B$21,$B$22)*100)</f>
        <v>4.5707915273132667</v>
      </c>
      <c r="D20" s="231"/>
      <c r="E20" s="15"/>
    </row>
    <row r="21" spans="1:7">
      <c r="A21" s="173" t="s">
        <v>74</v>
      </c>
      <c r="B21" s="37">
        <f>aantalw2001_elektriciteit</f>
        <v>801</v>
      </c>
      <c r="C21" s="169">
        <f>IF(ISERROR(B21/SUM($B$20,$B$21,$B$22)*100),0,B21/SUM($B$20,$B$21,$B$22)*100)</f>
        <v>89.297658862876247</v>
      </c>
      <c r="D21" s="231"/>
      <c r="E21" s="15"/>
    </row>
    <row r="22" spans="1:7">
      <c r="A22" s="173" t="s">
        <v>75</v>
      </c>
      <c r="B22" s="37">
        <f>aantalw2001_hout</f>
        <v>55</v>
      </c>
      <c r="C22" s="169">
        <f>IF(ISERROR(B22/SUM($B$20,$B$21,$B$22)*100),0,B22/SUM($B$20,$B$21,$B$22)*100)</f>
        <v>6.1315496098104791</v>
      </c>
      <c r="D22" s="231"/>
      <c r="E22" s="15"/>
    </row>
    <row r="23" spans="1:7">
      <c r="A23" s="173" t="s">
        <v>76</v>
      </c>
      <c r="B23" s="37">
        <f>aantalw2001_niet_gespec</f>
        <v>331</v>
      </c>
      <c r="C23" s="168" t="s">
        <v>111</v>
      </c>
      <c r="D23" s="230"/>
      <c r="E23" s="15"/>
    </row>
    <row r="24" spans="1:7">
      <c r="A24" s="173" t="s">
        <v>77</v>
      </c>
      <c r="B24" s="37">
        <f>aantalw2001_steenkool</f>
        <v>206</v>
      </c>
      <c r="C24" s="168" t="s">
        <v>111</v>
      </c>
      <c r="D24" s="231"/>
      <c r="E24" s="15"/>
    </row>
    <row r="25" spans="1:7">
      <c r="A25" s="173" t="s">
        <v>78</v>
      </c>
      <c r="B25" s="37">
        <f>aantalw2001_stookolie</f>
        <v>2710</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16288</v>
      </c>
      <c r="C28" s="36"/>
      <c r="D28" s="230"/>
    </row>
    <row r="29" spans="1:7" s="15" customFormat="1">
      <c r="A29" s="232" t="s">
        <v>746</v>
      </c>
      <c r="B29" s="37">
        <f>SUM(HH_hh_gas_aantal,HH_rest_gas_aantal)</f>
        <v>13946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13946</v>
      </c>
      <c r="C32" s="169">
        <f>IF(ISERROR(B32/SUM($B$32,$B$34,$B$35,$B$36,$B$38,$B$39)*100),0,B32/SUM($B$32,$B$34,$B$35,$B$36,$B$38,$B$39)*100)</f>
        <v>85.684443352174981</v>
      </c>
      <c r="D32" s="235"/>
      <c r="G32" s="15"/>
    </row>
    <row r="33" spans="1:7">
      <c r="A33" s="173" t="s">
        <v>72</v>
      </c>
      <c r="B33" s="34" t="s">
        <v>111</v>
      </c>
      <c r="C33" s="169"/>
      <c r="D33" s="235"/>
      <c r="G33" s="15"/>
    </row>
    <row r="34" spans="1:7">
      <c r="A34" s="173" t="s">
        <v>73</v>
      </c>
      <c r="B34" s="33">
        <f>IF((($B$28-$B$32-$B$39-$B$77-$B$38)*C20/100)&lt;0,0,($B$28-$B$32-$B$39-$B$77-$B$38)*C20/100)</f>
        <v>106.49944258639911</v>
      </c>
      <c r="C34" s="169">
        <f>IF(ISERROR(B34/SUM($B$32,$B$34,$B$35,$B$36,$B$38,$B$39)*100),0,B34/SUM($B$32,$B$34,$B$35,$B$36,$B$38,$B$39)*100)</f>
        <v>0.65433425034651704</v>
      </c>
      <c r="D34" s="235"/>
      <c r="G34" s="15"/>
    </row>
    <row r="35" spans="1:7">
      <c r="A35" s="173" t="s">
        <v>74</v>
      </c>
      <c r="B35" s="33">
        <f>IF((($B$28-$B$32-$B$39-$B$77-$B$38)*C21/100)&lt;0,0,($B$28-$B$32-$B$39-$B$77-$B$38)*C21/100)</f>
        <v>2080.6354515050166</v>
      </c>
      <c r="C35" s="169">
        <f>IF(ISERROR(B35/SUM($B$32,$B$34,$B$35,$B$36,$B$38,$B$39)*100),0,B35/SUM($B$32,$B$34,$B$35,$B$36,$B$38,$B$39)*100)</f>
        <v>12.783456939696588</v>
      </c>
      <c r="D35" s="235"/>
      <c r="G35" s="15"/>
    </row>
    <row r="36" spans="1:7">
      <c r="A36" s="173" t="s">
        <v>75</v>
      </c>
      <c r="B36" s="33">
        <f>IF((($B$28-$B$32-$B$39-$B$77-$B$38)*C22/100)&lt;0,0,($B$28-$B$32-$B$39-$B$77-$B$38)*C22/100)</f>
        <v>142.86510590858416</v>
      </c>
      <c r="C36" s="169">
        <f>IF(ISERROR(B36/SUM($B$32,$B$34,$B$35,$B$36,$B$38,$B$39)*100),0,B36/SUM($B$32,$B$34,$B$35,$B$36,$B$38,$B$39)*100)</f>
        <v>0.87776545778191306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13946</v>
      </c>
      <c r="C44" s="34" t="s">
        <v>111</v>
      </c>
      <c r="D44" s="176"/>
    </row>
    <row r="45" spans="1:7">
      <c r="A45" s="173" t="s">
        <v>72</v>
      </c>
      <c r="B45" s="33" t="str">
        <f t="shared" si="0"/>
        <v>-</v>
      </c>
      <c r="C45" s="34" t="s">
        <v>111</v>
      </c>
      <c r="D45" s="176"/>
    </row>
    <row r="46" spans="1:7">
      <c r="A46" s="173" t="s">
        <v>73</v>
      </c>
      <c r="B46" s="33">
        <f t="shared" si="0"/>
        <v>106.49944258639911</v>
      </c>
      <c r="C46" s="34" t="s">
        <v>111</v>
      </c>
      <c r="D46" s="176"/>
    </row>
    <row r="47" spans="1:7">
      <c r="A47" s="173" t="s">
        <v>74</v>
      </c>
      <c r="B47" s="33">
        <f t="shared" si="0"/>
        <v>2080.6354515050166</v>
      </c>
      <c r="C47" s="34" t="s">
        <v>111</v>
      </c>
      <c r="D47" s="176"/>
    </row>
    <row r="48" spans="1:7">
      <c r="A48" s="173" t="s">
        <v>75</v>
      </c>
      <c r="B48" s="33">
        <f t="shared" si="0"/>
        <v>142.86510590858416</v>
      </c>
      <c r="C48" s="33">
        <f>B48*10</f>
        <v>1428.6510590858416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85141.213202007915</v>
      </c>
      <c r="C5" s="17">
        <f>IF(ISERROR('Eigen informatie GS &amp; warmtenet'!B58),0,'Eigen informatie GS &amp; warmtenet'!B58)</f>
        <v>0</v>
      </c>
      <c r="D5" s="30">
        <f>SUM(D6:D12)</f>
        <v>124848.0749847531</v>
      </c>
      <c r="E5" s="17">
        <f>SUM(E6:E12)</f>
        <v>1325.3336506074133</v>
      </c>
      <c r="F5" s="17">
        <f>SUM(F6:F12)</f>
        <v>16501.887397034472</v>
      </c>
      <c r="G5" s="18"/>
      <c r="H5" s="17"/>
      <c r="I5" s="17"/>
      <c r="J5" s="17">
        <f>SUM(J6:J12)</f>
        <v>0</v>
      </c>
      <c r="K5" s="17"/>
      <c r="L5" s="17"/>
      <c r="M5" s="17"/>
      <c r="N5" s="17">
        <f>SUM(N6:N12)</f>
        <v>3253.7332860755769</v>
      </c>
      <c r="O5" s="17">
        <f>B38*B39*B40</f>
        <v>0</v>
      </c>
      <c r="P5" s="17">
        <f>B46*B47*B48/1000-B46*B47*B48/1000/B49</f>
        <v>76.266666666666666</v>
      </c>
      <c r="R5" s="32"/>
    </row>
    <row r="6" spans="1:18">
      <c r="A6" s="32" t="s">
        <v>54</v>
      </c>
      <c r="B6" s="37">
        <f>B26</f>
        <v>32995.213792169103</v>
      </c>
      <c r="C6" s="33"/>
      <c r="D6" s="37">
        <f>IF(ISERROR(TER_kantoor_gas_kWh/1000),0,TER_kantoor_gas_kWh/1000)*0.902</f>
        <v>58949.564023271399</v>
      </c>
      <c r="E6" s="33">
        <f>$C$26*'E Balans VL '!I12/100/3.6*1000000</f>
        <v>128.19339107634545</v>
      </c>
      <c r="F6" s="33">
        <f>$C$26*('E Balans VL '!L12+'E Balans VL '!N12)/100/3.6*1000000</f>
        <v>5018.2717852800233</v>
      </c>
      <c r="G6" s="34"/>
      <c r="H6" s="33"/>
      <c r="I6" s="33"/>
      <c r="J6" s="33">
        <f>$C$26*('E Balans VL '!D12+'E Balans VL '!E12)/100/3.6*1000000</f>
        <v>0</v>
      </c>
      <c r="K6" s="33"/>
      <c r="L6" s="33"/>
      <c r="M6" s="33"/>
      <c r="N6" s="33">
        <f>$C$26*'E Balans VL '!Y12/100/3.6*1000000</f>
        <v>18.184315528753839</v>
      </c>
      <c r="O6" s="33"/>
      <c r="P6" s="33"/>
      <c r="R6" s="32"/>
    </row>
    <row r="7" spans="1:18">
      <c r="A7" s="32" t="s">
        <v>53</v>
      </c>
      <c r="B7" s="37">
        <f t="shared" ref="B7:B12" si="0">B27</f>
        <v>12890.229699387</v>
      </c>
      <c r="C7" s="33"/>
      <c r="D7" s="37">
        <f>IF(ISERROR(TER_horeca_gas_kWh/1000),0,TER_horeca_gas_kWh/1000)*0.902</f>
        <v>20160.978317377048</v>
      </c>
      <c r="E7" s="33">
        <f>$C$27*'E Balans VL '!I9/100/3.6*1000000</f>
        <v>726.11008524290366</v>
      </c>
      <c r="F7" s="33">
        <f>$C$27*('E Balans VL '!L9+'E Balans VL '!N9)/100/3.6*1000000</f>
        <v>3716.7705230050451</v>
      </c>
      <c r="G7" s="34"/>
      <c r="H7" s="33"/>
      <c r="I7" s="33"/>
      <c r="J7" s="33">
        <f>$C$27*('E Balans VL '!D9+'E Balans VL '!E9)/100/3.6*1000000</f>
        <v>0</v>
      </c>
      <c r="K7" s="33"/>
      <c r="L7" s="33"/>
      <c r="M7" s="33"/>
      <c r="N7" s="33">
        <f>$C$27*'E Balans VL '!Y9/100/3.6*1000000</f>
        <v>3.5589254360649192</v>
      </c>
      <c r="O7" s="33"/>
      <c r="P7" s="33"/>
      <c r="R7" s="32"/>
    </row>
    <row r="8" spans="1:18">
      <c r="A8" s="6" t="s">
        <v>52</v>
      </c>
      <c r="B8" s="37">
        <f t="shared" si="0"/>
        <v>18201.071206236898</v>
      </c>
      <c r="C8" s="33"/>
      <c r="D8" s="37">
        <f>IF(ISERROR(TER_handel_gas_kWh/1000),0,TER_handel_gas_kWh/1000)*0.902</f>
        <v>13680.621490551393</v>
      </c>
      <c r="E8" s="33">
        <f>$C$28*'E Balans VL '!I13/100/3.6*1000000</f>
        <v>262.33918617384433</v>
      </c>
      <c r="F8" s="33">
        <f>$C$28*('E Balans VL '!L13+'E Balans VL '!N13)/100/3.6*1000000</f>
        <v>3161.9499428691888</v>
      </c>
      <c r="G8" s="34"/>
      <c r="H8" s="33"/>
      <c r="I8" s="33"/>
      <c r="J8" s="33">
        <f>$C$28*('E Balans VL '!D13+'E Balans VL '!E13)/100/3.6*1000000</f>
        <v>0</v>
      </c>
      <c r="K8" s="33"/>
      <c r="L8" s="33"/>
      <c r="M8" s="33"/>
      <c r="N8" s="33">
        <f>$C$28*'E Balans VL '!Y13/100/3.6*1000000</f>
        <v>54.532435518872148</v>
      </c>
      <c r="O8" s="33"/>
      <c r="P8" s="33"/>
      <c r="R8" s="32"/>
    </row>
    <row r="9" spans="1:18">
      <c r="A9" s="32" t="s">
        <v>51</v>
      </c>
      <c r="B9" s="37">
        <f t="shared" si="0"/>
        <v>1059.7935223489399</v>
      </c>
      <c r="C9" s="33"/>
      <c r="D9" s="37">
        <f>IF(ISERROR(TER_gezond_gas_kWh/1000),0,TER_gezond_gas_kWh/1000)*0.902</f>
        <v>3153.5729755989787</v>
      </c>
      <c r="E9" s="33">
        <f>$C$29*'E Balans VL '!I10/100/3.6*1000000</f>
        <v>1.1321341702620491</v>
      </c>
      <c r="F9" s="33">
        <f>$C$29*('E Balans VL '!L10+'E Balans VL '!N10)/100/3.6*1000000</f>
        <v>172.88453182888173</v>
      </c>
      <c r="G9" s="34"/>
      <c r="H9" s="33"/>
      <c r="I9" s="33"/>
      <c r="J9" s="33">
        <f>$C$29*('E Balans VL '!D10+'E Balans VL '!E10)/100/3.6*1000000</f>
        <v>0</v>
      </c>
      <c r="K9" s="33"/>
      <c r="L9" s="33"/>
      <c r="M9" s="33"/>
      <c r="N9" s="33">
        <f>$C$29*'E Balans VL '!Y10/100/3.6*1000000</f>
        <v>10.909969606462555</v>
      </c>
      <c r="O9" s="33"/>
      <c r="P9" s="33"/>
      <c r="R9" s="32"/>
    </row>
    <row r="10" spans="1:18">
      <c r="A10" s="32" t="s">
        <v>50</v>
      </c>
      <c r="B10" s="37">
        <f t="shared" si="0"/>
        <v>2726.8872871608801</v>
      </c>
      <c r="C10" s="33"/>
      <c r="D10" s="37">
        <f>IF(ISERROR(TER_ander_gas_kWh/1000),0,TER_ander_gas_kWh/1000)*0.902</f>
        <v>3603.8274134543876</v>
      </c>
      <c r="E10" s="33">
        <f>$C$30*'E Balans VL '!I14/100/3.6*1000000</f>
        <v>12.540539843305115</v>
      </c>
      <c r="F10" s="33">
        <f>$C$30*('E Balans VL '!L14+'E Balans VL '!N14)/100/3.6*1000000</f>
        <v>817.33413371792278</v>
      </c>
      <c r="G10" s="34"/>
      <c r="H10" s="33"/>
      <c r="I10" s="33"/>
      <c r="J10" s="33">
        <f>$C$30*('E Balans VL '!D14+'E Balans VL '!E14)/100/3.6*1000000</f>
        <v>0</v>
      </c>
      <c r="K10" s="33"/>
      <c r="L10" s="33"/>
      <c r="M10" s="33"/>
      <c r="N10" s="33">
        <f>$C$30*'E Balans VL '!Y14/100/3.6*1000000</f>
        <v>1898.093555789917</v>
      </c>
      <c r="O10" s="33"/>
      <c r="P10" s="33"/>
      <c r="R10" s="32"/>
    </row>
    <row r="11" spans="1:18">
      <c r="A11" s="32" t="s">
        <v>55</v>
      </c>
      <c r="B11" s="37">
        <f t="shared" si="0"/>
        <v>1288.5486164057002</v>
      </c>
      <c r="C11" s="33"/>
      <c r="D11" s="37">
        <f>IF(ISERROR(TER_onderwijs_gas_kWh/1000),0,TER_onderwijs_gas_kWh/1000)*0.902</f>
        <v>112.68005162614658</v>
      </c>
      <c r="E11" s="33">
        <f>$C$31*'E Balans VL '!I11/100/3.6*1000000</f>
        <v>1.1952982971705119</v>
      </c>
      <c r="F11" s="33">
        <f>$C$31*('E Balans VL '!L11+'E Balans VL '!N11)/100/3.6*1000000</f>
        <v>452.63751378259218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15979.4690782994</v>
      </c>
      <c r="C12" s="33"/>
      <c r="D12" s="37">
        <f>IF(ISERROR(TER_rest_gas_kWh/1000),0,TER_rest_gas_kWh/1000)*0.902</f>
        <v>25186.830712873754</v>
      </c>
      <c r="E12" s="33">
        <f>$C$32*'E Balans VL '!I8/100/3.6*1000000</f>
        <v>193.82301580358228</v>
      </c>
      <c r="F12" s="33">
        <f>$C$32*('E Balans VL '!L8+'E Balans VL '!N8)/100/3.6*1000000</f>
        <v>3162.0389665508164</v>
      </c>
      <c r="G12" s="34"/>
      <c r="H12" s="33"/>
      <c r="I12" s="33"/>
      <c r="J12" s="33">
        <f>$C$32*('E Balans VL '!D8+'E Balans VL '!E8)/100/3.6*1000000</f>
        <v>0</v>
      </c>
      <c r="K12" s="33"/>
      <c r="L12" s="33"/>
      <c r="M12" s="33"/>
      <c r="N12" s="33">
        <f>$C$32*'E Balans VL '!Y8/100/3.6*1000000</f>
        <v>1268.4540841955065</v>
      </c>
      <c r="O12" s="33"/>
      <c r="P12" s="33"/>
      <c r="R12" s="32"/>
    </row>
    <row r="13" spans="1:18">
      <c r="A13" s="16" t="s">
        <v>497</v>
      </c>
      <c r="B13" s="249">
        <f ca="1">'lokale energieproductie'!N90+'lokale energieproductie'!N59</f>
        <v>1350</v>
      </c>
      <c r="C13" s="249">
        <f ca="1">'lokale energieproductie'!O90+'lokale energieproductie'!O59</f>
        <v>1928.5714285714287</v>
      </c>
      <c r="D13" s="312">
        <f ca="1">('lokale energieproductie'!P59+'lokale energieproductie'!P90)*(-1)</f>
        <v>-3857.1428571428573</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86491.213202007915</v>
      </c>
      <c r="C16" s="21">
        <f t="shared" ca="1" si="1"/>
        <v>1928.5714285714287</v>
      </c>
      <c r="D16" s="21">
        <f t="shared" ca="1" si="1"/>
        <v>120990.93212761024</v>
      </c>
      <c r="E16" s="21">
        <f t="shared" si="1"/>
        <v>1325.3336506074133</v>
      </c>
      <c r="F16" s="21">
        <f t="shared" ca="1" si="1"/>
        <v>16501.887397034472</v>
      </c>
      <c r="G16" s="21">
        <f t="shared" si="1"/>
        <v>0</v>
      </c>
      <c r="H16" s="21">
        <f t="shared" si="1"/>
        <v>0</v>
      </c>
      <c r="I16" s="21">
        <f t="shared" si="1"/>
        <v>0</v>
      </c>
      <c r="J16" s="21">
        <f t="shared" si="1"/>
        <v>0</v>
      </c>
      <c r="K16" s="21">
        <f t="shared" si="1"/>
        <v>0</v>
      </c>
      <c r="L16" s="21">
        <f t="shared" ca="1" si="1"/>
        <v>0</v>
      </c>
      <c r="M16" s="21">
        <f t="shared" si="1"/>
        <v>0</v>
      </c>
      <c r="N16" s="21">
        <f t="shared" ca="1" si="1"/>
        <v>3253.7332860755769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0.21520498940835944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18613.340621054271</v>
      </c>
      <c r="C20" s="23">
        <f t="shared" ref="C20:P20" ca="1" si="2">C16*C18</f>
        <v>458.31932773109253</v>
      </c>
      <c r="D20" s="23">
        <f t="shared" ca="1" si="2"/>
        <v>24440.16828977727</v>
      </c>
      <c r="E20" s="23">
        <f t="shared" si="2"/>
        <v>300.85073868788282</v>
      </c>
      <c r="F20" s="23">
        <f t="shared" ca="1" si="2"/>
        <v>4406.0039350082043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32995.213792169103</v>
      </c>
      <c r="C26" s="39">
        <f>IF(ISERROR(B26*3.6/1000000/'E Balans VL '!Z12*100),0,B26*3.6/1000000/'E Balans VL '!Z12*100)</f>
        <v>0.70083468464993182</v>
      </c>
      <c r="D26" s="239" t="s">
        <v>692</v>
      </c>
      <c r="F26" s="6"/>
    </row>
    <row r="27" spans="1:18">
      <c r="A27" s="233" t="s">
        <v>53</v>
      </c>
      <c r="B27" s="33">
        <f>IF(ISERROR(TER_horeca_ele_kWh/1000),0,TER_horeca_ele_kWh/1000)</f>
        <v>12890.229699387</v>
      </c>
      <c r="C27" s="39">
        <f>IF(ISERROR(B27*3.6/1000000/'E Balans VL '!Z9*100),0,B27*3.6/1000000/'E Balans VL '!Z9*100)</f>
        <v>1.0022938616354591</v>
      </c>
      <c r="D27" s="239" t="s">
        <v>692</v>
      </c>
      <c r="F27" s="6"/>
    </row>
    <row r="28" spans="1:18">
      <c r="A28" s="173" t="s">
        <v>52</v>
      </c>
      <c r="B28" s="33">
        <f>IF(ISERROR(TER_handel_ele_kWh/1000),0,TER_handel_ele_kWh/1000)</f>
        <v>18201.071206236898</v>
      </c>
      <c r="C28" s="39">
        <f>IF(ISERROR(B28*3.6/1000000/'E Balans VL '!Z13*100),0,B28*3.6/1000000/'E Balans VL '!Z13*100)</f>
        <v>0.52075406772844424</v>
      </c>
      <c r="D28" s="239" t="s">
        <v>692</v>
      </c>
      <c r="F28" s="6"/>
    </row>
    <row r="29" spans="1:18">
      <c r="A29" s="233" t="s">
        <v>51</v>
      </c>
      <c r="B29" s="33">
        <f>IF(ISERROR(TER_gezond_ele_kWh/1000),0,TER_gezond_ele_kWh/1000)</f>
        <v>1059.7935223489399</v>
      </c>
      <c r="C29" s="39">
        <f>IF(ISERROR(B29*3.6/1000000/'E Balans VL '!Z10*100),0,B29*3.6/1000000/'E Balans VL '!Z10*100)</f>
        <v>0.11554212058397498</v>
      </c>
      <c r="D29" s="239" t="s">
        <v>692</v>
      </c>
      <c r="F29" s="6"/>
    </row>
    <row r="30" spans="1:18">
      <c r="A30" s="233" t="s">
        <v>50</v>
      </c>
      <c r="B30" s="33">
        <f>IF(ISERROR(TER_ander_ele_kWh/1000),0,TER_ander_ele_kWh/1000)</f>
        <v>2726.8872871608801</v>
      </c>
      <c r="C30" s="39">
        <f>IF(ISERROR(B30*3.6/1000000/'E Balans VL '!Z14*100),0,B30*3.6/1000000/'E Balans VL '!Z14*100)</f>
        <v>0.19954742587725938</v>
      </c>
      <c r="D30" s="239" t="s">
        <v>692</v>
      </c>
      <c r="F30" s="6"/>
    </row>
    <row r="31" spans="1:18">
      <c r="A31" s="233" t="s">
        <v>55</v>
      </c>
      <c r="B31" s="33">
        <f>IF(ISERROR(TER_onderwijs_ele_kWh/1000),0,TER_onderwijs_ele_kWh/1000)</f>
        <v>1288.5486164057002</v>
      </c>
      <c r="C31" s="39">
        <f>IF(ISERROR(B31*3.6/1000000/'E Balans VL '!Z11*100),0,B31*3.6/1000000/'E Balans VL '!Z11*100)</f>
        <v>0.25880594645490235</v>
      </c>
      <c r="D31" s="239" t="s">
        <v>692</v>
      </c>
    </row>
    <row r="32" spans="1:18">
      <c r="A32" s="233" t="s">
        <v>260</v>
      </c>
      <c r="B32" s="33">
        <f>IF(ISERROR(TER_rest_ele_kWh/1000),0,TER_rest_ele_kWh/1000)</f>
        <v>15979.4690782994</v>
      </c>
      <c r="C32" s="39">
        <f>IF(ISERROR(B32*3.6/1000000/'E Balans VL '!Z8*100),0,B32*3.6/1000000/'E Balans VL '!Z8*100)</f>
        <v>0.13022297554107595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41282.324025504407</v>
      </c>
      <c r="C5" s="17">
        <f>IF(ISERROR('Eigen informatie GS &amp; warmtenet'!B59),0,'Eigen informatie GS &amp; warmtenet'!B59)</f>
        <v>0</v>
      </c>
      <c r="D5" s="30">
        <f>SUM(D6:D15)</f>
        <v>17913.948677445514</v>
      </c>
      <c r="E5" s="17">
        <f>SUM(E6:E15)</f>
        <v>2534.9015276064347</v>
      </c>
      <c r="F5" s="17">
        <f>SUM(F6:F15)</f>
        <v>13152.81302591122</v>
      </c>
      <c r="G5" s="18"/>
      <c r="H5" s="17"/>
      <c r="I5" s="17"/>
      <c r="J5" s="17">
        <f>SUM(J6:J15)</f>
        <v>79.999769738366567</v>
      </c>
      <c r="K5" s="17"/>
      <c r="L5" s="17"/>
      <c r="M5" s="17"/>
      <c r="N5" s="17">
        <f>SUM(N6:N15)</f>
        <v>7844.5341854599628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734.34998397185007</v>
      </c>
      <c r="C8" s="33"/>
      <c r="D8" s="37">
        <f>IF( ISERROR(IND_metaal_Gas_kWH/1000),0,IND_metaal_Gas_kWH/1000)*0.902</f>
        <v>620.77326111610876</v>
      </c>
      <c r="E8" s="33">
        <f>C30*'E Balans VL '!I18/100/3.6*1000000</f>
        <v>21.093287951358754</v>
      </c>
      <c r="F8" s="33">
        <f>C30*'E Balans VL '!L18/100/3.6*1000000+C30*'E Balans VL '!N18/100/3.6*1000000</f>
        <v>188.34664730886996</v>
      </c>
      <c r="G8" s="34"/>
      <c r="H8" s="33"/>
      <c r="I8" s="33"/>
      <c r="J8" s="40">
        <f>C30*'E Balans VL '!D18/100/3.6*1000000+C30*'E Balans VL '!E18/100/3.6*1000000</f>
        <v>0</v>
      </c>
      <c r="K8" s="33"/>
      <c r="L8" s="33"/>
      <c r="M8" s="33"/>
      <c r="N8" s="33">
        <f>C30*'E Balans VL '!Y18/100/3.6*1000000</f>
        <v>19.939101085530851</v>
      </c>
      <c r="O8" s="33"/>
      <c r="P8" s="33"/>
      <c r="R8" s="32"/>
    </row>
    <row r="9" spans="1:18">
      <c r="A9" s="6" t="s">
        <v>33</v>
      </c>
      <c r="B9" s="37">
        <f t="shared" si="0"/>
        <v>1919.23066115436</v>
      </c>
      <c r="C9" s="33"/>
      <c r="D9" s="37">
        <f>IF( ISERROR(IND_andere_gas_kWh/1000),0,IND_andere_gas_kWh/1000)*0.902</f>
        <v>4405.8471496083966</v>
      </c>
      <c r="E9" s="33">
        <f>C31*'E Balans VL '!I19/100/3.6*1000000</f>
        <v>519.48855177259463</v>
      </c>
      <c r="F9" s="33">
        <f>C31*'E Balans VL '!L19/100/3.6*1000000+C31*'E Balans VL '!N19/100/3.6*1000000</f>
        <v>1278.4107173577431</v>
      </c>
      <c r="G9" s="34"/>
      <c r="H9" s="33"/>
      <c r="I9" s="33"/>
      <c r="J9" s="40">
        <f>C31*'E Balans VL '!D19/100/3.6*1000000+C31*'E Balans VL '!E19/100/3.6*1000000</f>
        <v>0</v>
      </c>
      <c r="K9" s="33"/>
      <c r="L9" s="33"/>
      <c r="M9" s="33"/>
      <c r="N9" s="33">
        <f>C31*'E Balans VL '!Y19/100/3.6*1000000</f>
        <v>626.59692971623952</v>
      </c>
      <c r="O9" s="33"/>
      <c r="P9" s="33"/>
      <c r="R9" s="32"/>
    </row>
    <row r="10" spans="1:18">
      <c r="A10" s="6" t="s">
        <v>41</v>
      </c>
      <c r="B10" s="37">
        <f t="shared" si="0"/>
        <v>2859.3809004894501</v>
      </c>
      <c r="C10" s="33"/>
      <c r="D10" s="37">
        <f>IF( ISERROR(IND_voed_gas_kWh/1000),0,IND_voed_gas_kWh/1000)*0.902</f>
        <v>505.19161417135729</v>
      </c>
      <c r="E10" s="33">
        <f>C32*'E Balans VL '!I20/100/3.6*1000000</f>
        <v>233.21767550059752</v>
      </c>
      <c r="F10" s="33">
        <f>C32*'E Balans VL '!L20/100/3.6*1000000+C32*'E Balans VL '!N20/100/3.6*1000000</f>
        <v>4263.5963483962823</v>
      </c>
      <c r="G10" s="34"/>
      <c r="H10" s="33"/>
      <c r="I10" s="33"/>
      <c r="J10" s="40">
        <f>C32*'E Balans VL '!D20/100/3.6*1000000+C32*'E Balans VL '!E20/100/3.6*1000000</f>
        <v>3.7826138490675232E-2</v>
      </c>
      <c r="K10" s="33"/>
      <c r="L10" s="33"/>
      <c r="M10" s="33"/>
      <c r="N10" s="33">
        <f>C32*'E Balans VL '!Y20/100/3.6*1000000</f>
        <v>839.9852118912944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12.478123805565799</v>
      </c>
      <c r="C12" s="33"/>
      <c r="D12" s="37">
        <f>IF( ISERROR(IND_min_gas_kWh/1000),0,IND_min_gas_kWh/1000)*0.902</f>
        <v>7.0730708916066565</v>
      </c>
      <c r="E12" s="33">
        <f>C34*'E Balans VL '!I22/100/3.6*1000000</f>
        <v>9.7201865577910426E-2</v>
      </c>
      <c r="F12" s="33">
        <f>C34*'E Balans VL '!L22/100/3.6*1000000+C34*'E Balans VL '!N22/100/3.6*1000000</f>
        <v>4.705981495331649</v>
      </c>
      <c r="G12" s="34"/>
      <c r="H12" s="33"/>
      <c r="I12" s="33"/>
      <c r="J12" s="40">
        <f>C34*'E Balans VL '!D22/100/3.6*1000000+C34*'E Balans VL '!E22/100/3.6*1000000</f>
        <v>6.8628589931718678E-2</v>
      </c>
      <c r="K12" s="33"/>
      <c r="L12" s="33"/>
      <c r="M12" s="33"/>
      <c r="N12" s="33">
        <f>C34*'E Balans VL '!Y22/100/3.6*1000000</f>
        <v>0</v>
      </c>
      <c r="O12" s="33"/>
      <c r="P12" s="33"/>
      <c r="R12" s="32"/>
    </row>
    <row r="13" spans="1:18">
      <c r="A13" s="6" t="s">
        <v>39</v>
      </c>
      <c r="B13" s="37">
        <f t="shared" si="0"/>
        <v>61.1756698279166</v>
      </c>
      <c r="C13" s="33"/>
      <c r="D13" s="37">
        <f>IF( ISERROR(IND_papier_gas_kWh/1000),0,IND_papier_gas_kWh/1000)*0.902</f>
        <v>75.307132891978512</v>
      </c>
      <c r="E13" s="33">
        <f>C35*'E Balans VL '!I23/100/3.6*1000000</f>
        <v>0.64092658991665341</v>
      </c>
      <c r="F13" s="33">
        <f>C35*'E Balans VL '!L23/100/3.6*1000000+C35*'E Balans VL '!N23/100/3.6*1000000</f>
        <v>4.5649393257039304</v>
      </c>
      <c r="G13" s="34"/>
      <c r="H13" s="33"/>
      <c r="I13" s="33"/>
      <c r="J13" s="40">
        <f>C35*'E Balans VL '!D23/100/3.6*1000000+C35*'E Balans VL '!E23/100/3.6*1000000</f>
        <v>0</v>
      </c>
      <c r="K13" s="33"/>
      <c r="L13" s="33"/>
      <c r="M13" s="33"/>
      <c r="N13" s="33">
        <f>C35*'E Balans VL '!Y23/100/3.6*1000000</f>
        <v>130.75660893476643</v>
      </c>
      <c r="O13" s="33"/>
      <c r="P13" s="33"/>
      <c r="R13" s="32"/>
    </row>
    <row r="14" spans="1:18">
      <c r="A14" s="6" t="s">
        <v>34</v>
      </c>
      <c r="B14" s="37">
        <f t="shared" si="0"/>
        <v>4524.6767778233698</v>
      </c>
      <c r="C14" s="33"/>
      <c r="D14" s="37">
        <f>IF( ISERROR(IND_chemie_gas_kWh/1000),0,IND_chemie_gas_kWh/1000)*0.902</f>
        <v>6635.4315063370286</v>
      </c>
      <c r="E14" s="33">
        <f>C36*'E Balans VL '!I24/100/3.6*1000000</f>
        <v>21.38920965965249</v>
      </c>
      <c r="F14" s="33">
        <f>C36*'E Balans VL '!L24/100/3.6*1000000+C36*'E Balans VL '!N24/100/3.6*1000000</f>
        <v>85.513962430583888</v>
      </c>
      <c r="G14" s="34"/>
      <c r="H14" s="33"/>
      <c r="I14" s="33"/>
      <c r="J14" s="40">
        <f>C36*'E Balans VL '!D24/100/3.6*1000000+C36*'E Balans VL '!E24/100/3.6*1000000</f>
        <v>0</v>
      </c>
      <c r="K14" s="33"/>
      <c r="L14" s="33"/>
      <c r="M14" s="33"/>
      <c r="N14" s="33">
        <f>C36*'E Balans VL '!Y24/100/3.6*1000000</f>
        <v>109.84384504304175</v>
      </c>
      <c r="O14" s="33"/>
      <c r="P14" s="33"/>
      <c r="R14" s="32"/>
    </row>
    <row r="15" spans="1:18">
      <c r="A15" s="6" t="s">
        <v>270</v>
      </c>
      <c r="B15" s="37">
        <f t="shared" si="0"/>
        <v>31171.031908431898</v>
      </c>
      <c r="C15" s="33"/>
      <c r="D15" s="37">
        <f>IF( ISERROR(IND_rest_gas_kWh/1000),0,IND_rest_gas_kWh/1000)*0.902</f>
        <v>5664.3249424290352</v>
      </c>
      <c r="E15" s="33">
        <f>C37*'E Balans VL '!I15/100/3.6*1000000</f>
        <v>1738.9746742667367</v>
      </c>
      <c r="F15" s="33">
        <f>C37*'E Balans VL '!L15/100/3.6*1000000+C37*'E Balans VL '!N15/100/3.6*1000000</f>
        <v>7327.6744295967055</v>
      </c>
      <c r="G15" s="34"/>
      <c r="H15" s="33"/>
      <c r="I15" s="33"/>
      <c r="J15" s="40">
        <f>C37*'E Balans VL '!D15/100/3.6*1000000+C37*'E Balans VL '!E15/100/3.6*1000000</f>
        <v>79.893315009944175</v>
      </c>
      <c r="K15" s="33"/>
      <c r="L15" s="33"/>
      <c r="M15" s="33"/>
      <c r="N15" s="33">
        <f>C37*'E Balans VL '!Y15/100/3.6*1000000</f>
        <v>6117.4124887890903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41282.324025504407</v>
      </c>
      <c r="C18" s="21">
        <f>C5+C16</f>
        <v>0</v>
      </c>
      <c r="D18" s="21">
        <f>MAX((D5+D16),0)</f>
        <v>17913.948677445514</v>
      </c>
      <c r="E18" s="21">
        <f>MAX((E5+E16),0)</f>
        <v>2534.9015276064347</v>
      </c>
      <c r="F18" s="21">
        <f>MAX((F5+F16),0)</f>
        <v>13152.81302591122</v>
      </c>
      <c r="G18" s="21"/>
      <c r="H18" s="21"/>
      <c r="I18" s="21"/>
      <c r="J18" s="21">
        <f>MAX((J5+J16),0)</f>
        <v>79.999769738366567</v>
      </c>
      <c r="K18" s="21"/>
      <c r="L18" s="21">
        <f>MAX((L5+L16),0)</f>
        <v>0</v>
      </c>
      <c r="M18" s="21"/>
      <c r="N18" s="21">
        <f>MAX((N5+N16),0)</f>
        <v>7844.5341854599628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0.21520498940835944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8884.1621046611381</v>
      </c>
      <c r="C22" s="23">
        <f ca="1">C18*C20</f>
        <v>0</v>
      </c>
      <c r="D22" s="23">
        <f>D18*D20</f>
        <v>3618.6176328439942</v>
      </c>
      <c r="E22" s="23">
        <f>E18*E20</f>
        <v>575.4226467666607</v>
      </c>
      <c r="F22" s="23">
        <f>F18*F20</f>
        <v>3511.801077918296</v>
      </c>
      <c r="G22" s="23"/>
      <c r="H22" s="23"/>
      <c r="I22" s="23"/>
      <c r="J22" s="23">
        <f>J18*J20</f>
        <v>28.319918487381763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734.34998397185007</v>
      </c>
      <c r="C30" s="39">
        <f>IF(ISERROR(B30*3.6/1000000/'E Balans VL '!Z18*100),0,B30*3.6/1000000/'E Balans VL '!Z18*100)</f>
        <v>7.2258163827012389E-2</v>
      </c>
      <c r="D30" s="239" t="s">
        <v>692</v>
      </c>
    </row>
    <row r="31" spans="1:18">
      <c r="A31" s="6" t="s">
        <v>33</v>
      </c>
      <c r="B31" s="37">
        <f>IF( ISERROR(IND_ander_ele_kWh/1000),0,IND_ander_ele_kWh/1000)</f>
        <v>1919.23066115436</v>
      </c>
      <c r="C31" s="39">
        <f>IF(ISERROR(B31*3.6/1000000/'E Balans VL '!Z19*100),0,B31*3.6/1000000/'E Balans VL '!Z19*100)</f>
        <v>8.3580964338054883E-2</v>
      </c>
      <c r="D31" s="239" t="s">
        <v>692</v>
      </c>
    </row>
    <row r="32" spans="1:18">
      <c r="A32" s="173" t="s">
        <v>41</v>
      </c>
      <c r="B32" s="37">
        <f>IF( ISERROR(IND_voed_ele_kWh/1000),0,IND_voed_ele_kWh/1000)</f>
        <v>2859.3809004894501</v>
      </c>
      <c r="C32" s="39">
        <f>IF(ISERROR(B32*3.6/1000000/'E Balans VL '!Z20*100),0,B32*3.6/1000000/'E Balans VL '!Z20*100)</f>
        <v>0.54252628910926481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12.478123805565799</v>
      </c>
      <c r="C34" s="39">
        <f>IF(ISERROR(B34*3.6/1000000/'E Balans VL '!Z22*100),0,B34*3.6/1000000/'E Balans VL '!Z22*100)</f>
        <v>1.7545495084762082E-3</v>
      </c>
      <c r="D34" s="239" t="s">
        <v>692</v>
      </c>
    </row>
    <row r="35" spans="1:5">
      <c r="A35" s="173" t="s">
        <v>39</v>
      </c>
      <c r="B35" s="37">
        <f>IF( ISERROR(IND_papier_ele_kWh/1000),0,IND_papier_ele_kWh/1000)</f>
        <v>61.1756698279166</v>
      </c>
      <c r="C35" s="39">
        <f>IF(ISERROR(B35*3.6/1000000/'E Balans VL '!Z22*100),0,B35*3.6/1000000/'E Balans VL '!Z22*100)</f>
        <v>8.6019134847337662E-3</v>
      </c>
      <c r="D35" s="239" t="s">
        <v>692</v>
      </c>
    </row>
    <row r="36" spans="1:5">
      <c r="A36" s="173" t="s">
        <v>34</v>
      </c>
      <c r="B36" s="37">
        <f>IF( ISERROR(IND_chemie_ele_kWh/1000),0,IND_chemie_ele_kWh/1000)</f>
        <v>4524.6767778233698</v>
      </c>
      <c r="C36" s="39">
        <f>IF(ISERROR(B36*3.6/1000000/'E Balans VL '!Z24*100),0,B36*3.6/1000000/'E Balans VL '!Z24*100)</f>
        <v>0.13186245146518139</v>
      </c>
      <c r="D36" s="239" t="s">
        <v>692</v>
      </c>
    </row>
    <row r="37" spans="1:5">
      <c r="A37" s="173" t="s">
        <v>270</v>
      </c>
      <c r="B37" s="37">
        <f>IF( ISERROR(IND_rest_ele_kWh/1000),0,IND_rest_ele_kWh/1000)</f>
        <v>31171.031908431898</v>
      </c>
      <c r="C37" s="39">
        <f>IF(ISERROR(B37*3.6/1000000/'E Balans VL '!Z15*100),0,B37*3.6/1000000/'E Balans VL '!Z15*100)</f>
        <v>0.24021108677347217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50.4969815197814</v>
      </c>
      <c r="C5" s="17">
        <f>'Eigen informatie GS &amp; warmtenet'!B60</f>
        <v>0</v>
      </c>
      <c r="D5" s="30">
        <f>IF(ISERROR(SUM(LB_lb_gas_kWh,LB_rest_gas_kWh,onbekend_gas_kWh)/1000),0,SUM(LB_lb_gas_kWh,LB_rest_gas_kWh,onbekend_gas_kWh)/1000)*0.902</f>
        <v>14281.113504605535</v>
      </c>
      <c r="E5" s="17">
        <f>B17*'E Balans VL '!I25/3.6*1000000/100</f>
        <v>0.63632702048812551</v>
      </c>
      <c r="F5" s="17">
        <f>B17*('E Balans VL '!L25/3.6*1000000+'E Balans VL '!N25/3.6*1000000)/100</f>
        <v>174.22723649299999</v>
      </c>
      <c r="G5" s="18"/>
      <c r="H5" s="17"/>
      <c r="I5" s="17"/>
      <c r="J5" s="17">
        <f>('E Balans VL '!D25+'E Balans VL '!E25)/3.6*1000000*landbouw!B17/100</f>
        <v>7.5941719911485901</v>
      </c>
      <c r="K5" s="17"/>
      <c r="L5" s="17">
        <f>L6*(-1)</f>
        <v>0</v>
      </c>
      <c r="M5" s="17"/>
      <c r="N5" s="17">
        <f>N6*(-1)</f>
        <v>0</v>
      </c>
      <c r="O5" s="17"/>
      <c r="P5" s="17"/>
      <c r="R5" s="32"/>
    </row>
    <row r="6" spans="1:18">
      <c r="A6" s="16" t="s">
        <v>497</v>
      </c>
      <c r="B6" s="17" t="s">
        <v>211</v>
      </c>
      <c r="C6" s="17">
        <f>'lokale energieproductie'!O91+'lokale energieproductie'!O60</f>
        <v>25.714285714285715</v>
      </c>
      <c r="D6" s="312">
        <f>('lokale energieproductie'!P60+'lokale energieproductie'!P91)*(-1)</f>
        <v>-51.428571428571431</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50.4969815197814</v>
      </c>
      <c r="C8" s="21">
        <f>C5+C6</f>
        <v>25.714285714285715</v>
      </c>
      <c r="D8" s="21">
        <f>MAX((D5+D6),0)</f>
        <v>14229.684933176964</v>
      </c>
      <c r="E8" s="21">
        <f>MAX((E5+E6),0)</f>
        <v>0.63632702048812551</v>
      </c>
      <c r="F8" s="21">
        <f>MAX((F5+F6),0)</f>
        <v>174.22723649299999</v>
      </c>
      <c r="G8" s="21"/>
      <c r="H8" s="21"/>
      <c r="I8" s="21"/>
      <c r="J8" s="21">
        <f>MAX((J5+J6),0)</f>
        <v>7.5941719911485901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0.21520498940835944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10.867202373118678</v>
      </c>
      <c r="C12" s="23">
        <f ca="1">C8*C10</f>
        <v>6.1109243697478997</v>
      </c>
      <c r="D12" s="23">
        <f>D8*D10</f>
        <v>2874.3963565017471</v>
      </c>
      <c r="E12" s="23">
        <f>E8*E10</f>
        <v>0.1444462336508045</v>
      </c>
      <c r="F12" s="23">
        <f>F8*F10</f>
        <v>46.518672143631001</v>
      </c>
      <c r="G12" s="23"/>
      <c r="H12" s="23"/>
      <c r="I12" s="23"/>
      <c r="J12" s="23">
        <f>J8*J10</f>
        <v>2.6883368848666009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7.0427373495368963E-3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4.1919690389163868</v>
      </c>
      <c r="C26" s="249">
        <f>B26*'GWP N2O_CH4'!B5</f>
        <v>88.03134981724412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0.25563280051060161</v>
      </c>
      <c r="C27" s="249">
        <f>B27*'GWP N2O_CH4'!B5</f>
        <v>5.3682888107226336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5.631986527492356E-2</v>
      </c>
      <c r="C28" s="249">
        <f>B28*'GWP N2O_CH4'!B4</f>
        <v>17.459158235226305</v>
      </c>
      <c r="D28" s="50"/>
    </row>
    <row r="29" spans="1:4">
      <c r="A29" s="41" t="s">
        <v>277</v>
      </c>
      <c r="B29" s="249">
        <f>B34*'ha_N2O bodem landbouw'!B4</f>
        <v>2.513695393696322</v>
      </c>
      <c r="C29" s="249">
        <f>B29*'GWP N2O_CH4'!B4</f>
        <v>779.24557204585983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6.2764462226056177E-4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7.350907946908564E-5</v>
      </c>
      <c r="C5" s="448" t="s">
        <v>211</v>
      </c>
      <c r="D5" s="433">
        <f>SUM(D6:D11)</f>
        <v>1.1257298161261346E-4</v>
      </c>
      <c r="E5" s="433">
        <f>SUM(E6:E11)</f>
        <v>4.1250474930499825E-3</v>
      </c>
      <c r="F5" s="446" t="s">
        <v>211</v>
      </c>
      <c r="G5" s="433">
        <f>SUM(G6:G11)</f>
        <v>1.020624916732191</v>
      </c>
      <c r="H5" s="433">
        <f>SUM(H6:H11)</f>
        <v>0.1753320963410491</v>
      </c>
      <c r="I5" s="448" t="s">
        <v>211</v>
      </c>
      <c r="J5" s="448" t="s">
        <v>211</v>
      </c>
      <c r="K5" s="448" t="s">
        <v>211</v>
      </c>
      <c r="L5" s="448" t="s">
        <v>211</v>
      </c>
      <c r="M5" s="433">
        <f>SUM(M6:M11)</f>
        <v>5.354786834309809E-2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1.538624285186526E-5</v>
      </c>
      <c r="C6" s="949"/>
      <c r="D6" s="949">
        <f>vkm_2011_GW_PW*SUMIFS(TableVerdeelsleutelVkm[CNG],TableVerdeelsleutelVkm[Voertuigtype],"Lichte voertuigen")*SUMIFS(TableECFTransport[EnergieConsumptieFactor (PJ per km)],TableECFTransport[Index],CONCATENATE($A6,"_CNG_CNG"))</f>
        <v>2.1789929129072194E-5</v>
      </c>
      <c r="E6" s="949">
        <f>vkm_2011_GW_PW*SUMIFS(TableVerdeelsleutelVkm[LPG],TableVerdeelsleutelVkm[Voertuigtype],"Lichte voertuigen")*SUMIFS(TableECFTransport[EnergieConsumptieFactor (PJ per km)],TableECFTransport[Index],CONCATENATE($A6,"_LPG_LPG"))</f>
        <v>6.8434993960366343E-4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0.12299642304367586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3.3050257828842661E-2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6.963494472474293E-3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3.3746219768726361E-2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1.2023287533727039E-5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1.5228264932545103E-3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4.631390305403292E-6</v>
      </c>
      <c r="C8" s="949"/>
      <c r="D8" s="436">
        <f>vkm_2011_NGW_PW*SUMIFS(TableVerdeelsleutelVkm[CNG],TableVerdeelsleutelVkm[Voertuigtype],"Lichte voertuigen")*SUMIFS(TableECFTransport[EnergieConsumptieFactor (PJ per km)],TableECFTransport[Index],CONCATENATE($A8,"_CNG_CNG"))</f>
        <v>1.1684889248286845E-5</v>
      </c>
      <c r="E8" s="436">
        <f>vkm_2011_NGW_PW*SUMIFS(TableVerdeelsleutelVkm[LPG],TableVerdeelsleutelVkm[Voertuigtype],"Lichte voertuigen")*SUMIFS(TableECFTransport[EnergieConsumptieFactor (PJ per km)],TableECFTransport[Index],CONCATENATE($A8,"_LPG_LPG"))</f>
        <v>3.3801757260243934E-4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5.7297256311364675E-2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1.7101203553233021E-2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3.3169044486423367E-3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1.6628067011503851E-3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5.6061481521106254E-7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7.5034185791297034E-5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5.3491446311817094E-5</v>
      </c>
      <c r="C10" s="949"/>
      <c r="D10" s="436">
        <f>vkm_2011_SW_PW*SUMIFS(TableVerdeelsleutelVkm[CNG],TableVerdeelsleutelVkm[Voertuigtype],"Lichte voertuigen")*SUMIFS(TableECFTransport[EnergieConsumptieFactor (PJ per km)],TableECFTransport[Index],CONCATENATE($A10,"_CNG_CNG"))</f>
        <v>7.9098163235254422E-5</v>
      </c>
      <c r="E10" s="436">
        <f>vkm_2011_SW_PW*SUMIFS(TableVerdeelsleutelVkm[LPG],TableVerdeelsleutelVkm[Voertuigtype],"Lichte voertuigen")*SUMIFS(TableECFTransport[EnergieConsumptieFactor (PJ per km)],TableECFTransport[Index],CONCATENATE($A10,"_LPG_LPG"))</f>
        <v>3.1026799808438798E-3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0.50502508768007814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0.12505282523093345</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2.8136140670879529E-2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0.29989712322719558</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1.1522582569104327E-4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1.3533468072056123E-2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20.419188741412679</v>
      </c>
      <c r="C14" s="21"/>
      <c r="D14" s="21">
        <f t="shared" ref="D14:M14" si="0">((D5)*10^9/3600)+D12</f>
        <v>31.270272670170407</v>
      </c>
      <c r="E14" s="21">
        <f t="shared" si="0"/>
        <v>1145.8465258472174</v>
      </c>
      <c r="F14" s="21"/>
      <c r="G14" s="21">
        <f t="shared" si="0"/>
        <v>283506.92131449748</v>
      </c>
      <c r="H14" s="21">
        <f t="shared" si="0"/>
        <v>48703.360094735865</v>
      </c>
      <c r="I14" s="21"/>
      <c r="J14" s="21"/>
      <c r="K14" s="21"/>
      <c r="L14" s="21"/>
      <c r="M14" s="21">
        <f t="shared" si="0"/>
        <v>14874.407873082802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0.21520498940835944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4.394311296823008</v>
      </c>
      <c r="C18" s="23"/>
      <c r="D18" s="23">
        <f t="shared" ref="D18:M18" si="1">D14*D16</f>
        <v>6.3165950793744221</v>
      </c>
      <c r="E18" s="23">
        <f t="shared" si="1"/>
        <v>260.10716136731838</v>
      </c>
      <c r="F18" s="23"/>
      <c r="G18" s="23">
        <f t="shared" si="1"/>
        <v>75696.347990970826</v>
      </c>
      <c r="H18" s="23">
        <f t="shared" si="1"/>
        <v>12127.13666358923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1.6745411202097139E-2</v>
      </c>
      <c r="H50" s="323">
        <f t="shared" si="2"/>
        <v>0</v>
      </c>
      <c r="I50" s="323">
        <f t="shared" si="2"/>
        <v>0</v>
      </c>
      <c r="J50" s="323">
        <f t="shared" si="2"/>
        <v>0</v>
      </c>
      <c r="K50" s="323">
        <f t="shared" si="2"/>
        <v>0</v>
      </c>
      <c r="L50" s="323">
        <f t="shared" si="2"/>
        <v>0</v>
      </c>
      <c r="M50" s="323">
        <f t="shared" si="2"/>
        <v>7.4470939403278185E-4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1.6745411202097139E-2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7.4470939403278185E-4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4651.5031116936498</v>
      </c>
      <c r="H54" s="21">
        <f t="shared" si="3"/>
        <v>0</v>
      </c>
      <c r="I54" s="21">
        <f t="shared" si="3"/>
        <v>0</v>
      </c>
      <c r="J54" s="21">
        <f t="shared" si="3"/>
        <v>0</v>
      </c>
      <c r="K54" s="21">
        <f t="shared" si="3"/>
        <v>0</v>
      </c>
      <c r="L54" s="21">
        <f t="shared" si="3"/>
        <v>0</v>
      </c>
      <c r="M54" s="21">
        <f t="shared" si="3"/>
        <v>206.86372056466161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0.21520498940835944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1241.9513308222045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5016.8618361107037</v>
      </c>
      <c r="C6" s="1142"/>
      <c r="D6" s="1145"/>
      <c r="E6" s="1145"/>
      <c r="F6" s="1148"/>
      <c r="G6" s="1151"/>
      <c r="H6" s="1139"/>
      <c r="I6" s="1145"/>
      <c r="J6" s="1145"/>
      <c r="K6" s="1145"/>
      <c r="L6" s="1175"/>
      <c r="M6" s="561"/>
      <c r="N6" s="1187"/>
      <c r="O6" s="1188"/>
      <c r="Q6" s="559"/>
      <c r="R6" s="1172"/>
      <c r="S6" s="1172"/>
    </row>
    <row r="7" spans="1:19" s="549" customFormat="1">
      <c r="A7" s="562" t="s">
        <v>252</v>
      </c>
      <c r="B7" s="563">
        <f>N57</f>
        <v>1368</v>
      </c>
      <c r="C7" s="564">
        <f>B100</f>
        <v>1609.4117647058822</v>
      </c>
      <c r="D7" s="565"/>
      <c r="E7" s="565">
        <f>E100</f>
        <v>0</v>
      </c>
      <c r="F7" s="566"/>
      <c r="G7" s="567"/>
      <c r="H7" s="565">
        <f>I100</f>
        <v>0</v>
      </c>
      <c r="I7" s="565">
        <f>G100+F100</f>
        <v>0</v>
      </c>
      <c r="J7" s="565">
        <f>H100+D100+C100</f>
        <v>0</v>
      </c>
      <c r="K7" s="565"/>
      <c r="L7" s="568"/>
      <c r="M7" s="569">
        <f>C7*$C$11+D7*$D$11+E7*$E$11+F7*$F$11+G7*$G$11+H7*$H$11+I7*$I$11+J7*$J$11</f>
        <v>325.1011764705882</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6384.8618361107037</v>
      </c>
      <c r="C9" s="580">
        <f t="shared" ref="C9:L9" si="0">SUM(C7:C8)</f>
        <v>1609.4117647058822</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325.1011764705882</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1954.2857142857144</v>
      </c>
      <c r="C16" s="596">
        <f>B101</f>
        <v>2299.1596638655465</v>
      </c>
      <c r="D16" s="597"/>
      <c r="E16" s="597">
        <f>E101</f>
        <v>0</v>
      </c>
      <c r="F16" s="598"/>
      <c r="G16" s="599"/>
      <c r="H16" s="596">
        <f>I101</f>
        <v>0</v>
      </c>
      <c r="I16" s="597">
        <f>G101+F101</f>
        <v>0</v>
      </c>
      <c r="J16" s="597">
        <f>H101+D101+C101</f>
        <v>0</v>
      </c>
      <c r="K16" s="597"/>
      <c r="L16" s="600"/>
      <c r="M16" s="601">
        <f>C16*$C$21+E16*$E$21+H16*$H$21+I16*$I$21+J16*$J$21+D16*$D$21+F16*$F$21+G16*$G$21+K16*$K$21+L16*$L$21</f>
        <v>464.43025210084039</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1954.2857142857144</v>
      </c>
      <c r="C19" s="579">
        <f>SUM(C16:C18)</f>
        <v>2299.1596638655465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464.43025210084039</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23088</v>
      </c>
      <c r="C27" s="839">
        <v>1800</v>
      </c>
      <c r="D27" s="658" t="s">
        <v>840</v>
      </c>
      <c r="E27" s="657" t="s">
        <v>841</v>
      </c>
      <c r="F27" s="657" t="s">
        <v>842</v>
      </c>
      <c r="G27" s="657" t="s">
        <v>843</v>
      </c>
      <c r="H27" s="657" t="s">
        <v>844</v>
      </c>
      <c r="I27" s="657" t="s">
        <v>845</v>
      </c>
      <c r="J27" s="838">
        <v>38307</v>
      </c>
      <c r="K27" s="838">
        <v>38473</v>
      </c>
      <c r="L27" s="657" t="s">
        <v>846</v>
      </c>
      <c r="M27" s="657">
        <v>300</v>
      </c>
      <c r="N27" s="657">
        <v>1350</v>
      </c>
      <c r="O27" s="657">
        <v>1928.5714285714287</v>
      </c>
      <c r="P27" s="657">
        <v>3857.1428571428573</v>
      </c>
      <c r="Q27" s="657">
        <v>0</v>
      </c>
      <c r="R27" s="657">
        <v>0</v>
      </c>
      <c r="S27" s="657">
        <v>0</v>
      </c>
      <c r="T27" s="657">
        <v>0</v>
      </c>
      <c r="U27" s="657">
        <v>0</v>
      </c>
      <c r="V27" s="657">
        <v>0</v>
      </c>
      <c r="W27" s="657">
        <v>0</v>
      </c>
      <c r="X27" s="657">
        <v>1300</v>
      </c>
      <c r="Y27" s="657" t="s">
        <v>54</v>
      </c>
      <c r="Z27" s="659" t="s">
        <v>156</v>
      </c>
    </row>
    <row r="28" spans="1:26" s="611" customFormat="1" ht="25.5">
      <c r="A28" s="610"/>
      <c r="B28" s="839">
        <v>23088</v>
      </c>
      <c r="C28" s="839">
        <v>1800</v>
      </c>
      <c r="D28" s="658" t="s">
        <v>847</v>
      </c>
      <c r="E28" s="657" t="s">
        <v>848</v>
      </c>
      <c r="F28" s="657" t="s">
        <v>849</v>
      </c>
      <c r="G28" s="657" t="s">
        <v>843</v>
      </c>
      <c r="H28" s="657" t="s">
        <v>844</v>
      </c>
      <c r="I28" s="657" t="s">
        <v>848</v>
      </c>
      <c r="J28" s="838">
        <v>41262</v>
      </c>
      <c r="K28" s="838">
        <v>41262</v>
      </c>
      <c r="L28" s="657" t="s">
        <v>846</v>
      </c>
      <c r="M28" s="657">
        <v>4</v>
      </c>
      <c r="N28" s="657">
        <v>18</v>
      </c>
      <c r="O28" s="657">
        <v>25.714285714285715</v>
      </c>
      <c r="P28" s="657">
        <v>51.428571428571431</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304</v>
      </c>
      <c r="N57" s="615">
        <f>SUM(N27:N56)</f>
        <v>1368</v>
      </c>
      <c r="O57" s="615">
        <f t="shared" ref="O57:W57" si="2">SUM(O27:O56)</f>
        <v>1954.2857142857144</v>
      </c>
      <c r="P57" s="615">
        <f t="shared" si="2"/>
        <v>3908.5714285714289</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300</v>
      </c>
      <c r="N59" s="615">
        <f ca="1">SUMIF($Z$27:AB56,"tertiair",N27:N56)</f>
        <v>1350</v>
      </c>
      <c r="O59" s="615">
        <f ca="1">SUMIF($Z$27:AC56,"tertiair",O27:O56)</f>
        <v>1928.5714285714287</v>
      </c>
      <c r="P59" s="615">
        <f ca="1">SUMIF($Z$27:AD56,"tertiair",P27:P56)</f>
        <v>3857.1428571428573</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4</v>
      </c>
      <c r="N60" s="620">
        <f t="shared" ref="N60:W60" si="4">SUMIF($Z$27:$Z$56,"landbouw",N27:N56)</f>
        <v>18</v>
      </c>
      <c r="O60" s="620">
        <f t="shared" si="4"/>
        <v>25.714285714285715</v>
      </c>
      <c r="P60" s="620">
        <f t="shared" si="4"/>
        <v>51.428571428571431</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0.41176470588235287</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1609.4117647058822</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2299.1596638655465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2018-06-27T09:29:57Z</dcterms:modified>
</cp:coreProperties>
</file>