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D6" i="17" s="1"/>
  <c r="O60" i="18"/>
  <c r="N60"/>
  <c r="M60"/>
  <c r="W59"/>
  <c r="V59"/>
  <c r="U59"/>
  <c r="T59"/>
  <c r="S59"/>
  <c r="F13" i="15" s="1"/>
  <c r="R59" i="18"/>
  <c r="Q59"/>
  <c r="P59"/>
  <c r="O59"/>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B8" i="9"/>
  <c r="B6" i="48" s="1"/>
  <c r="Q6" s="1"/>
  <c r="C16" i="15"/>
  <c r="D10" i="14" s="1"/>
  <c r="I14" i="15"/>
  <c r="I16" s="1"/>
  <c r="J10" i="14" s="1"/>
  <c r="J15" s="1"/>
  <c r="B13" i="16"/>
  <c r="C35"/>
  <c r="E9" i="14"/>
  <c r="D14" i="15"/>
  <c r="P18" i="16"/>
  <c r="Q13" i="14" s="1"/>
  <c r="L16" i="16"/>
  <c r="L18" s="1"/>
  <c r="L8" i="48" s="1"/>
  <c r="N6" i="17"/>
  <c r="N5" s="1"/>
  <c r="J8"/>
  <c r="K22" i="14" s="1"/>
  <c r="N16" i="16"/>
  <c r="F8" i="17"/>
  <c r="G22" i="14" s="1"/>
  <c r="N13" i="15"/>
  <c r="L13"/>
  <c r="L16" s="1"/>
  <c r="D13"/>
  <c r="G6" i="22"/>
  <c r="G9"/>
  <c r="M6"/>
  <c r="M11"/>
  <c r="G11"/>
  <c r="G7"/>
  <c r="G8"/>
  <c r="M8"/>
  <c r="G10"/>
  <c r="M7"/>
  <c r="M10"/>
  <c r="M9"/>
  <c r="L68" i="14"/>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P24" i="48"/>
  <c r="E5" i="17"/>
  <c r="C8"/>
  <c r="G24" i="48"/>
  <c r="I24"/>
  <c r="G81" i="14"/>
  <c r="D79"/>
  <c r="H79"/>
  <c r="H81" s="1"/>
  <c r="L79"/>
  <c r="L81" s="1"/>
  <c r="F79"/>
  <c r="J79"/>
  <c r="E68"/>
  <c r="E69" s="1"/>
  <c r="I68"/>
  <c r="M68"/>
  <c r="M69" s="1"/>
  <c r="D19" i="18"/>
  <c r="L19"/>
  <c r="B68" i="14"/>
  <c r="G68"/>
  <c r="G69" s="1"/>
  <c r="E81"/>
  <c r="M81"/>
  <c r="F19" i="18"/>
  <c r="D11" i="14"/>
  <c r="C4" i="48"/>
  <c r="M17" i="18"/>
  <c r="M18"/>
  <c r="P22" i="16" l="1"/>
  <c r="Q39" i="14" s="1"/>
  <c r="J7" i="48"/>
  <c r="J24" s="1"/>
  <c r="H13"/>
  <c r="H30" s="1"/>
  <c r="H12" i="22"/>
  <c r="O18" i="16"/>
  <c r="P13" i="14" s="1"/>
  <c r="B36" i="13"/>
  <c r="B48" s="1"/>
  <c r="C48" s="1"/>
  <c r="N5" s="1"/>
  <c r="N8" s="1"/>
  <c r="N4" i="48" s="1"/>
  <c r="N21" s="1"/>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7" i="48"/>
  <c r="L24" s="1"/>
  <c r="L30"/>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15" s="1"/>
  <c r="P23" s="1"/>
  <c r="P20" i="15"/>
  <c r="Q36" i="14" s="1"/>
  <c r="Q41" s="1"/>
  <c r="Q53" s="1"/>
  <c r="Q10"/>
  <c r="Q15" s="1"/>
  <c r="Q23" s="1"/>
  <c r="J5" i="15"/>
  <c r="F4" i="48"/>
  <c r="F21" s="1"/>
  <c r="B69" i="14"/>
  <c r="B4" i="6" s="1"/>
  <c r="J23" i="14"/>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M29"/>
  <c r="M25"/>
  <c r="M24"/>
  <c r="I31"/>
  <c r="C50" i="13"/>
  <c r="J5" s="1"/>
  <c r="J8" s="1"/>
  <c r="C5" i="48"/>
  <c r="E7" l="1"/>
  <c r="E24" s="1"/>
  <c r="E12" i="17"/>
  <c r="F48" i="14" s="1"/>
  <c r="N7" i="48"/>
  <c r="N24" s="1"/>
  <c r="E13" i="14"/>
  <c r="M22"/>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J67" i="14"/>
  <c r="I9" i="18"/>
  <c r="G58" i="22"/>
  <c r="H44" i="14" s="1"/>
  <c r="G10" i="48"/>
  <c r="G9"/>
  <c r="R17" i="14"/>
  <c r="Q13" i="48"/>
  <c r="I19" i="14"/>
  <c r="I20" s="1"/>
  <c r="I23" s="1"/>
  <c r="M18" i="22"/>
  <c r="N45" i="14" s="1"/>
  <c r="M9" i="48"/>
  <c r="N19" i="14"/>
  <c r="P14" i="48"/>
  <c r="B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7" i="49" s="1"/>
  <c r="Q7" i="48"/>
  <c r="F10" i="14"/>
  <c r="D31" i="48"/>
  <c r="E5"/>
  <c r="E22" s="1"/>
  <c r="J5"/>
  <c r="J22" s="1"/>
  <c r="J20" i="15"/>
  <c r="K36" i="14" s="1"/>
  <c r="N46"/>
  <c r="N53" s="1"/>
  <c r="M16" i="18"/>
  <c r="M19" s="1"/>
  <c r="F18" i="16"/>
  <c r="G13" i="14" s="1"/>
  <c r="G15" s="1"/>
  <c r="G23" s="1"/>
  <c r="E18" i="16"/>
  <c r="E8" i="48" s="1"/>
  <c r="N18" i="16"/>
  <c r="N8" i="48" s="1"/>
  <c r="J18" i="16"/>
  <c r="J22" s="1"/>
  <c r="K39" i="14" s="1"/>
  <c r="O14" i="48"/>
  <c r="N20" i="14"/>
  <c r="N23" s="1"/>
  <c r="N55" s="1"/>
  <c r="G18" i="22"/>
  <c r="H45" i="14" s="1"/>
  <c r="H46" s="1"/>
  <c r="H53" s="1"/>
  <c r="I19" i="18"/>
  <c r="J19"/>
  <c r="K78" i="14"/>
  <c r="K81" s="1"/>
  <c r="I81"/>
  <c r="O78"/>
  <c r="O81" s="1"/>
  <c r="B17" i="6" s="1"/>
  <c r="E23" i="14"/>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56" i="22"/>
  <c r="C58" s="1"/>
  <c r="D44" i="14" s="1"/>
  <c r="D46" s="1"/>
  <c r="O13"/>
  <c r="O15" s="1"/>
  <c r="F22" i="16"/>
  <c r="G39" i="14" s="1"/>
  <c r="G41" s="1"/>
  <c r="N22" i="16"/>
  <c r="O39" i="14" s="1"/>
  <c r="O41" s="1"/>
  <c r="Q4" i="48"/>
  <c r="N22"/>
  <c r="R11" i="14"/>
  <c r="J21" i="48"/>
  <c r="R10" i="14"/>
  <c r="Q5" i="48" l="1"/>
  <c r="C20" i="16"/>
  <c r="C22" s="1"/>
  <c r="D39" i="14" s="1"/>
  <c r="F8" i="48"/>
  <c r="C17" i="19"/>
  <c r="C19" s="1"/>
  <c r="D35" i="14" s="1"/>
  <c r="C29" i="20"/>
  <c r="K41" i="14"/>
  <c r="K53" s="1"/>
  <c r="K55" s="1"/>
  <c r="N25" i="48"/>
  <c r="N31" s="1"/>
  <c r="N14"/>
  <c r="E25"/>
  <c r="E31" s="1"/>
  <c r="E14"/>
  <c r="H55" i="14"/>
  <c r="E55"/>
  <c r="C78"/>
  <c r="C81" s="1"/>
  <c r="J14" i="48"/>
  <c r="J31"/>
  <c r="Q8"/>
  <c r="Q14" s="1"/>
  <c r="R19" i="14"/>
  <c r="R20" s="1"/>
  <c r="H14" i="48"/>
  <c r="G31"/>
  <c r="H26"/>
  <c r="H31" s="1"/>
  <c r="F55" i="14"/>
  <c r="O53"/>
  <c r="G53"/>
  <c r="G55" s="1"/>
  <c r="O69" s="1"/>
  <c r="B9" i="6" s="1"/>
  <c r="B12" s="1"/>
  <c r="M53" i="14"/>
  <c r="M55" s="1"/>
  <c r="C12" i="13"/>
  <c r="D37" i="14" s="1"/>
  <c r="D41" s="1"/>
  <c r="C23" i="48"/>
  <c r="C24"/>
  <c r="C27"/>
  <c r="C28"/>
  <c r="C22"/>
  <c r="C25"/>
  <c r="C29"/>
  <c r="C21"/>
  <c r="C26"/>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<sst xmlns="http://schemas.openxmlformats.org/spreadsheetml/2006/main" count="1979" uniqueCount="849">
  <si>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</si>
  <si>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</si>
  <si>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</si>
  <si>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</si>
  <si>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</si>
  <si>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</si>
  <si>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</si>
  <si>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</si>
  <si>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</si>
  <si>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</si>
  <si>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</si>
  <si>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</si>
  <si>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</si>
  <si>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</si>
  <si>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</si>
  <si>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</si>
  <si>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</si>
  <si>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</si>
  <si>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</si>
  <si>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</si>
  <si>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</si>
  <si>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</si>
  <si>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</si>
  <si>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</si>
  <si>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</si>
  <si>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</si>
  <si>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</si>
  <si>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</si>
  <si>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</si>
  <si>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</si>
  <si>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</si>
  <si>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</si>
  <si>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</si>
  <si>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</si>
  <si>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</si>
  <si>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</si>
  <si>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</si>
  <si>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</si>
  <si>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</si>
  <si>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</si>
  <si>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</si>
  <si>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</si>
  <si>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</si>
  <si>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</si>
  <si>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</si>
  <si>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</si>
  <si>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</si>
  <si>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</si>
  <si>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</si>
  <si>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</si>
  <si>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</si>
  <si>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</si>
  <si>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</si>
  <si>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</si>
  <si>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</si>
  <si>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</si>
  <si>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</si>
  <si>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</si>
  <si>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</si>
  <si>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</si>
  <si>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</si>
  <si>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</si>
  <si>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</si>
  <si>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</si>
  <si>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</si>
  <si>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</si>
  <si>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</si>
  <si>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</si>
  <si>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</si>
  <si>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</si>
  <si>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</si>
  <si>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</si>
  <si>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</si>
  <si>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</si>
  <si>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</si>
  <si>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</si>
  <si>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</si>
  <si>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</si>
  <si>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</si>
  <si>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</si>
  <si>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</si>
  <si>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</si>
  <si>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</si>
  <si>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</si>
  <si>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</si>
  <si>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</si>
  <si>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</si>
  <si>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</si>
  <si>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</si>
  <si>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</si>
  <si>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</si>
  <si>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</si>
  <si>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</si>
  <si>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</si>
  <si>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</si>
  <si>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</si>
  <si>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</si>
  <si>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</si>
  <si>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</si>
  <si>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</si>
  <si>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</si>
  <si>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</si>
  <si>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</si>
  <si>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</si>
  <si>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</si>
  <si>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</si>
  <si>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</si>
  <si>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</si>
  <si>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</si>
  <si>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</si>
  <si>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</si>
  <si>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</si>
  <si>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</si>
  <si>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</si>
  <si>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</si>
  <si>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</si>
  <si>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</si>
  <si>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</si>
  <si>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</si>
  <si>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</si>
  <si>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</si>
  <si>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</si>
  <si>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</si>
  <si>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</si>
  <si>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</si>
  <si>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</si>
  <si>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</si>
  <si>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</si>
  <si>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</si>
  <si>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</si>
  <si>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</si>
  <si>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</si>
  <si>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</si>
  <si>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</si>
  <si>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</si>
  <si>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</si>
  <si>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</si>
  <si>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</si>
  <si>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</si>
  <si>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</si>
  <si>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</si>
  <si>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</si>
  <si>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</si>
  <si>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</si>
  <si>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</si>
  <si>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</si>
  <si>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</si>
  <si>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</si>
  <si>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</si>
  <si>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</si>
  <si>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</si>
  <si>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</si>
  <si>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</si>
  <si>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</si>
  <si>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</si>
  <si>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</si>
  <si>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</si>
  <si>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</si>
  <si>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</si>
  <si>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</si>
  <si>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</si>
  <si>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</si>
  <si>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</si>
  <si>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</si>
  <si>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</si>
  <si>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</si>
  <si>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</si>
  <si>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</si>
  <si>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</si>
  <si>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</si>
  <si>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</si>
  <si>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</si>
  <si>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</si>
  <si>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</si>
  <si>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</si>
  <si>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</si>
  <si>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</si>
  <si>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</si>
  <si>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</si>
  <si>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</si>
  <si>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</si>
  <si>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</si>
  <si>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</si>
  <si>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</si>
  <si>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</si>
  <si>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</si>
  <si>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</si>
  <si>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</si>
  <si>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</si>
  <si>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</si>
  <si>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</si>
  <si>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</si>
  <si>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</si>
  <si>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</si>
  <si>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</si>
  <si>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</si>
  <si>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</si>
  <si>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</si>
  <si>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</si>
  <si>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</si>
  <si>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</si>
  <si>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</si>
  <si>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</si>
  <si>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</si>
  <si>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</si>
  <si>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</si>
  <si>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</si>
  <si>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</si>
  <si>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</si>
  <si>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</si>
  <si>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</si>
  <si>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</si>
  <si>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</si>
  <si>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</si>
  <si>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</si>
  <si>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</si>
  <si>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</si>
  <si>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</si>
  <si>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</si>
  <si>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</si>
  <si>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</si>
  <si>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</si>
  <si>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</si>
  <si>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</si>
  <si>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</si>
  <si>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</si>
  <si>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</si>
  <si>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</si>
  <si>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</si>
  <si>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</si>
  <si>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</si>
  <si>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</si>
  <si>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</si>
  <si>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</si>
  <si>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</si>
  <si>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</si>
  <si>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</si>
  <si>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</si>
  <si>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</si>
  <si>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</si>
  <si>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</si>
  <si>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</si>
  <si>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</si>
  <si>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</si>
  <si>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</si>
  <si>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</si>
  <si>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</si>
  <si>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</si>
  <si>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</si>
  <si>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</si>
  <si>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</si>
  <si>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</si>
  <si>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</si>
  <si>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</si>
  <si>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</si>
  <si>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</si>
  <si>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</si>
  <si>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</si>
  <si>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</si>
  <si>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</si>
  <si>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</si>
  <si>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</si>
  <si>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</si>
  <si>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</si>
  <si>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</si>
  <si>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</si>
  <si>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</si>
  <si>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</si>
  <si>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</si>
  <si>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</si>
  <si>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</si>
  <si>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</si>
  <si>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</si>
  <si>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</si>
  <si>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</si>
  <si>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</si>
  <si>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</si>
  <si>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</si>
  <si>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</si>
  <si>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</si>
  <si>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</si>
  <si>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</si>
  <si>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</si>
  <si>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</si>
  <si>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</si>
  <si>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</si>
  <si>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</si>
  <si>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</si>
  <si>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</si>
  <si>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</si>
  <si>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</si>
  <si>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</si>
  <si>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</si>
  <si>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</si>
  <si>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</si>
  <si>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</si>
  <si>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</si>
  <si>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</si>
  <si>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</si>
  <si>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</si>
  <si>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</si>
  <si>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</si>
  <si>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</si>
  <si>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</si>
  <si>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</si>
  <si>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</si>
  <si>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</si>
  <si>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</si>
  <si>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</si>
  <si>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</si>
  <si>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</si>
  <si>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</si>
  <si>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</si>
  <si>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</si>
  <si>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</si>
  <si>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</si>
  <si>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</si>
  <si>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</si>
  <si>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</si>
  <si>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</si>
  <si>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</si>
  <si>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</si>
  <si>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</si>
  <si>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</si>
  <si>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</si>
  <si>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</si>
  <si>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</si>
  <si>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</si>
  <si>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</si>
  <si>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</si>
  <si>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</si>
  <si>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</si>
  <si>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</si>
  <si>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</si>
  <si>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</si>
  <si>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</si>
  <si>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</si>
  <si>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</si>
  <si>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</si>
  <si>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</si>
  <si>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</si>
  <si>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</si>
  <si>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</si>
  <si>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</si>
  <si>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</si>
  <si>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</si>
  <si>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</si>
  <si>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</si>
  <si>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</si>
  <si>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</si>
  <si>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</si>
  <si>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</si>
  <si>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</si>
  <si>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</si>
  <si>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</si>
  <si>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</si>
  <si>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</si>
  <si>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</si>
  <si>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</si>
  <si>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</si>
  <si>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</si>
  <si>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</si>
  <si>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</si>
  <si>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</si>
  <si>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</si>
  <si>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</si>
  <si>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</si>
  <si>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</si>
  <si>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</si>
  <si>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</si>
  <si>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</si>
  <si>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</si>
  <si>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</si>
  <si>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</si>
  <si>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</si>
  <si>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</si>
  <si>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</si>
  <si>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</si>
  <si>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</si>
  <si>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</si>
  <si>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</si>
  <si>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</si>
  <si>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</si>
  <si>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</si>
  <si>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</si>
  <si>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</si>
  <si>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</si>
  <si>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</si>
  <si>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</si>
  <si>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</si>
  <si>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</si>
  <si>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</si>
  <si>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</si>
  <si>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</si>
  <si>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</si>
  <si>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</si>
  <si>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</si>
  <si>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</si>
  <si>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</si>
  <si>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</si>
  <si>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</si>
  <si>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</si>
  <si>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</si>
  <si>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</si>
  <si>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</si>
  <si>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</si>
  <si>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</si>
  <si>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</si>
  <si>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</si>
  <si>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</si>
  <si>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</si>
  <si>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</si>
  <si>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</si>
  <si>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</si>
  <si>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</si>
  <si>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</si>
  <si>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</si>
  <si>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</si>
  <si>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</si>
  <si>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</si>
  <si>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</si>
  <si>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</si>
  <si>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</si>
  <si>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</si>
  <si>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</si>
  <si>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</si>
  <si>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</si>
  <si>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</si>
  <si>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</si>
  <si>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</si>
  <si>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</si>
  <si>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</si>
  <si>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</si>
  <si>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</si>
  <si>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</si>
  <si>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</si>
  <si>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</si>
  <si>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</si>
  <si>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</si>
  <si>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</si>
  <si>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</si>
  <si>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</si>
  <si>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</si>
  <si>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</si>
  <si>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</si>
  <si>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</si>
  <si>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</si>
  <si>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</si>
  <si>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</si>
  <si>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</si>
  <si>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</si>
  <si>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</si>
  <si>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</si>
  <si>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</si>
  <si>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</si>
  <si>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</si>
  <si>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</si>
  <si>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</si>
  <si>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</si>
  <si>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</si>
  <si>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</si>
  <si>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</si>
  <si>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</si>
  <si>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</si>
  <si>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</si>
  <si>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</si>
  <si>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</si>
  <si>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</si>
  <si>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</si>
  <si>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</si>
  <si>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</si>
  <si>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</si>
  <si>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</si>
  <si>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</si>
  <si>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</si>
  <si>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</si>
  <si>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</si>
  <si>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</si>
  <si>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</si>
  <si>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</si>
  <si>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</si>
  <si>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</si>
  <si>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</si>
  <si>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</si>
  <si>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</si>
  <si>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</si>
  <si>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</si>
  <si>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</si>
  <si>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</si>
  <si>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</si>
  <si>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</si>
  <si>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</si>
  <si>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</si>
  <si>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</si>
  <si>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</si>
  <si>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</si>
  <si>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</si>
  <si>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</si>
  <si>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</si>
  <si>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</si>
  <si>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</si>
  <si>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</si>
  <si>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</si>
  <si>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</si>
  <si>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</si>
  <si>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</si>
  <si>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</si>
  <si>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</si>
  <si>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</si>
  <si>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</si>
  <si>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</si>
  <si>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</si>
  <si>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</si>
  <si>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</si>
  <si>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</si>
  <si>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</si>
  <si>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</si>
  <si>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</si>
  <si>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</si>
  <si>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</si>
  <si>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</si>
  <si>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</si>
  <si>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</si>
  <si>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</si>
  <si>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</si>
  <si>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</si>
  <si>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</si>
  <si>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</si>
  <si>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</si>
  <si>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</si>
  <si>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</si>
  <si>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</si>
  <si>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</si>
  <si>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</si>
  <si>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</si>
  <si>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</si>
  <si>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</si>
  <si>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</si>
  <si>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</si>
  <si>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</si>
  <si>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</si>
  <si>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</si>
  <si>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</si>
  <si>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</si>
  <si>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</si>
  <si>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</si>
  <si>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</si>
  <si>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</si>
  <si>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</si>
  <si>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</si>
  <si>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</si>
  <si>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</si>
  <si>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</si>
  <si>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</si>
  <si>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</si>
  <si>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</si>
  <si>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</si>
  <si>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</si>
  <si>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</si>
  <si>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</si>
  <si>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</si>
  <si>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</si>
  <si>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</si>
  <si>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</si>
  <si>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</si>
  <si>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</si>
  <si>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</si>
  <si>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</si>
  <si>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</si>
  <si>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</si>
  <si>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</si>
  <si>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</si>
  <si>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</si>
  <si>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</si>
  <si>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</si>
  <si>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</si>
  <si>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</si>
  <si>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</si>
  <si>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</si>
  <si>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</si>
  <si>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</si>
  <si>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</si>
  <si>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</si>
  <si>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</si>
  <si>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</si>
  <si>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</si>
  <si>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</si>
  <si>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</si>
  <si>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</si>
  <si>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</si>
  <si>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</si>
  <si>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</si>
  <si>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</si>
  <si>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</si>
  <si>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</si>
  <si>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</si>
  <si>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</si>
  <si>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</si>
  <si>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</si>
  <si>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</si>
  <si>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</si>
  <si>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</si>
  <si>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</si>
  <si>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</si>
  <si>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</si>
  <si>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</si>
  <si>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</si>
  <si>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</si>
  <si>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</si>
  <si>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</si>
  <si>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</si>
  <si>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</si>
  <si>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</si>
  <si>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</si>
  <si>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</si>
  <si>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</si>
  <si>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</si>
  <si>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</si>
  <si>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</si>
  <si>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</si>
  <si>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</si>
  <si>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</si>
  <si>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</si>
  <si>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</si>
  <si>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</si>
  <si>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</si>
  <si>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</si>
  <si>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</si>
  <si>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</si>
  <si>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</si>
  <si>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</si>
  <si>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</si>
  <si>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</si>
  <si>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</si>
  <si>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</si>
  <si>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</si>
  <si>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</si>
  <si>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</si>
  <si>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</si>
  <si>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</si>
  <si>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</si>
  <si>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</si>
  <si>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</si>
  <si>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</si>
  <si>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</si>
  <si>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</si>
  <si>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</si>
  <si>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</si>
  <si>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</si>
  <si>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</si>
  <si>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</si>
  <si>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</si>
  <si>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</si>
  <si>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</si>
  <si>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</si>
  <si>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</si>
  <si>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</si>
  <si>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</si>
  <si>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</si>
  <si>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</si>
  <si>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</si>
  <si>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</si>
  <si>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</si>
  <si>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</si>
  <si>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</si>
  <si>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</si>
  <si>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</si>
  <si>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</si>
  <si>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</si>
  <si>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</si>
  <si>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</si>
  <si>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</si>
  <si>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</si>
  <si>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</si>
  <si>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</si>
  <si>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</si>
  <si>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</si>
  <si>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</si>
  <si>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</si>
  <si>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</si>
  <si>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</si>
  <si>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</si>
  <si>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</si>
  <si>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</si>
  <si>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</si>
  <si>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</si>
  <si>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</si>
  <si>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</si>
  <si>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</si>
  <si>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</si>
  <si>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</si>
  <si>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</si>
  <si>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</si>
  <si>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</si>
  <si>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</si>
  <si>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</si>
  <si>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</si>
  <si>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</si>
  <si>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</si>
  <si>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</si>
  <si>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</si>
  <si>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</si>
  <si>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</si>
  <si>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</si>
  <si>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</si>
  <si>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</si>
  <si>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</si>
  <si>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</si>
  <si>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</si>
  <si>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</si>
  <si>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</si>
  <si>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</si>
  <si>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</si>
  <si>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</si>
  <si>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</si>
  <si>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</si>
  <si>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</si>
  <si>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</si>
  <si>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</si>
  <si>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</si>
  <si>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</si>
  <si>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</si>
  <si>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</si>
  <si>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</si>
  <si>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</si>
  <si>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</si>
  <si>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</si>
  <si>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</si>
  <si>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</si>
  <si>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</si>
  <si>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</si>
  <si>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</si>
  <si>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</si>
  <si>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</si>
  <si>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</si>
  <si>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</si>
  <si>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</si>
  <si>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</si>
  <si>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</si>
  <si>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</si>
  <si>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</si>
  <si>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</si>
  <si>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</si>
  <si>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</si>
  <si>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</si>
  <si>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</si>
  <si>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</si>
  <si>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</si>
  <si>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</si>
  <si>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</si>
  <si>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</si>
  <si>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</si>
  <si>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</si>
  <si>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</si>
  <si>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</si>
  <si>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</si>
  <si>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</si>
  <si>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</si>
  <si>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</si>
  <si>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</si>
  <si>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</si>
  <si>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</si>
  <si>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</si>
  <si>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</si>
  <si>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</si>
  <si>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</si>
  <si>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</si>
  <si>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</si>
  <si>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</si>
  <si>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</si>
  <si>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</si>
  <si>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</si>
  <si>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</si>
  <si>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</si>
  <si>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</si>
  <si>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</si>
  <si>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</si>
  <si>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</si>
  <si>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</si>
  <si>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</si>
  <si>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</si>
  <si>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</si>
  <si>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</si>
  <si>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</si>
  <si>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</si>
  <si>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</si>
  <si>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</si>
  <si>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</si>
  <si>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</si>
  <si>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</si>
  <si>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</si>
  <si>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</si>
  <si>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</si>
  <si>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</si>
  <si>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</si>
  <si>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</si>
  <si>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</si>
  <si>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</si>
  <si>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</si>
  <si>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</si>
  <si>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</si>
  <si>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</si>
  <si>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</si>
  <si>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</si>
  <si>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</si>
  <si>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</si>
  <si>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</si>
  <si>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</si>
  <si>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</si>
  <si>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</si>
  <si>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</si>
  <si>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</si>
  <si>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</si>
  <si>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</si>
  <si>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</si>
  <si>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</si>
  <si>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</si>
  <si>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</si>
  <si>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</si>
  <si>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</si>
  <si>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</si>
  <si>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</si>
  <si>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</si>
  <si>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</si>
  <si>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</si>
  <si>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</si>
  <si>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</si>
  <si>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</si>
  <si>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</si>
  <si>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</si>
  <si>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</si>
  <si>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</si>
  <si>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</si>
  <si>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23060</t>
  </si>
  <si>
    <t>OPWIJK</t>
  </si>
  <si>
    <t>Cultuurgrond (ha)</t>
  </si>
  <si>
    <t>Paarden&amp;pony's 200 - 600 kg</t>
  </si>
  <si>
    <t>Paarden&amp;pony's &lt; 200 kg</t>
  </si>
  <si>
    <t>op basis van VEA (maart 2018) en Inventaris Hernieuwbare Energiebronnen (juni 2018)</t>
  </si>
  <si>
    <t>VEA (juni 2018)</t>
  </si>
  <si>
    <t xml:space="preserve">Lissens Dirk </t>
  </si>
  <si>
    <t>Pluimhofweg 28, 1745 Opwijk</t>
  </si>
  <si>
    <t>WKK-0051 Lissens Opwijk</t>
  </si>
  <si>
    <t>interne verbrandingsmotor</t>
  </si>
  <si>
    <t>WKK interne verbrandinsgmotor (vloeibaar)</t>
  </si>
  <si>
    <t>eilandwerking</t>
  </si>
  <si>
    <t>Rozenkwekerij Van Biesen</t>
  </si>
  <si>
    <t>Steenweg op Lebbeke 115 , 1745 Opwijk</t>
  </si>
  <si>
    <t>WKK-0311 Rozenkwekerij Van Biesen</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</si>
</sst>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108171.43620332846</c:v>
                </c:pt>
                <c:pt idx="1">
                  <c:v>21520.074334870551</c:v>
                </c:pt>
                <c:pt idx="2">
                  <c:v>964.62099999999998</c:v>
                </c:pt>
                <c:pt idx="3">
                  <c:v>8326.721087307893</c:v>
                </c:pt>
                <c:pt idx="4">
                  <c:v>16536.48285397666</c:v>
                </c:pt>
                <c:pt idx="5">
                  <c:v>60916.437267519359</c:v>
                </c:pt>
                <c:pt idx="6">
                  <c:v>651.09234540673083</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403072"/>
        <c:axId val="182404608"/>
      </c:barChart>
      <c:catAx>
        <c:axId val="182403072"/>
        <c:scaling>
          <c:orientation val="minMax"/>
        </c:scaling>
        <c:axPos val="b"/>
        <c:numFmt formatCode="General" sourceLinked="0"/>
        <c:tickLblPos val="nextTo"/>
        <c:crossAx val="182404608"/>
        <c:crosses val="autoZero"/>
        <c:auto val="1"/>
        <c:lblAlgn val="ctr"/>
        <c:lblOffset val="100"/>
      </c:catAx>
      <c:valAx>
        <c:axId val="182404608"/>
        <c:scaling>
          <c:orientation val="minMax"/>
        </c:scaling>
        <c:axPos val="l"/>
        <c:majorGridlines/>
        <c:numFmt formatCode="#,##0" sourceLinked="1"/>
        <c:tickLblPos val="nextTo"/>
        <c:crossAx val="1824030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108171.43620332846</c:v>
                </c:pt>
                <c:pt idx="1">
                  <c:v>21520.074334870551</c:v>
                </c:pt>
                <c:pt idx="2">
                  <c:v>964.62099999999998</c:v>
                </c:pt>
                <c:pt idx="3">
                  <c:v>8326.721087307893</c:v>
                </c:pt>
                <c:pt idx="4">
                  <c:v>16536.48285397666</c:v>
                </c:pt>
                <c:pt idx="5">
                  <c:v>60916.437267519359</c:v>
                </c:pt>
                <c:pt idx="6">
                  <c:v>651.09234540673083</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20390.869427863028</c:v>
                </c:pt>
                <c:pt idx="1">
                  <c:v>4228.0658443143375</c:v>
                </c:pt>
                <c:pt idx="2">
                  <c:v>183.48753026389971</c:v>
                </c:pt>
                <c:pt idx="3">
                  <c:v>1125.9226582117722</c:v>
                </c:pt>
                <c:pt idx="4">
                  <c:v>3155.4657029088853</c:v>
                </c:pt>
                <c:pt idx="5">
                  <c:v>15394.922717519192</c:v>
                </c:pt>
                <c:pt idx="6">
                  <c:v>166.43967670307993</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504064"/>
        <c:axId val="182514048"/>
      </c:barChart>
      <c:catAx>
        <c:axId val="182504064"/>
        <c:scaling>
          <c:orientation val="minMax"/>
        </c:scaling>
        <c:axPos val="b"/>
        <c:numFmt formatCode="General" sourceLinked="0"/>
        <c:tickLblPos val="nextTo"/>
        <c:crossAx val="182514048"/>
        <c:crosses val="autoZero"/>
        <c:auto val="1"/>
        <c:lblAlgn val="ctr"/>
        <c:lblOffset val="100"/>
      </c:catAx>
      <c:valAx>
        <c:axId val="182514048"/>
        <c:scaling>
          <c:orientation val="minMax"/>
        </c:scaling>
        <c:axPos val="l"/>
        <c:majorGridlines/>
        <c:numFmt formatCode="#,##0" sourceLinked="1"/>
        <c:tickLblPos val="nextTo"/>
        <c:crossAx val="18250406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20390.869427863028</c:v>
                </c:pt>
                <c:pt idx="1">
                  <c:v>4228.0658443143375</c:v>
                </c:pt>
                <c:pt idx="2">
                  <c:v>183.48753026389971</c:v>
                </c:pt>
                <c:pt idx="3">
                  <c:v>1125.9226582117722</c:v>
                </c:pt>
                <c:pt idx="4">
                  <c:v>3155.4657029088853</c:v>
                </c:pt>
                <c:pt idx="5">
                  <c:v>15394.922717519192</c:v>
                </c:pt>
                <c:pt idx="6">
                  <c:v>166.43967670307993</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23060</v>
      </c>
      <c r="B6" s="398"/>
      <c r="C6" s="399"/>
    </row>
    <row r="7" spans="1:7" s="396" customFormat="1" ht="15.75" customHeight="1">
      <c r="A7" s="400" t="str">
        <f>txtMunicipality</f>
        <v>OPWIJK</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23060</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5682</v>
      </c>
      <c r="C9" s="338">
        <v>5749</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956</v>
      </c>
    </row>
    <row r="15" spans="1:6">
      <c r="A15" s="1212" t="s">
        <v>184</v>
      </c>
      <c r="B15" s="335">
        <v>9</v>
      </c>
    </row>
    <row r="16" spans="1:6">
      <c r="A16" s="1212" t="s">
        <v>6</v>
      </c>
      <c r="B16" s="335">
        <v>253</v>
      </c>
    </row>
    <row r="17" spans="1:6">
      <c r="A17" s="1212" t="s">
        <v>7</v>
      </c>
      <c r="B17" s="335">
        <v>221</v>
      </c>
    </row>
    <row r="18" spans="1:6">
      <c r="A18" s="1212" t="s">
        <v>8</v>
      </c>
      <c r="B18" s="335">
        <v>326</v>
      </c>
    </row>
    <row r="19" spans="1:6">
      <c r="A19" s="1212" t="s">
        <v>9</v>
      </c>
      <c r="B19" s="335">
        <v>325</v>
      </c>
    </row>
    <row r="20" spans="1:6">
      <c r="A20" s="1212" t="s">
        <v>10</v>
      </c>
      <c r="B20" s="335">
        <v>263</v>
      </c>
    </row>
    <row r="21" spans="1:6">
      <c r="A21" s="1212" t="s">
        <v>11</v>
      </c>
      <c r="B21" s="335">
        <v>0</v>
      </c>
    </row>
    <row r="22" spans="1:6">
      <c r="A22" s="1212" t="s">
        <v>12</v>
      </c>
      <c r="B22" s="335">
        <v>0</v>
      </c>
    </row>
    <row r="23" spans="1:6">
      <c r="A23" s="1212" t="s">
        <v>13</v>
      </c>
      <c r="B23" s="335">
        <v>0</v>
      </c>
    </row>
    <row r="24" spans="1:6">
      <c r="A24" s="1212" t="s">
        <v>14</v>
      </c>
      <c r="B24" s="335">
        <v>0</v>
      </c>
    </row>
    <row r="25" spans="1:6">
      <c r="A25" s="1212" t="s">
        <v>15</v>
      </c>
      <c r="B25" s="335">
        <v>0</v>
      </c>
    </row>
    <row r="26" spans="1:6">
      <c r="A26" s="1212" t="s">
        <v>16</v>
      </c>
      <c r="B26" s="335">
        <v>267</v>
      </c>
    </row>
    <row r="27" spans="1:6">
      <c r="A27" s="1212" t="s">
        <v>17</v>
      </c>
      <c r="B27" s="335">
        <v>0</v>
      </c>
    </row>
    <row r="28" spans="1:6" s="341" customFormat="1">
      <c r="A28" s="1213" t="s">
        <v>18</v>
      </c>
      <c r="B28" s="1213">
        <v>0</v>
      </c>
    </row>
    <row r="29" spans="1:6">
      <c r="A29" s="1213" t="s">
        <v>836</v>
      </c>
      <c r="B29" s="1213">
        <v>43</v>
      </c>
      <c r="C29" s="341"/>
      <c r="D29" s="341"/>
      <c r="E29" s="341"/>
      <c r="F29" s="341"/>
    </row>
    <row r="30" spans="1:6">
      <c r="A30" s="1208" t="s">
        <v>837</v>
      </c>
      <c r="B30" s="1208">
        <v>16</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3</v>
      </c>
      <c r="D36" s="335">
        <v>14889.649400714399</v>
      </c>
      <c r="E36" s="335">
        <v>0</v>
      </c>
      <c r="F36" s="335">
        <v>0</v>
      </c>
    </row>
    <row r="37" spans="1:6">
      <c r="A37" s="1212" t="s">
        <v>25</v>
      </c>
      <c r="B37" s="1212" t="s">
        <v>28</v>
      </c>
      <c r="C37" s="335">
        <v>0</v>
      </c>
      <c r="D37" s="335">
        <v>0</v>
      </c>
      <c r="E37" s="335">
        <v>0</v>
      </c>
      <c r="F37" s="335">
        <v>0</v>
      </c>
    </row>
    <row r="38" spans="1:6">
      <c r="A38" s="1212" t="s">
        <v>25</v>
      </c>
      <c r="B38" s="1212" t="s">
        <v>29</v>
      </c>
      <c r="C38" s="335">
        <v>0</v>
      </c>
      <c r="D38" s="335">
        <v>0</v>
      </c>
      <c r="E38" s="335">
        <v>2</v>
      </c>
      <c r="F38" s="335">
        <v>5424.1720363499999</v>
      </c>
    </row>
    <row r="39" spans="1:6">
      <c r="A39" s="1212" t="s">
        <v>30</v>
      </c>
      <c r="B39" s="1212" t="s">
        <v>31</v>
      </c>
      <c r="C39" s="335">
        <v>3021</v>
      </c>
      <c r="D39" s="335">
        <v>53013854.168490902</v>
      </c>
      <c r="E39" s="335">
        <v>5616</v>
      </c>
      <c r="F39" s="335">
        <v>25362417.2958447</v>
      </c>
    </row>
    <row r="40" spans="1:6">
      <c r="A40" s="1212" t="s">
        <v>30</v>
      </c>
      <c r="B40" s="1212" t="s">
        <v>29</v>
      </c>
      <c r="C40" s="335">
        <v>0</v>
      </c>
      <c r="D40" s="335">
        <v>0</v>
      </c>
      <c r="E40" s="335">
        <v>0</v>
      </c>
      <c r="F40" s="335">
        <v>0</v>
      </c>
    </row>
    <row r="41" spans="1:6">
      <c r="A41" s="1212" t="s">
        <v>32</v>
      </c>
      <c r="B41" s="1212" t="s">
        <v>33</v>
      </c>
      <c r="C41" s="335">
        <v>30</v>
      </c>
      <c r="D41" s="335">
        <v>702577.17466434499</v>
      </c>
      <c r="E41" s="335">
        <v>148</v>
      </c>
      <c r="F41" s="335">
        <v>1707911.2934774701</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3</v>
      </c>
      <c r="D44" s="335">
        <v>191137.33969359999</v>
      </c>
      <c r="E44" s="335">
        <v>6</v>
      </c>
      <c r="F44" s="335">
        <v>61100.170655907801</v>
      </c>
    </row>
    <row r="45" spans="1:6">
      <c r="A45" s="1212" t="s">
        <v>32</v>
      </c>
      <c r="B45" s="1212" t="s">
        <v>37</v>
      </c>
      <c r="C45" s="335">
        <v>0</v>
      </c>
      <c r="D45" s="335">
        <v>0</v>
      </c>
      <c r="E45" s="335">
        <v>3</v>
      </c>
      <c r="F45" s="335">
        <v>22210.047193499999</v>
      </c>
    </row>
    <row r="46" spans="1:6">
      <c r="A46" s="1212" t="s">
        <v>32</v>
      </c>
      <c r="B46" s="1212" t="s">
        <v>38</v>
      </c>
      <c r="C46" s="335">
        <v>0</v>
      </c>
      <c r="D46" s="335">
        <v>0</v>
      </c>
      <c r="E46" s="335">
        <v>0</v>
      </c>
      <c r="F46" s="335">
        <v>0</v>
      </c>
    </row>
    <row r="47" spans="1:6">
      <c r="A47" s="1212" t="s">
        <v>32</v>
      </c>
      <c r="B47" s="1212" t="s">
        <v>39</v>
      </c>
      <c r="C47" s="335">
        <v>0</v>
      </c>
      <c r="D47" s="335">
        <v>0</v>
      </c>
      <c r="E47" s="335">
        <v>0</v>
      </c>
      <c r="F47" s="335">
        <v>0</v>
      </c>
    </row>
    <row r="48" spans="1:6">
      <c r="A48" s="1212" t="s">
        <v>32</v>
      </c>
      <c r="B48" s="1212" t="s">
        <v>29</v>
      </c>
      <c r="C48" s="335">
        <v>20</v>
      </c>
      <c r="D48" s="335">
        <v>5174837.3992245505</v>
      </c>
      <c r="E48" s="335">
        <v>34</v>
      </c>
      <c r="F48" s="335">
        <v>4234793.0224861903</v>
      </c>
    </row>
    <row r="49" spans="1:6">
      <c r="A49" s="1212" t="s">
        <v>32</v>
      </c>
      <c r="B49" s="1212" t="s">
        <v>40</v>
      </c>
      <c r="C49" s="335">
        <v>0</v>
      </c>
      <c r="D49" s="335">
        <v>0</v>
      </c>
      <c r="E49" s="335">
        <v>0</v>
      </c>
      <c r="F49" s="335">
        <v>0</v>
      </c>
    </row>
    <row r="50" spans="1:6">
      <c r="A50" s="1212" t="s">
        <v>32</v>
      </c>
      <c r="B50" s="1212" t="s">
        <v>41</v>
      </c>
      <c r="C50" s="335">
        <v>0</v>
      </c>
      <c r="D50" s="335">
        <v>0</v>
      </c>
      <c r="E50" s="335">
        <v>8</v>
      </c>
      <c r="F50" s="335">
        <v>271286.426441285</v>
      </c>
    </row>
    <row r="51" spans="1:6">
      <c r="A51" s="1212" t="s">
        <v>42</v>
      </c>
      <c r="B51" s="1212" t="s">
        <v>43</v>
      </c>
      <c r="C51" s="335">
        <v>3</v>
      </c>
      <c r="D51" s="335">
        <v>43385.087353131203</v>
      </c>
      <c r="E51" s="335">
        <v>41</v>
      </c>
      <c r="F51" s="335">
        <v>987005.07688019297</v>
      </c>
    </row>
    <row r="52" spans="1:6">
      <c r="A52" s="1212" t="s">
        <v>42</v>
      </c>
      <c r="B52" s="1212" t="s">
        <v>29</v>
      </c>
      <c r="C52" s="335">
        <v>0</v>
      </c>
      <c r="D52" s="335">
        <v>0</v>
      </c>
      <c r="E52" s="335">
        <v>6</v>
      </c>
      <c r="F52" s="335">
        <v>129520.29561205499</v>
      </c>
    </row>
    <row r="53" spans="1:6">
      <c r="A53" s="1212" t="s">
        <v>44</v>
      </c>
      <c r="B53" s="1212" t="s">
        <v>45</v>
      </c>
      <c r="C53" s="335">
        <v>59</v>
      </c>
      <c r="D53" s="335">
        <v>948212.57508318801</v>
      </c>
      <c r="E53" s="335">
        <v>152</v>
      </c>
      <c r="F53" s="335">
        <v>646482.76228942804</v>
      </c>
    </row>
    <row r="54" spans="1:6">
      <c r="A54" s="1212" t="s">
        <v>46</v>
      </c>
      <c r="B54" s="1212" t="s">
        <v>47</v>
      </c>
      <c r="C54" s="335">
        <v>0</v>
      </c>
      <c r="D54" s="335">
        <v>0</v>
      </c>
      <c r="E54" s="335">
        <v>1</v>
      </c>
      <c r="F54" s="335">
        <v>964621</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23</v>
      </c>
      <c r="D57" s="335">
        <v>629966.25855777797</v>
      </c>
      <c r="E57" s="335">
        <v>50</v>
      </c>
      <c r="F57" s="335">
        <v>625707.50557254697</v>
      </c>
    </row>
    <row r="58" spans="1:6">
      <c r="A58" s="1212" t="s">
        <v>49</v>
      </c>
      <c r="B58" s="1212" t="s">
        <v>51</v>
      </c>
      <c r="C58" s="335">
        <v>6</v>
      </c>
      <c r="D58" s="335">
        <v>154949.772963942</v>
      </c>
      <c r="E58" s="335">
        <v>12</v>
      </c>
      <c r="F58" s="335">
        <v>103590.138441433</v>
      </c>
    </row>
    <row r="59" spans="1:6">
      <c r="A59" s="1212" t="s">
        <v>49</v>
      </c>
      <c r="B59" s="1212" t="s">
        <v>52</v>
      </c>
      <c r="C59" s="335">
        <v>32</v>
      </c>
      <c r="D59" s="335">
        <v>1258638.6960012501</v>
      </c>
      <c r="E59" s="335">
        <v>134</v>
      </c>
      <c r="F59" s="335">
        <v>3043912.0170657099</v>
      </c>
    </row>
    <row r="60" spans="1:6">
      <c r="A60" s="1212" t="s">
        <v>49</v>
      </c>
      <c r="B60" s="1212" t="s">
        <v>53</v>
      </c>
      <c r="C60" s="335">
        <v>25</v>
      </c>
      <c r="D60" s="335">
        <v>1210847.9330253301</v>
      </c>
      <c r="E60" s="335">
        <v>35</v>
      </c>
      <c r="F60" s="335">
        <v>745130.84304479905</v>
      </c>
    </row>
    <row r="61" spans="1:6">
      <c r="A61" s="1212" t="s">
        <v>49</v>
      </c>
      <c r="B61" s="1212" t="s">
        <v>54</v>
      </c>
      <c r="C61" s="335">
        <v>67</v>
      </c>
      <c r="D61" s="335">
        <v>4200025.1752364999</v>
      </c>
      <c r="E61" s="335">
        <v>183</v>
      </c>
      <c r="F61" s="335">
        <v>1831780.5790387101</v>
      </c>
    </row>
    <row r="62" spans="1:6">
      <c r="A62" s="1212" t="s">
        <v>49</v>
      </c>
      <c r="B62" s="1212" t="s">
        <v>55</v>
      </c>
      <c r="C62" s="335">
        <v>3</v>
      </c>
      <c r="D62" s="335">
        <v>785078.04797955696</v>
      </c>
      <c r="E62" s="335">
        <v>8</v>
      </c>
      <c r="F62" s="335">
        <v>98044.550345022697</v>
      </c>
    </row>
    <row r="63" spans="1:6">
      <c r="A63" s="1212" t="s">
        <v>49</v>
      </c>
      <c r="B63" s="1212" t="s">
        <v>29</v>
      </c>
      <c r="C63" s="335">
        <v>74</v>
      </c>
      <c r="D63" s="335">
        <v>3233423.4899973301</v>
      </c>
      <c r="E63" s="335">
        <v>91</v>
      </c>
      <c r="F63" s="335">
        <v>2248028.6632266599</v>
      </c>
    </row>
    <row r="64" spans="1:6">
      <c r="A64" s="1212" t="s">
        <v>56</v>
      </c>
      <c r="B64" s="1212" t="s">
        <v>57</v>
      </c>
      <c r="C64" s="335">
        <v>0</v>
      </c>
      <c r="D64" s="335">
        <v>0</v>
      </c>
      <c r="E64" s="335">
        <v>0</v>
      </c>
      <c r="F64" s="335">
        <v>0</v>
      </c>
    </row>
    <row r="65" spans="1:6">
      <c r="A65" s="1212" t="s">
        <v>56</v>
      </c>
      <c r="B65" s="1212" t="s">
        <v>29</v>
      </c>
      <c r="C65" s="335">
        <v>2</v>
      </c>
      <c r="D65" s="335">
        <v>44448.474157112199</v>
      </c>
      <c r="E65" s="335">
        <v>4</v>
      </c>
      <c r="F65" s="335">
        <v>22888.901173492901</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11</v>
      </c>
      <c r="F68" s="335">
        <v>43920.604142411001</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42240337</v>
      </c>
      <c r="E73" s="335">
        <v>44588315.004418194</v>
      </c>
    </row>
    <row r="74" spans="1:6">
      <c r="A74" s="1212" t="s">
        <v>64</v>
      </c>
      <c r="B74" s="1212" t="s">
        <v>727</v>
      </c>
      <c r="C74" s="1212" t="s">
        <v>728</v>
      </c>
      <c r="D74" s="335">
        <v>4104411.5832710736</v>
      </c>
      <c r="E74" s="335">
        <v>4024074.577591043</v>
      </c>
    </row>
    <row r="75" spans="1:6">
      <c r="A75" s="1212" t="s">
        <v>65</v>
      </c>
      <c r="B75" s="1212" t="s">
        <v>725</v>
      </c>
      <c r="C75" s="1212" t="s">
        <v>729</v>
      </c>
      <c r="D75" s="335">
        <v>21485549</v>
      </c>
      <c r="E75" s="335">
        <v>22784238.097326703</v>
      </c>
    </row>
    <row r="76" spans="1:6">
      <c r="A76" s="1212" t="s">
        <v>65</v>
      </c>
      <c r="B76" s="1212" t="s">
        <v>727</v>
      </c>
      <c r="C76" s="1212" t="s">
        <v>730</v>
      </c>
      <c r="D76" s="335">
        <v>1528192.5832710736</v>
      </c>
      <c r="E76" s="335">
        <v>1497198.255861629</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172010.83345785277</v>
      </c>
      <c r="C83" s="335">
        <v>170504.13596872645</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2796.9051689563917</v>
      </c>
    </row>
    <row r="92" spans="1:6">
      <c r="A92" s="1208" t="s">
        <v>69</v>
      </c>
      <c r="B92" s="338">
        <v>562.55518127552159</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991</v>
      </c>
    </row>
    <row r="98" spans="1:6">
      <c r="A98" s="1212" t="s">
        <v>72</v>
      </c>
      <c r="B98" s="335">
        <v>4</v>
      </c>
    </row>
    <row r="99" spans="1:6">
      <c r="A99" s="1212" t="s">
        <v>73</v>
      </c>
      <c r="B99" s="335">
        <v>32</v>
      </c>
    </row>
    <row r="100" spans="1:6">
      <c r="A100" s="1212" t="s">
        <v>74</v>
      </c>
      <c r="B100" s="335">
        <v>641</v>
      </c>
    </row>
    <row r="101" spans="1:6">
      <c r="A101" s="1212" t="s">
        <v>75</v>
      </c>
      <c r="B101" s="335">
        <v>54</v>
      </c>
    </row>
    <row r="102" spans="1:6">
      <c r="A102" s="1212" t="s">
        <v>76</v>
      </c>
      <c r="B102" s="335">
        <v>59</v>
      </c>
    </row>
    <row r="103" spans="1:6">
      <c r="A103" s="1212" t="s">
        <v>77</v>
      </c>
      <c r="B103" s="335">
        <v>73</v>
      </c>
    </row>
    <row r="104" spans="1:6">
      <c r="A104" s="1212" t="s">
        <v>78</v>
      </c>
      <c r="B104" s="335">
        <v>2565</v>
      </c>
    </row>
    <row r="105" spans="1:6">
      <c r="A105" s="1208" t="s">
        <v>79</v>
      </c>
      <c r="B105" s="1208">
        <v>6</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18</v>
      </c>
      <c r="C123" s="335">
        <v>18</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72</v>
      </c>
    </row>
    <row r="130" spans="1:6">
      <c r="A130" s="1212" t="s">
        <v>295</v>
      </c>
      <c r="B130" s="335">
        <v>1</v>
      </c>
    </row>
    <row r="131" spans="1:6">
      <c r="A131" s="1212" t="s">
        <v>296</v>
      </c>
      <c r="B131" s="335">
        <v>1</v>
      </c>
    </row>
    <row r="132" spans="1:6">
      <c r="A132" s="1208" t="s">
        <v>297</v>
      </c>
      <c r="B132" s="338">
        <v>20</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45237.443779120113</v>
      </c>
      <c r="C3" s="43" t="s">
        <v>170</v>
      </c>
      <c r="D3" s="43"/>
      <c r="E3" s="156"/>
      <c r="F3" s="43"/>
      <c r="G3" s="43"/>
      <c r="H3" s="43"/>
      <c r="I3" s="43"/>
      <c r="J3" s="43"/>
      <c r="K3" s="96"/>
    </row>
    <row r="4" spans="1:11">
      <c r="A4" s="366" t="s">
        <v>171</v>
      </c>
      <c r="B4" s="49">
        <f>IF(ISERROR('SEAP template'!B69),0,'SEAP template'!B69)</f>
        <v>7922.4603502319133</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358.32970588235293</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0.19021722548430908</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403.12091911764708</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5133.375</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7.8529411764705889E-2</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964.62099999999998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964.62099999999998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0.19021722548430908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183.48753026389971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25362.417295844702</v>
      </c>
      <c r="C5" s="17">
        <f>IF(ISERROR('Eigen informatie GS &amp; warmtenet'!B57),0,'Eigen informatie GS &amp; warmtenet'!B57)</f>
        <v>0</v>
      </c>
      <c r="D5" s="30">
        <f>(SUM(HH_hh_gas_kWh,HH_rest_gas_kWh)/1000)*0.902</f>
        <v>47818.496459978793</v>
      </c>
      <c r="E5" s="17">
        <f>B46*B57</f>
        <v>1728.9274502887295</v>
      </c>
      <c r="F5" s="17">
        <f>B51*B62</f>
        <v>18661.716932431958</v>
      </c>
      <c r="G5" s="18"/>
      <c r="H5" s="17"/>
      <c r="I5" s="17"/>
      <c r="J5" s="17">
        <f>B50*B61+C50*C61</f>
        <v>0</v>
      </c>
      <c r="K5" s="17"/>
      <c r="L5" s="17"/>
      <c r="M5" s="17"/>
      <c r="N5" s="17">
        <f>B48*B59+C48*C59</f>
        <v>10937.739562494547</v>
      </c>
      <c r="O5" s="17">
        <f>B69*B70*B71</f>
        <v>140.70000000000002</v>
      </c>
      <c r="P5" s="17">
        <f>B77*B78*B79/1000-B77*B78*B79/1000/B80</f>
        <v>724.5333333333333</v>
      </c>
    </row>
    <row r="6" spans="1:16">
      <c r="A6" s="16" t="s">
        <v>634</v>
      </c>
      <c r="B6" s="831">
        <f>kWh_PV_kleiner_dan_10kW</f>
        <v>2796.9051689563917</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28159.322464801095</v>
      </c>
      <c r="C8" s="21">
        <f>C5</f>
        <v>0</v>
      </c>
      <c r="D8" s="21">
        <f>D5</f>
        <v>47818.496459978793</v>
      </c>
      <c r="E8" s="21">
        <f>E5</f>
        <v>1728.9274502887295</v>
      </c>
      <c r="F8" s="21">
        <f>F5</f>
        <v>18661.716932431958</v>
      </c>
      <c r="G8" s="21"/>
      <c r="H8" s="21"/>
      <c r="I8" s="21"/>
      <c r="J8" s="21">
        <f>J5</f>
        <v>0</v>
      </c>
      <c r="K8" s="21"/>
      <c r="L8" s="21">
        <f>L5</f>
        <v>0</v>
      </c>
      <c r="M8" s="21">
        <f>M5</f>
        <v>0</v>
      </c>
      <c r="N8" s="21">
        <f>N5</f>
        <v>10937.739562494547</v>
      </c>
      <c r="O8" s="21">
        <f>O5</f>
        <v>140.70000000000002</v>
      </c>
      <c r="P8" s="21">
        <f>P5</f>
        <v>724.5333333333333</v>
      </c>
    </row>
    <row r="9" spans="1:16">
      <c r="B9" s="19"/>
      <c r="C9" s="19"/>
      <c r="D9" s="261"/>
      <c r="E9" s="19"/>
      <c r="F9" s="19"/>
      <c r="G9" s="19"/>
      <c r="H9" s="19"/>
      <c r="I9" s="19"/>
      <c r="J9" s="19"/>
      <c r="K9" s="19"/>
      <c r="L9" s="19"/>
      <c r="M9" s="19"/>
      <c r="N9" s="19"/>
      <c r="O9" s="19"/>
      <c r="P9" s="19"/>
    </row>
    <row r="10" spans="1:16">
      <c r="A10" s="24" t="s">
        <v>214</v>
      </c>
      <c r="B10" s="25">
        <f ca="1">'EF ele_warmte'!B12</f>
        <v>0.19021722548430908</v>
      </c>
      <c r="C10" s="25">
        <f ca="1">'EF ele_warmte'!B22</f>
        <v>7.8529411764705889E-2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5356.3881907724399</v>
      </c>
      <c r="C12" s="23">
        <f ca="1">C10*C8</f>
        <v>0</v>
      </c>
      <c r="D12" s="23">
        <f>D8*D10</f>
        <v>9659.3362849157165</v>
      </c>
      <c r="E12" s="23">
        <f>E10*E8</f>
        <v>392.46653121554158</v>
      </c>
      <c r="F12" s="23">
        <f>F10*F8</f>
        <v>4982.6784209593334</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991</v>
      </c>
      <c r="C18" s="168" t="s">
        <v>111</v>
      </c>
      <c r="D18" s="230"/>
      <c r="E18" s="15"/>
    </row>
    <row r="19" spans="1:7">
      <c r="A19" s="173" t="s">
        <v>72</v>
      </c>
      <c r="B19" s="37">
        <f>aantalw2001_ander</f>
        <v>4</v>
      </c>
      <c r="C19" s="168" t="s">
        <v>111</v>
      </c>
      <c r="D19" s="231"/>
      <c r="E19" s="15"/>
    </row>
    <row r="20" spans="1:7">
      <c r="A20" s="173" t="s">
        <v>73</v>
      </c>
      <c r="B20" s="37">
        <f>aantalw2001_propaan</f>
        <v>32</v>
      </c>
      <c r="C20" s="169">
        <f>IF(ISERROR(B20/SUM($B$20,$B$21,$B$22)*100),0,B20/SUM($B$20,$B$21,$B$22)*100)</f>
        <v>4.4016506189821181</v>
      </c>
      <c r="D20" s="231"/>
      <c r="E20" s="15"/>
    </row>
    <row r="21" spans="1:7">
      <c r="A21" s="173" t="s">
        <v>74</v>
      </c>
      <c r="B21" s="37">
        <f>aantalw2001_elektriciteit</f>
        <v>641</v>
      </c>
      <c r="C21" s="169">
        <f>IF(ISERROR(B21/SUM($B$20,$B$21,$B$22)*100),0,B21/SUM($B$20,$B$21,$B$22)*100)</f>
        <v>88.170563961485556</v>
      </c>
      <c r="D21" s="231"/>
      <c r="E21" s="15"/>
    </row>
    <row r="22" spans="1:7">
      <c r="A22" s="173" t="s">
        <v>75</v>
      </c>
      <c r="B22" s="37">
        <f>aantalw2001_hout</f>
        <v>54</v>
      </c>
      <c r="C22" s="169">
        <f>IF(ISERROR(B22/SUM($B$20,$B$21,$B$22)*100),0,B22/SUM($B$20,$B$21,$B$22)*100)</f>
        <v>7.4277854195323245</v>
      </c>
      <c r="D22" s="231"/>
      <c r="E22" s="15"/>
    </row>
    <row r="23" spans="1:7">
      <c r="A23" s="173" t="s">
        <v>76</v>
      </c>
      <c r="B23" s="37">
        <f>aantalw2001_niet_gespec</f>
        <v>59</v>
      </c>
      <c r="C23" s="168" t="s">
        <v>111</v>
      </c>
      <c r="D23" s="230"/>
      <c r="E23" s="15"/>
    </row>
    <row r="24" spans="1:7">
      <c r="A24" s="173" t="s">
        <v>77</v>
      </c>
      <c r="B24" s="37">
        <f>aantalw2001_steenkool</f>
        <v>73</v>
      </c>
      <c r="C24" s="168" t="s">
        <v>111</v>
      </c>
      <c r="D24" s="231"/>
      <c r="E24" s="15"/>
    </row>
    <row r="25" spans="1:7">
      <c r="A25" s="173" t="s">
        <v>78</v>
      </c>
      <c r="B25" s="37">
        <f>aantalw2001_stookolie</f>
        <v>2565</v>
      </c>
      <c r="C25" s="168" t="s">
        <v>111</v>
      </c>
      <c r="D25" s="230"/>
      <c r="E25" s="52"/>
    </row>
    <row r="26" spans="1:7">
      <c r="A26" s="173" t="s">
        <v>79</v>
      </c>
      <c r="B26" s="37">
        <f>aantalw2001_WP</f>
        <v>6</v>
      </c>
      <c r="C26" s="168" t="s">
        <v>111</v>
      </c>
      <c r="D26" s="230"/>
      <c r="E26" s="15"/>
    </row>
    <row r="27" spans="1:7" s="15" customFormat="1">
      <c r="A27" s="173"/>
      <c r="B27" s="29"/>
      <c r="C27" s="36"/>
      <c r="D27" s="230"/>
    </row>
    <row r="28" spans="1:7" s="15" customFormat="1">
      <c r="A28" s="232" t="s">
        <v>745</v>
      </c>
      <c r="B28" s="37">
        <f>aantalHuishoudens2011</f>
        <v>5682</v>
      </c>
      <c r="C28" s="36"/>
      <c r="D28" s="230"/>
    </row>
    <row r="29" spans="1:7" s="15" customFormat="1">
      <c r="A29" s="232" t="s">
        <v>746</v>
      </c>
      <c r="B29" s="37">
        <f>SUM(HH_hh_gas_aantal,HH_rest_gas_aantal)</f>
        <v>3021</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3021</v>
      </c>
      <c r="C32" s="169">
        <f>IF(ISERROR(B32/SUM($B$32,$B$34,$B$35,$B$36,$B$38,$B$39)*100),0,B32/SUM($B$32,$B$34,$B$35,$B$36,$B$38,$B$39)*100)</f>
        <v>53.525868178596738</v>
      </c>
      <c r="D32" s="235"/>
      <c r="G32" s="15"/>
    </row>
    <row r="33" spans="1:7">
      <c r="A33" s="173" t="s">
        <v>72</v>
      </c>
      <c r="B33" s="34" t="s">
        <v>111</v>
      </c>
      <c r="C33" s="169"/>
      <c r="D33" s="235"/>
      <c r="G33" s="15"/>
    </row>
    <row r="34" spans="1:7">
      <c r="A34" s="173" t="s">
        <v>73</v>
      </c>
      <c r="B34" s="33">
        <f>IF((($B$28-$B$32-$B$39-$B$77-$B$38)*C20/100)&lt;0,0,($B$28-$B$32-$B$39-$B$77-$B$38)*C20/100)</f>
        <v>82.971114167812914</v>
      </c>
      <c r="C34" s="169">
        <f>IF(ISERROR(B34/SUM($B$32,$B$34,$B$35,$B$36,$B$38,$B$39)*100),0,B34/SUM($B$32,$B$34,$B$35,$B$36,$B$38,$B$39)*100)</f>
        <v>1.4700764381256715</v>
      </c>
      <c r="D34" s="235"/>
      <c r="G34" s="15"/>
    </row>
    <row r="35" spans="1:7">
      <c r="A35" s="173" t="s">
        <v>74</v>
      </c>
      <c r="B35" s="33">
        <f>IF((($B$28-$B$32-$B$39-$B$77-$B$38)*C21/100)&lt;0,0,($B$28-$B$32-$B$39-$B$77-$B$38)*C21/100)</f>
        <v>1662.0151306740029</v>
      </c>
      <c r="C35" s="169">
        <f>IF(ISERROR(B35/SUM($B$32,$B$34,$B$35,$B$36,$B$38,$B$39)*100),0,B35/SUM($B$32,$B$34,$B$35,$B$36,$B$38,$B$39)*100)</f>
        <v>29.447468651204865</v>
      </c>
      <c r="D35" s="235"/>
      <c r="G35" s="15"/>
    </row>
    <row r="36" spans="1:7">
      <c r="A36" s="173" t="s">
        <v>75</v>
      </c>
      <c r="B36" s="33">
        <f>IF((($B$28-$B$32-$B$39-$B$77-$B$38)*C22/100)&lt;0,0,($B$28-$B$32-$B$39-$B$77-$B$38)*C22/100)</f>
        <v>140.01375515818432</v>
      </c>
      <c r="C36" s="169">
        <f>IF(ISERROR(B36/SUM($B$32,$B$34,$B$35,$B$36,$B$38,$B$39)*100),0,B36/SUM($B$32,$B$34,$B$35,$B$36,$B$38,$B$39)*100)</f>
        <v>2.4807539893370714</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738</v>
      </c>
      <c r="C39" s="169">
        <f>IF(ISERROR(B39/SUM($B$32,$B$34,$B$35,$B$36,$B$38,$B$39)*100),0,B39/SUM($B$32,$B$34,$B$35,$B$36,$B$38,$B$39)*100)</f>
        <v>13.075832742735646</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3021</v>
      </c>
      <c r="C44" s="34" t="s">
        <v>111</v>
      </c>
      <c r="D44" s="176"/>
    </row>
    <row r="45" spans="1:7">
      <c r="A45" s="173" t="s">
        <v>72</v>
      </c>
      <c r="B45" s="33" t="str">
        <f t="shared" si="0"/>
        <v>-</v>
      </c>
      <c r="C45" s="34" t="s">
        <v>111</v>
      </c>
      <c r="D45" s="176"/>
    </row>
    <row r="46" spans="1:7">
      <c r="A46" s="173" t="s">
        <v>73</v>
      </c>
      <c r="B46" s="33">
        <f t="shared" si="0"/>
        <v>82.971114167812914</v>
      </c>
      <c r="C46" s="34" t="s">
        <v>111</v>
      </c>
      <c r="D46" s="176"/>
    </row>
    <row r="47" spans="1:7">
      <c r="A47" s="173" t="s">
        <v>74</v>
      </c>
      <c r="B47" s="33">
        <f t="shared" si="0"/>
        <v>1662.0151306740029</v>
      </c>
      <c r="C47" s="34" t="s">
        <v>111</v>
      </c>
      <c r="D47" s="176"/>
    </row>
    <row r="48" spans="1:7">
      <c r="A48" s="173" t="s">
        <v>75</v>
      </c>
      <c r="B48" s="33">
        <f t="shared" si="0"/>
        <v>140.01375515818432</v>
      </c>
      <c r="C48" s="33">
        <f>B48*10</f>
        <v>1400.1375515818431</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738</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90</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38</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8696.1942967348805</v>
      </c>
      <c r="C5" s="17">
        <f>IF(ISERROR('Eigen informatie GS &amp; warmtenet'!B58),0,'Eigen informatie GS &amp; warmtenet'!B58)</f>
        <v>0</v>
      </c>
      <c r="D5" s="30">
        <f>SUM(D6:D12)</f>
        <v>10348.582295133043</v>
      </c>
      <c r="E5" s="17">
        <f>SUM(E6:E12)</f>
        <v>123.30998815676429</v>
      </c>
      <c r="F5" s="17">
        <f>SUM(F6:F12)</f>
        <v>1705.9734156872487</v>
      </c>
      <c r="G5" s="18"/>
      <c r="H5" s="17"/>
      <c r="I5" s="17"/>
      <c r="J5" s="17">
        <f>SUM(J6:J12)</f>
        <v>0</v>
      </c>
      <c r="K5" s="17"/>
      <c r="L5" s="17"/>
      <c r="M5" s="17"/>
      <c r="N5" s="17">
        <f>SUM(N6:N12)</f>
        <v>625.38433915862106</v>
      </c>
      <c r="O5" s="17">
        <f>B38*B39*B40</f>
        <v>1.5633333333333335</v>
      </c>
      <c r="P5" s="17">
        <f>B46*B47*B48/1000-B46*B47*B48/1000/B49</f>
        <v>19.066666666666666</v>
      </c>
      <c r="R5" s="32"/>
    </row>
    <row r="6" spans="1:18">
      <c r="A6" s="32" t="s">
        <v>54</v>
      </c>
      <c r="B6" s="37">
        <f>B26</f>
        <v>1831.7805790387101</v>
      </c>
      <c r="C6" s="33"/>
      <c r="D6" s="37">
        <f>IF(ISERROR(TER_kantoor_gas_kWh/1000),0,TER_kantoor_gas_kWh/1000)*0.902</f>
        <v>3788.4227080633232</v>
      </c>
      <c r="E6" s="33">
        <f>$C$26*'E Balans VL '!I12/100/3.6*1000000</f>
        <v>7.1168553601096907</v>
      </c>
      <c r="F6" s="33">
        <f>$C$26*('E Balans VL '!L12+'E Balans VL '!N12)/100/3.6*1000000</f>
        <v>278.59715819739682</v>
      </c>
      <c r="G6" s="34"/>
      <c r="H6" s="33"/>
      <c r="I6" s="33"/>
      <c r="J6" s="33">
        <f>$C$26*('E Balans VL '!D12+'E Balans VL '!E12)/100/3.6*1000000</f>
        <v>0</v>
      </c>
      <c r="K6" s="33"/>
      <c r="L6" s="33"/>
      <c r="M6" s="33"/>
      <c r="N6" s="33">
        <f>$C$26*'E Balans VL '!Y12/100/3.6*1000000</f>
        <v>1.0095305409595148</v>
      </c>
      <c r="O6" s="33"/>
      <c r="P6" s="33"/>
      <c r="R6" s="32"/>
    </row>
    <row r="7" spans="1:18">
      <c r="A7" s="32" t="s">
        <v>53</v>
      </c>
      <c r="B7" s="37">
        <f t="shared" ref="B7:B12" si="0">B27</f>
        <v>745.13084304479901</v>
      </c>
      <c r="C7" s="33"/>
      <c r="D7" s="37">
        <f>IF(ISERROR(TER_horeca_gas_kWh/1000),0,TER_horeca_gas_kWh/1000)*0.902</f>
        <v>1092.1848355888478</v>
      </c>
      <c r="E7" s="33">
        <f>$C$27*'E Balans VL '!I9/100/3.6*1000000</f>
        <v>41.973419603694524</v>
      </c>
      <c r="F7" s="33">
        <f>$C$27*('E Balans VL '!L9+'E Balans VL '!N9)/100/3.6*1000000</f>
        <v>214.85112506121681</v>
      </c>
      <c r="G7" s="34"/>
      <c r="H7" s="33"/>
      <c r="I7" s="33"/>
      <c r="J7" s="33">
        <f>$C$27*('E Balans VL '!D9+'E Balans VL '!E9)/100/3.6*1000000</f>
        <v>0</v>
      </c>
      <c r="K7" s="33"/>
      <c r="L7" s="33"/>
      <c r="M7" s="33"/>
      <c r="N7" s="33">
        <f>$C$27*'E Balans VL '!Y9/100/3.6*1000000</f>
        <v>0.20572675370049792</v>
      </c>
      <c r="O7" s="33"/>
      <c r="P7" s="33"/>
      <c r="R7" s="32"/>
    </row>
    <row r="8" spans="1:18">
      <c r="A8" s="6" t="s">
        <v>52</v>
      </c>
      <c r="B8" s="37">
        <f t="shared" si="0"/>
        <v>3043.9120170657097</v>
      </c>
      <c r="C8" s="33"/>
      <c r="D8" s="37">
        <f>IF(ISERROR(TER_handel_gas_kWh/1000),0,TER_handel_gas_kWh/1000)*0.902</f>
        <v>1135.2921037931276</v>
      </c>
      <c r="E8" s="33">
        <f>$C$28*'E Balans VL '!I13/100/3.6*1000000</f>
        <v>43.873099132108841</v>
      </c>
      <c r="F8" s="33">
        <f>$C$28*('E Balans VL '!L13+'E Balans VL '!N13)/100/3.6*1000000</f>
        <v>528.79840529175522</v>
      </c>
      <c r="G8" s="34"/>
      <c r="H8" s="33"/>
      <c r="I8" s="33"/>
      <c r="J8" s="33">
        <f>$C$28*('E Balans VL '!D13+'E Balans VL '!E13)/100/3.6*1000000</f>
        <v>0</v>
      </c>
      <c r="K8" s="33"/>
      <c r="L8" s="33"/>
      <c r="M8" s="33"/>
      <c r="N8" s="33">
        <f>$C$28*'E Balans VL '!Y13/100/3.6*1000000</f>
        <v>9.119899258395078</v>
      </c>
      <c r="O8" s="33"/>
      <c r="P8" s="33"/>
      <c r="R8" s="32"/>
    </row>
    <row r="9" spans="1:18">
      <c r="A9" s="32" t="s">
        <v>51</v>
      </c>
      <c r="B9" s="37">
        <f t="shared" si="0"/>
        <v>103.590138441433</v>
      </c>
      <c r="C9" s="33"/>
      <c r="D9" s="37">
        <f>IF(ISERROR(TER_gezond_gas_kWh/1000),0,TER_gezond_gas_kWh/1000)*0.902</f>
        <v>139.76469521347568</v>
      </c>
      <c r="E9" s="33">
        <f>$C$29*'E Balans VL '!I10/100/3.6*1000000</f>
        <v>0.11066111743331496</v>
      </c>
      <c r="F9" s="33">
        <f>$C$29*('E Balans VL '!L10+'E Balans VL '!N10)/100/3.6*1000000</f>
        <v>16.89869980224276</v>
      </c>
      <c r="G9" s="34"/>
      <c r="H9" s="33"/>
      <c r="I9" s="33"/>
      <c r="J9" s="33">
        <f>$C$29*('E Balans VL '!D10+'E Balans VL '!E10)/100/3.6*1000000</f>
        <v>0</v>
      </c>
      <c r="K9" s="33"/>
      <c r="L9" s="33"/>
      <c r="M9" s="33"/>
      <c r="N9" s="33">
        <f>$C$29*'E Balans VL '!Y10/100/3.6*1000000</f>
        <v>1.066401367900768</v>
      </c>
      <c r="O9" s="33"/>
      <c r="P9" s="33"/>
      <c r="R9" s="32"/>
    </row>
    <row r="10" spans="1:18">
      <c r="A10" s="32" t="s">
        <v>50</v>
      </c>
      <c r="B10" s="37">
        <f t="shared" si="0"/>
        <v>625.70750557254701</v>
      </c>
      <c r="C10" s="33"/>
      <c r="D10" s="37">
        <f>IF(ISERROR(TER_ander_gas_kWh/1000),0,TER_ander_gas_kWh/1000)*0.902</f>
        <v>568.22956521911578</v>
      </c>
      <c r="E10" s="33">
        <f>$C$30*'E Balans VL '!I14/100/3.6*1000000</f>
        <v>2.8775336409511985</v>
      </c>
      <c r="F10" s="33">
        <f>$C$30*('E Balans VL '!L14+'E Balans VL '!N14)/100/3.6*1000000</f>
        <v>187.54427600870909</v>
      </c>
      <c r="G10" s="34"/>
      <c r="H10" s="33"/>
      <c r="I10" s="33"/>
      <c r="J10" s="33">
        <f>$C$30*('E Balans VL '!D14+'E Balans VL '!E14)/100/3.6*1000000</f>
        <v>0</v>
      </c>
      <c r="K10" s="33"/>
      <c r="L10" s="33"/>
      <c r="M10" s="33"/>
      <c r="N10" s="33">
        <f>$C$30*'E Balans VL '!Y14/100/3.6*1000000</f>
        <v>435.53372731190791</v>
      </c>
      <c r="O10" s="33"/>
      <c r="P10" s="33"/>
      <c r="R10" s="32"/>
    </row>
    <row r="11" spans="1:18">
      <c r="A11" s="32" t="s">
        <v>55</v>
      </c>
      <c r="B11" s="37">
        <f t="shared" si="0"/>
        <v>98.044550345022699</v>
      </c>
      <c r="C11" s="33"/>
      <c r="D11" s="37">
        <f>IF(ISERROR(TER_onderwijs_gas_kWh/1000),0,TER_onderwijs_gas_kWh/1000)*0.902</f>
        <v>708.14039927756039</v>
      </c>
      <c r="E11" s="33">
        <f>$C$31*'E Balans VL '!I11/100/3.6*1000000</f>
        <v>9.094921416403591E-2</v>
      </c>
      <c r="F11" s="33">
        <f>$C$31*('E Balans VL '!L11+'E Balans VL '!N11)/100/3.6*1000000</f>
        <v>34.44079714422714</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2248.0286632266598</v>
      </c>
      <c r="C12" s="33"/>
      <c r="D12" s="37">
        <f>IF(ISERROR(TER_rest_gas_kWh/1000),0,TER_rest_gas_kWh/1000)*0.902</f>
        <v>2916.5479879775921</v>
      </c>
      <c r="E12" s="33">
        <f>$C$32*'E Balans VL '!I8/100/3.6*1000000</f>
        <v>27.267470088302694</v>
      </c>
      <c r="F12" s="33">
        <f>$C$32*('E Balans VL '!L8+'E Balans VL '!N8)/100/3.6*1000000</f>
        <v>444.84295418170052</v>
      </c>
      <c r="G12" s="34"/>
      <c r="H12" s="33"/>
      <c r="I12" s="33"/>
      <c r="J12" s="33">
        <f>$C$32*('E Balans VL '!D8+'E Balans VL '!E8)/100/3.6*1000000</f>
        <v>0</v>
      </c>
      <c r="K12" s="33"/>
      <c r="L12" s="33"/>
      <c r="M12" s="33"/>
      <c r="N12" s="33">
        <f>$C$32*'E Balans VL '!Y8/100/3.6*1000000</f>
        <v>178.44905392575731</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8696.1942967348805</v>
      </c>
      <c r="C16" s="21">
        <f t="shared" ca="1" si="1"/>
        <v>0</v>
      </c>
      <c r="D16" s="21">
        <f t="shared" ca="1" si="1"/>
        <v>10348.582295133043</v>
      </c>
      <c r="E16" s="21">
        <f t="shared" si="1"/>
        <v>123.30998815676429</v>
      </c>
      <c r="F16" s="21">
        <f t="shared" ca="1" si="1"/>
        <v>1705.9734156872487</v>
      </c>
      <c r="G16" s="21">
        <f t="shared" si="1"/>
        <v>0</v>
      </c>
      <c r="H16" s="21">
        <f t="shared" si="1"/>
        <v>0</v>
      </c>
      <c r="I16" s="21">
        <f t="shared" si="1"/>
        <v>0</v>
      </c>
      <c r="J16" s="21">
        <f t="shared" si="1"/>
        <v>0</v>
      </c>
      <c r="K16" s="21">
        <f t="shared" si="1"/>
        <v>0</v>
      </c>
      <c r="L16" s="21">
        <f t="shared" ca="1" si="1"/>
        <v>0</v>
      </c>
      <c r="M16" s="21">
        <f t="shared" si="1"/>
        <v>0</v>
      </c>
      <c r="N16" s="21">
        <f t="shared" ca="1" si="1"/>
        <v>625.38433915862106</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0.19021722548430908</v>
      </c>
      <c r="C18" s="25">
        <f ca="1">'EF ele_warmte'!B22</f>
        <v>7.8529411764705889E-2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1654.1659513973814</v>
      </c>
      <c r="C20" s="23">
        <f t="shared" ref="C20:P20" ca="1" si="2">C16*C18</f>
        <v>0</v>
      </c>
      <c r="D20" s="23">
        <f t="shared" ca="1" si="2"/>
        <v>2090.4136236168747</v>
      </c>
      <c r="E20" s="23">
        <f t="shared" si="2"/>
        <v>27.991367311585496</v>
      </c>
      <c r="F20" s="23">
        <f t="shared" ca="1" si="2"/>
        <v>455.49490198849543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1831.7805790387101</v>
      </c>
      <c r="C26" s="39">
        <f>IF(ISERROR(B26*3.6/1000000/'E Balans VL '!Z12*100),0,B26*3.6/1000000/'E Balans VL '!Z12*100)</f>
        <v>3.8907926844927672E-2</v>
      </c>
      <c r="D26" s="239" t="s">
        <v>692</v>
      </c>
      <c r="F26" s="6"/>
    </row>
    <row r="27" spans="1:18">
      <c r="A27" s="233" t="s">
        <v>53</v>
      </c>
      <c r="B27" s="33">
        <f>IF(ISERROR(TER_horeca_ele_kWh/1000),0,TER_horeca_ele_kWh/1000)</f>
        <v>745.13084304479901</v>
      </c>
      <c r="C27" s="39">
        <f>IF(ISERROR(B27*3.6/1000000/'E Balans VL '!Z9*100),0,B27*3.6/1000000/'E Balans VL '!Z9*100)</f>
        <v>5.7938460951907869E-2</v>
      </c>
      <c r="D27" s="239" t="s">
        <v>692</v>
      </c>
      <c r="F27" s="6"/>
    </row>
    <row r="28" spans="1:18">
      <c r="A28" s="173" t="s">
        <v>52</v>
      </c>
      <c r="B28" s="33">
        <f>IF(ISERROR(TER_handel_ele_kWh/1000),0,TER_handel_ele_kWh/1000)</f>
        <v>3043.9120170657097</v>
      </c>
      <c r="C28" s="39">
        <f>IF(ISERROR(B28*3.6/1000000/'E Balans VL '!Z13*100),0,B28*3.6/1000000/'E Balans VL '!Z13*100)</f>
        <v>8.7089905134335774E-2</v>
      </c>
      <c r="D28" s="239" t="s">
        <v>692</v>
      </c>
      <c r="F28" s="6"/>
    </row>
    <row r="29" spans="1:18">
      <c r="A29" s="233" t="s">
        <v>51</v>
      </c>
      <c r="B29" s="33">
        <f>IF(ISERROR(TER_gezond_ele_kWh/1000),0,TER_gezond_ele_kWh/1000)</f>
        <v>103.590138441433</v>
      </c>
      <c r="C29" s="39">
        <f>IF(ISERROR(B29*3.6/1000000/'E Balans VL '!Z10*100),0,B29*3.6/1000000/'E Balans VL '!Z10*100)</f>
        <v>1.1293732236240146E-2</v>
      </c>
      <c r="D29" s="239" t="s">
        <v>692</v>
      </c>
      <c r="F29" s="6"/>
    </row>
    <row r="30" spans="1:18">
      <c r="A30" s="233" t="s">
        <v>50</v>
      </c>
      <c r="B30" s="33">
        <f>IF(ISERROR(TER_ander_ele_kWh/1000),0,TER_ander_ele_kWh/1000)</f>
        <v>625.70750557254701</v>
      </c>
      <c r="C30" s="39">
        <f>IF(ISERROR(B30*3.6/1000000/'E Balans VL '!Z14*100),0,B30*3.6/1000000/'E Balans VL '!Z14*100)</f>
        <v>4.5787855873969732E-2</v>
      </c>
      <c r="D30" s="239" t="s">
        <v>692</v>
      </c>
      <c r="F30" s="6"/>
    </row>
    <row r="31" spans="1:18">
      <c r="A31" s="233" t="s">
        <v>55</v>
      </c>
      <c r="B31" s="33">
        <f>IF(ISERROR(TER_onderwijs_ele_kWh/1000),0,TER_onderwijs_ele_kWh/1000)</f>
        <v>98.044550345022699</v>
      </c>
      <c r="C31" s="39">
        <f>IF(ISERROR(B31*3.6/1000000/'E Balans VL '!Z11*100),0,B31*3.6/1000000/'E Balans VL '!Z11*100)</f>
        <v>1.969232074267328E-2</v>
      </c>
      <c r="D31" s="239" t="s">
        <v>692</v>
      </c>
    </row>
    <row r="32" spans="1:18">
      <c r="A32" s="233" t="s">
        <v>260</v>
      </c>
      <c r="B32" s="33">
        <f>IF(ISERROR(TER_rest_ele_kWh/1000),0,TER_rest_ele_kWh/1000)</f>
        <v>2248.0286632266598</v>
      </c>
      <c r="C32" s="39">
        <f>IF(ISERROR(B32*3.6/1000000/'E Balans VL '!Z8*100),0,B32*3.6/1000000/'E Balans VL '!Z8*100)</f>
        <v>1.8320069346018476E-2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6297.3009602543534</v>
      </c>
      <c r="C5" s="17">
        <f>IF(ISERROR('Eigen informatie GS &amp; warmtenet'!B59),0,'Eigen informatie GS &amp; warmtenet'!B59)</f>
        <v>0</v>
      </c>
      <c r="D5" s="30">
        <f>SUM(D6:D15)</f>
        <v>5473.8338260514111</v>
      </c>
      <c r="E5" s="17">
        <f>SUM(E6:E15)</f>
        <v>722.59570881518937</v>
      </c>
      <c r="F5" s="17">
        <f>SUM(F6:F15)</f>
        <v>2561.723162124898</v>
      </c>
      <c r="G5" s="18"/>
      <c r="H5" s="17"/>
      <c r="I5" s="17"/>
      <c r="J5" s="17">
        <f>SUM(J6:J15)</f>
        <v>10.979782934592581</v>
      </c>
      <c r="K5" s="17"/>
      <c r="L5" s="17"/>
      <c r="M5" s="17"/>
      <c r="N5" s="17">
        <f>SUM(N6:N15)</f>
        <v>1470.049413796216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61.100170655907803</v>
      </c>
      <c r="C8" s="33"/>
      <c r="D8" s="37">
        <f>IF( ISERROR(IND_metaal_Gas_kWH/1000),0,IND_metaal_Gas_kWH/1000)*0.902</f>
        <v>172.40588040362718</v>
      </c>
      <c r="E8" s="33">
        <f>C30*'E Balans VL '!I18/100/3.6*1000000</f>
        <v>1.7550262431429799</v>
      </c>
      <c r="F8" s="33">
        <f>C30*'E Balans VL '!L18/100/3.6*1000000+C30*'E Balans VL '!N18/100/3.6*1000000</f>
        <v>15.67101864807989</v>
      </c>
      <c r="G8" s="34"/>
      <c r="H8" s="33"/>
      <c r="I8" s="33"/>
      <c r="J8" s="40">
        <f>C30*'E Balans VL '!D18/100/3.6*1000000+C30*'E Balans VL '!E18/100/3.6*1000000</f>
        <v>0</v>
      </c>
      <c r="K8" s="33"/>
      <c r="L8" s="33"/>
      <c r="M8" s="33"/>
      <c r="N8" s="33">
        <f>C30*'E Balans VL '!Y18/100/3.6*1000000</f>
        <v>1.6589943564266927</v>
      </c>
      <c r="O8" s="33"/>
      <c r="P8" s="33"/>
      <c r="R8" s="32"/>
    </row>
    <row r="9" spans="1:18">
      <c r="A9" s="6" t="s">
        <v>33</v>
      </c>
      <c r="B9" s="37">
        <f t="shared" si="0"/>
        <v>1707.9112934774701</v>
      </c>
      <c r="C9" s="33"/>
      <c r="D9" s="37">
        <f>IF( ISERROR(IND_andere_gas_kWh/1000),0,IND_andere_gas_kWh/1000)*0.902</f>
        <v>633.72461154723919</v>
      </c>
      <c r="E9" s="33">
        <f>C31*'E Balans VL '!I19/100/3.6*1000000</f>
        <v>462.28959466030062</v>
      </c>
      <c r="F9" s="33">
        <f>C31*'E Balans VL '!L19/100/3.6*1000000+C31*'E Balans VL '!N19/100/3.6*1000000</f>
        <v>1137.6496562245759</v>
      </c>
      <c r="G9" s="34"/>
      <c r="H9" s="33"/>
      <c r="I9" s="33"/>
      <c r="J9" s="40">
        <f>C31*'E Balans VL '!D19/100/3.6*1000000+C31*'E Balans VL '!E19/100/3.6*1000000</f>
        <v>0</v>
      </c>
      <c r="K9" s="33"/>
      <c r="L9" s="33"/>
      <c r="M9" s="33"/>
      <c r="N9" s="33">
        <f>C31*'E Balans VL '!Y19/100/3.6*1000000</f>
        <v>557.60466648495355</v>
      </c>
      <c r="O9" s="33"/>
      <c r="P9" s="33"/>
      <c r="R9" s="32"/>
    </row>
    <row r="10" spans="1:18">
      <c r="A10" s="6" t="s">
        <v>41</v>
      </c>
      <c r="B10" s="37">
        <f t="shared" si="0"/>
        <v>271.28642644128502</v>
      </c>
      <c r="C10" s="33"/>
      <c r="D10" s="37">
        <f>IF( ISERROR(IND_voed_gas_kWh/1000),0,IND_voed_gas_kWh/1000)*0.902</f>
        <v>0</v>
      </c>
      <c r="E10" s="33">
        <f>C32*'E Balans VL '!I20/100/3.6*1000000</f>
        <v>22.126744204897772</v>
      </c>
      <c r="F10" s="33">
        <f>C32*'E Balans VL '!L20/100/3.6*1000000+C32*'E Balans VL '!N20/100/3.6*1000000</f>
        <v>404.51267508520846</v>
      </c>
      <c r="G10" s="34"/>
      <c r="H10" s="33"/>
      <c r="I10" s="33"/>
      <c r="J10" s="40">
        <f>C32*'E Balans VL '!D20/100/3.6*1000000+C32*'E Balans VL '!E20/100/3.6*1000000</f>
        <v>3.5887901242719678E-3</v>
      </c>
      <c r="K10" s="33"/>
      <c r="L10" s="33"/>
      <c r="M10" s="33"/>
      <c r="N10" s="33">
        <f>C32*'E Balans VL '!Y20/100/3.6*1000000</f>
        <v>79.694379422660489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22.210047193499999</v>
      </c>
      <c r="C12" s="33"/>
      <c r="D12" s="37">
        <f>IF( ISERROR(IND_min_gas_kWh/1000),0,IND_min_gas_kWh/1000)*0.902</f>
        <v>0</v>
      </c>
      <c r="E12" s="33">
        <f>C34*'E Balans VL '!I22/100/3.6*1000000</f>
        <v>0.1730114282740717</v>
      </c>
      <c r="F12" s="33">
        <f>C34*'E Balans VL '!L22/100/3.6*1000000+C34*'E Balans VL '!N22/100/3.6*1000000</f>
        <v>8.3762649523026056</v>
      </c>
      <c r="G12" s="34"/>
      <c r="H12" s="33"/>
      <c r="I12" s="33"/>
      <c r="J12" s="40">
        <f>C34*'E Balans VL '!D22/100/3.6*1000000+C34*'E Balans VL '!E22/100/3.6*1000000</f>
        <v>0.12215331767480542</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4234.7930224861902</v>
      </c>
      <c r="C15" s="33"/>
      <c r="D15" s="37">
        <f>IF( ISERROR(IND_rest_gas_kWh/1000),0,IND_rest_gas_kWh/1000)*0.902</f>
        <v>4667.7033341005445</v>
      </c>
      <c r="E15" s="33">
        <f>C37*'E Balans VL '!I15/100/3.6*1000000</f>
        <v>236.25133227857393</v>
      </c>
      <c r="F15" s="33">
        <f>C37*'E Balans VL '!L15/100/3.6*1000000+C37*'E Balans VL '!N15/100/3.6*1000000</f>
        <v>995.51354721473126</v>
      </c>
      <c r="G15" s="34"/>
      <c r="H15" s="33"/>
      <c r="I15" s="33"/>
      <c r="J15" s="40">
        <f>C37*'E Balans VL '!D15/100/3.6*1000000+C37*'E Balans VL '!E15/100/3.6*1000000</f>
        <v>10.854040826793504</v>
      </c>
      <c r="K15" s="33"/>
      <c r="L15" s="33"/>
      <c r="M15" s="33"/>
      <c r="N15" s="33">
        <f>C37*'E Balans VL '!Y15/100/3.6*1000000</f>
        <v>831.09137353217511</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6297.3009602543534</v>
      </c>
      <c r="C18" s="21">
        <f>C5+C16</f>
        <v>0</v>
      </c>
      <c r="D18" s="21">
        <f>MAX((D5+D16),0)</f>
        <v>5473.8338260514111</v>
      </c>
      <c r="E18" s="21">
        <f>MAX((E5+E16),0)</f>
        <v>722.59570881518937</v>
      </c>
      <c r="F18" s="21">
        <f>MAX((F5+F16),0)</f>
        <v>2561.723162124898</v>
      </c>
      <c r="G18" s="21"/>
      <c r="H18" s="21"/>
      <c r="I18" s="21"/>
      <c r="J18" s="21">
        <f>MAX((J5+J16),0)</f>
        <v>10.979782934592581</v>
      </c>
      <c r="K18" s="21"/>
      <c r="L18" s="21">
        <f>MAX((L5+L16),0)</f>
        <v>0</v>
      </c>
      <c r="M18" s="21"/>
      <c r="N18" s="21">
        <f>MAX((N5+N16),0)</f>
        <v>1470.049413796216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0.19021722548430908</v>
      </c>
      <c r="C20" s="25">
        <f ca="1">'EF ele_warmte'!B22</f>
        <v>7.8529411764705889E-2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1197.8551166992584</v>
      </c>
      <c r="C22" s="23">
        <f ca="1">C18*C20</f>
        <v>0</v>
      </c>
      <c r="D22" s="23">
        <f>D18*D20</f>
        <v>1105.7144328623851</v>
      </c>
      <c r="E22" s="23">
        <f>E18*E20</f>
        <v>164.02922590104799</v>
      </c>
      <c r="F22" s="23">
        <f>F18*F20</f>
        <v>683.98008428734784</v>
      </c>
      <c r="G22" s="23"/>
      <c r="H22" s="23"/>
      <c r="I22" s="23"/>
      <c r="J22" s="23">
        <f>J18*J20</f>
        <v>3.8868431588457737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61.100170655907803</v>
      </c>
      <c r="C30" s="39">
        <f>IF(ISERROR(B30*3.6/1000000/'E Balans VL '!Z18*100),0,B30*3.6/1000000/'E Balans VL '!Z18*100)</f>
        <v>6.0121008204205816E-3</v>
      </c>
      <c r="D30" s="239" t="s">
        <v>692</v>
      </c>
    </row>
    <row r="31" spans="1:18">
      <c r="A31" s="6" t="s">
        <v>33</v>
      </c>
      <c r="B31" s="37">
        <f>IF( ISERROR(IND_ander_ele_kWh/1000),0,IND_ander_ele_kWh/1000)</f>
        <v>1707.9112934774701</v>
      </c>
      <c r="C31" s="39">
        <f>IF(ISERROR(B31*3.6/1000000/'E Balans VL '!Z19*100),0,B31*3.6/1000000/'E Balans VL '!Z19*100)</f>
        <v>7.4378174443525416E-2</v>
      </c>
      <c r="D31" s="239" t="s">
        <v>692</v>
      </c>
    </row>
    <row r="32" spans="1:18">
      <c r="A32" s="173" t="s">
        <v>41</v>
      </c>
      <c r="B32" s="37">
        <f>IF( ISERROR(IND_voed_ele_kWh/1000),0,IND_voed_ele_kWh/1000)</f>
        <v>271.28642644128502</v>
      </c>
      <c r="C32" s="39">
        <f>IF(ISERROR(B32*3.6/1000000/'E Balans VL '!Z20*100),0,B32*3.6/1000000/'E Balans VL '!Z20*100)</f>
        <v>5.1472687041348907E-2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22.210047193499999</v>
      </c>
      <c r="C34" s="39">
        <f>IF(ISERROR(B34*3.6/1000000/'E Balans VL '!Z22*100),0,B34*3.6/1000000/'E Balans VL '!Z22*100)</f>
        <v>3.122955661748369E-3</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4234.7930224861902</v>
      </c>
      <c r="C37" s="39">
        <f>IF(ISERROR(B37*3.6/1000000/'E Balans VL '!Z15*100),0,B37*3.6/1000000/'E Balans VL '!Z15*100)</f>
        <v>3.2634281636244322E-2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1116.5253724922479</v>
      </c>
      <c r="C5" s="17">
        <f>'Eigen informatie GS &amp; warmtenet'!B60</f>
        <v>0</v>
      </c>
      <c r="D5" s="30">
        <f>IF(ISERROR(SUM(LB_lb_gas_kWh,LB_rest_gas_kWh,onbekend_gas_kWh)/1000),0,SUM(LB_lb_gas_kWh,LB_rest_gas_kWh,onbekend_gas_kWh)/1000)*0.902</f>
        <v>894.42109151755994</v>
      </c>
      <c r="E5" s="17">
        <f>B17*'E Balans VL '!I25/3.6*1000000/100</f>
        <v>14.069658070533762</v>
      </c>
      <c r="F5" s="17">
        <f>B17*('E Balans VL '!L25/3.6*1000000+'E Balans VL '!N25/3.6*1000000)/100</f>
        <v>3852.2922414172026</v>
      </c>
      <c r="G5" s="18"/>
      <c r="H5" s="17"/>
      <c r="I5" s="17"/>
      <c r="J5" s="17">
        <f>('E Balans VL '!D25+'E Balans VL '!E25)/3.6*1000000*landbouw!B17/100</f>
        <v>167.91272381034949</v>
      </c>
      <c r="K5" s="17"/>
      <c r="L5" s="17">
        <f>L6*(-1)</f>
        <v>8555.625</v>
      </c>
      <c r="M5" s="17"/>
      <c r="N5" s="17">
        <f>N6*(-1)</f>
        <v>0</v>
      </c>
      <c r="O5" s="17"/>
      <c r="P5" s="17"/>
      <c r="R5" s="32"/>
    </row>
    <row r="6" spans="1:18">
      <c r="A6" s="16" t="s">
        <v>497</v>
      </c>
      <c r="B6" s="17" t="s">
        <v>211</v>
      </c>
      <c r="C6" s="17">
        <f>'lokale energieproductie'!O91+'lokale energieproductie'!O60</f>
        <v>5133.375</v>
      </c>
      <c r="D6" s="312">
        <f>('lokale energieproductie'!P60+'lokale energieproductie'!P91)*(-1)</f>
        <v>0</v>
      </c>
      <c r="E6" s="250"/>
      <c r="F6" s="312">
        <f>('lokale energieproductie'!S60+'lokale energieproductie'!S91)*(-1)</f>
        <v>-2851.875</v>
      </c>
      <c r="G6" s="251"/>
      <c r="H6" s="250"/>
      <c r="I6" s="250"/>
      <c r="J6" s="250"/>
      <c r="K6" s="250"/>
      <c r="L6" s="312">
        <f>('lokale energieproductie'!T60+'lokale energieproductie'!U60+'lokale energieproductie'!T91+'lokale energieproductie'!U91)*(-1)</f>
        <v>-8555.625</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1116.5253724922479</v>
      </c>
      <c r="C8" s="21">
        <f>C5+C6</f>
        <v>5133.375</v>
      </c>
      <c r="D8" s="21">
        <f>MAX((D5+D6),0)</f>
        <v>894.42109151755994</v>
      </c>
      <c r="E8" s="21">
        <f>MAX((E5+E6),0)</f>
        <v>14.069658070533762</v>
      </c>
      <c r="F8" s="21">
        <f>MAX((F5+F6),0)</f>
        <v>1000.4172414172026</v>
      </c>
      <c r="G8" s="21"/>
      <c r="H8" s="21"/>
      <c r="I8" s="21"/>
      <c r="J8" s="21">
        <f>MAX((J5+J6),0)</f>
        <v>167.91272381034949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0.19021722548430908</v>
      </c>
      <c r="C10" s="31">
        <f ca="1">'EF ele_warmte'!B22</f>
        <v>7.8529411764705889E-2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212.38235853831011</v>
      </c>
      <c r="C12" s="23">
        <f ca="1">C8*C10</f>
        <v>403.12091911764708</v>
      </c>
      <c r="D12" s="23">
        <f>D8*D10</f>
        <v>180.67306048654712</v>
      </c>
      <c r="E12" s="23">
        <f>E8*E10</f>
        <v>3.1938123820111644</v>
      </c>
      <c r="F12" s="23">
        <f>F8*F10</f>
        <v>267.11140345839311</v>
      </c>
      <c r="G12" s="23"/>
      <c r="H12" s="23"/>
      <c r="I12" s="23"/>
      <c r="J12" s="23">
        <f>J8*J10</f>
        <v>59.441104228863715</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0.15572009862562552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98.192189130320969</v>
      </c>
      <c r="C26" s="249">
        <f>B26*'GWP N2O_CH4'!B5</f>
        <v>2062.0359717367405</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14.518895861774306</v>
      </c>
      <c r="C27" s="249">
        <f>B27*'GWP N2O_CH4'!B5</f>
        <v>304.89681309726041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1.2849499642597253</v>
      </c>
      <c r="C28" s="249">
        <f>B28*'GWP N2O_CH4'!B4</f>
        <v>398.33448892051484</v>
      </c>
      <c r="D28" s="50"/>
    </row>
    <row r="29" spans="1:4">
      <c r="A29" s="41" t="s">
        <v>277</v>
      </c>
      <c r="B29" s="249">
        <f>B34*'ha_N2O bodem landbouw'!B4</f>
        <v>5.6945326928286351</v>
      </c>
      <c r="C29" s="249">
        <f>B29*'GWP N2O_CH4'!B4</f>
        <v>1765.3051347768769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1.4218679120405143E-3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1.2526865415130938E-5</v>
      </c>
      <c r="C5" s="448" t="s">
        <v>211</v>
      </c>
      <c r="D5" s="433">
        <f>SUM(D6:D11)</f>
        <v>2.2414986198600403E-5</v>
      </c>
      <c r="E5" s="433">
        <f>SUM(E6:E11)</f>
        <v>6.775656521380574E-4</v>
      </c>
      <c r="F5" s="446" t="s">
        <v>211</v>
      </c>
      <c r="G5" s="433">
        <f>SUM(G6:G11)</f>
        <v>0.17577411955642031</v>
      </c>
      <c r="H5" s="433">
        <f>SUM(H6:H11)</f>
        <v>3.3451059460538675E-2</v>
      </c>
      <c r="I5" s="448" t="s">
        <v>211</v>
      </c>
      <c r="J5" s="448" t="s">
        <v>211</v>
      </c>
      <c r="K5" s="448" t="s">
        <v>211</v>
      </c>
      <c r="L5" s="448" t="s">
        <v>211</v>
      </c>
      <c r="M5" s="433">
        <f>SUM(M6:M11)</f>
        <v>9.3614876423589264E-3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8.3033606890734437E-6</v>
      </c>
      <c r="C6" s="949"/>
      <c r="D6" s="949">
        <f>vkm_2011_GW_PW*SUMIFS(TableVerdeelsleutelVkm[CNG],TableVerdeelsleutelVkm[Voertuigtype],"Lichte voertuigen")*SUMIFS(TableECFTransport[EnergieConsumptieFactor (PJ per km)],TableECFTransport[Index],CONCATENATE($A6,"_CNG_CNG"))</f>
        <v>1.1759182712113533E-5</v>
      </c>
      <c r="E6" s="949">
        <f>vkm_2011_GW_PW*SUMIFS(TableVerdeelsleutelVkm[LPG],TableVerdeelsleutelVkm[Voertuigtype],"Lichte voertuigen")*SUMIFS(TableECFTransport[EnergieConsumptieFactor (PJ per km)],TableECFTransport[Index],CONCATENATE($A6,"_LPG_LPG"))</f>
        <v>3.6931721673598634E-4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6.6376416505976046E-2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1.7835946973012017E-2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3.7579288730850715E-3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3.8744612539019313E-2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1.3804142215987729E-5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1.7483831626076774E-3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4.2235047260574948E-6</v>
      </c>
      <c r="C8" s="949"/>
      <c r="D8" s="436">
        <f>vkm_2011_NGW_PW*SUMIFS(TableVerdeelsleutelVkm[CNG],TableVerdeelsleutelVkm[Voertuigtype],"Lichte voertuigen")*SUMIFS(TableECFTransport[EnergieConsumptieFactor (PJ per km)],TableECFTransport[Index],CONCATENATE($A8,"_CNG_CNG"))</f>
        <v>1.065580348648687E-5</v>
      </c>
      <c r="E8" s="436">
        <f>vkm_2011_NGW_PW*SUMIFS(TableVerdeelsleutelVkm[LPG],TableVerdeelsleutelVkm[Voertuigtype],"Lichte voertuigen")*SUMIFS(TableECFTransport[EnergieConsumptieFactor (PJ per km)],TableECFTransport[Index],CONCATENATE($A8,"_LPG_LPG"))</f>
        <v>3.0824843540207107E-4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5.2251098884680137E-2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1.5595104118969628E-2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3.0247853648564752E-3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1.8401991626744815E-2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6.2042263410448211E-6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8.3039024180970287E-4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3.4796848375363716</v>
      </c>
      <c r="C14" s="21"/>
      <c r="D14" s="21">
        <f t="shared" ref="D14:M14" si="0">((D5)*10^9/3600)+D12</f>
        <v>6.2263850551667783</v>
      </c>
      <c r="E14" s="21">
        <f t="shared" si="0"/>
        <v>188.21268114946039</v>
      </c>
      <c r="F14" s="21"/>
      <c r="G14" s="21">
        <f t="shared" si="0"/>
        <v>48826.144321227861</v>
      </c>
      <c r="H14" s="21">
        <f t="shared" si="0"/>
        <v>9291.9609612607437</v>
      </c>
      <c r="I14" s="21"/>
      <c r="J14" s="21"/>
      <c r="K14" s="21"/>
      <c r="L14" s="21"/>
      <c r="M14" s="21">
        <f t="shared" si="0"/>
        <v>2600.4132339885909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0.19021722548430908</v>
      </c>
      <c r="C16" s="56">
        <f ca="1">'EF ele_warmte'!B22</f>
        <v>7.8529411764705889E-2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0.66189599535598742</v>
      </c>
      <c r="C18" s="23"/>
      <c r="D18" s="23">
        <f t="shared" ref="D18:M18" si="1">D14*D16</f>
        <v>1.2577297811436894</v>
      </c>
      <c r="E18" s="23">
        <f t="shared" si="1"/>
        <v>42.724278620927514</v>
      </c>
      <c r="F18" s="23"/>
      <c r="G18" s="23">
        <f t="shared" si="1"/>
        <v>13036.580533767839</v>
      </c>
      <c r="H18" s="23">
        <f t="shared" si="1"/>
        <v>2313.698279353925</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2.2441304724010775E-3</v>
      </c>
      <c r="H50" s="323">
        <f t="shared" si="2"/>
        <v>0</v>
      </c>
      <c r="I50" s="323">
        <f t="shared" si="2"/>
        <v>0</v>
      </c>
      <c r="J50" s="323">
        <f t="shared" si="2"/>
        <v>0</v>
      </c>
      <c r="K50" s="323">
        <f t="shared" si="2"/>
        <v>0</v>
      </c>
      <c r="L50" s="323">
        <f t="shared" si="2"/>
        <v>0</v>
      </c>
      <c r="M50" s="323">
        <f t="shared" si="2"/>
        <v>9.9801971063153596E-5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2.2441304724010775E-3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9.9801971063153596E-5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623.36957566696594</v>
      </c>
      <c r="H54" s="21">
        <f t="shared" si="3"/>
        <v>0</v>
      </c>
      <c r="I54" s="21">
        <f t="shared" si="3"/>
        <v>0</v>
      </c>
      <c r="J54" s="21">
        <f t="shared" si="3"/>
        <v>0</v>
      </c>
      <c r="K54" s="21">
        <f t="shared" si="3"/>
        <v>0</v>
      </c>
      <c r="L54" s="21">
        <f t="shared" si="3"/>
        <v>0</v>
      </c>
      <c r="M54" s="21">
        <f t="shared" si="3"/>
        <v>27.722769739764889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0.19021722548430908</v>
      </c>
      <c r="C56" s="56">
        <f ca="1">'EF ele_warmte'!B22</f>
        <v>7.8529411764705889E-2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166.43967670307993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3359.4603502319133</v>
      </c>
      <c r="C6" s="1142"/>
      <c r="D6" s="1145"/>
      <c r="E6" s="1145"/>
      <c r="F6" s="1148"/>
      <c r="G6" s="1151"/>
      <c r="H6" s="1139"/>
      <c r="I6" s="1145"/>
      <c r="J6" s="1145"/>
      <c r="K6" s="1145"/>
      <c r="L6" s="1175"/>
      <c r="M6" s="561"/>
      <c r="N6" s="1187"/>
      <c r="O6" s="1188"/>
      <c r="Q6" s="559"/>
      <c r="R6" s="1172"/>
      <c r="S6" s="1172"/>
    </row>
    <row r="7" spans="1:19" s="549" customFormat="1">
      <c r="A7" s="562" t="s">
        <v>252</v>
      </c>
      <c r="B7" s="563">
        <f>N57</f>
        <v>4563</v>
      </c>
      <c r="C7" s="564">
        <f>B100</f>
        <v>0</v>
      </c>
      <c r="D7" s="565"/>
      <c r="E7" s="565">
        <f>E100</f>
        <v>1342.0588235294117</v>
      </c>
      <c r="F7" s="566"/>
      <c r="G7" s="567"/>
      <c r="H7" s="565">
        <f>I100</f>
        <v>0</v>
      </c>
      <c r="I7" s="565">
        <f>G100+F100</f>
        <v>4026.1764705882351</v>
      </c>
      <c r="J7" s="565">
        <f>H100+D100+C100</f>
        <v>0</v>
      </c>
      <c r="K7" s="565"/>
      <c r="L7" s="568"/>
      <c r="M7" s="569">
        <f>C7*$C$11+D7*$D$11+E7*$E$11+F7*$F$11+G7*$G$11+H7*$H$11+I7*$I$11+J7*$J$11</f>
        <v>358.32970588235293</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7922.4603502319133</v>
      </c>
      <c r="C9" s="580">
        <f t="shared" ref="C9:L9" si="0">SUM(C7:C8)</f>
        <v>0</v>
      </c>
      <c r="D9" s="580">
        <f t="shared" si="0"/>
        <v>0</v>
      </c>
      <c r="E9" s="580">
        <f t="shared" si="0"/>
        <v>1342.0588235294117</v>
      </c>
      <c r="F9" s="580">
        <f t="shared" si="0"/>
        <v>0</v>
      </c>
      <c r="G9" s="580">
        <f t="shared" si="0"/>
        <v>0</v>
      </c>
      <c r="H9" s="580">
        <f t="shared" si="0"/>
        <v>0</v>
      </c>
      <c r="I9" s="580">
        <f t="shared" si="0"/>
        <v>4026.1764705882351</v>
      </c>
      <c r="J9" s="580">
        <f t="shared" si="0"/>
        <v>0</v>
      </c>
      <c r="K9" s="580">
        <f t="shared" si="0"/>
        <v>0</v>
      </c>
      <c r="L9" s="580">
        <f t="shared" si="0"/>
        <v>0</v>
      </c>
      <c r="M9" s="581">
        <f>SUM(M4:M8)</f>
        <v>358.32970588235293</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5133.375</v>
      </c>
      <c r="C16" s="596">
        <f>B101</f>
        <v>0</v>
      </c>
      <c r="D16" s="597"/>
      <c r="E16" s="597">
        <f>E101</f>
        <v>1509.8161764705883</v>
      </c>
      <c r="F16" s="598"/>
      <c r="G16" s="599"/>
      <c r="H16" s="596">
        <f>I101</f>
        <v>0</v>
      </c>
      <c r="I16" s="597">
        <f>G101+F101</f>
        <v>4529.4485294117649</v>
      </c>
      <c r="J16" s="597">
        <f>H101+D101+C101</f>
        <v>0</v>
      </c>
      <c r="K16" s="597"/>
      <c r="L16" s="600"/>
      <c r="M16" s="601">
        <f>C16*$C$21+E16*$E$21+H16*$H$21+I16*$I$21+J16*$J$21+D16*$D$21+F16*$F$21+G16*$G$21+K16*$K$21+L16*$L$21</f>
        <v>403.12091911764708</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5133.375</v>
      </c>
      <c r="C19" s="579">
        <f>SUM(C16:C18)</f>
        <v>0</v>
      </c>
      <c r="D19" s="579">
        <f t="shared" ref="D19:M19" si="1">SUM(D16:D18)</f>
        <v>0</v>
      </c>
      <c r="E19" s="579">
        <f t="shared" si="1"/>
        <v>1509.8161764705883</v>
      </c>
      <c r="F19" s="579">
        <f t="shared" si="1"/>
        <v>0</v>
      </c>
      <c r="G19" s="579">
        <f t="shared" si="1"/>
        <v>0</v>
      </c>
      <c r="H19" s="579">
        <f t="shared" si="1"/>
        <v>0</v>
      </c>
      <c r="I19" s="579">
        <f t="shared" si="1"/>
        <v>4529.4485294117649</v>
      </c>
      <c r="J19" s="579">
        <f t="shared" si="1"/>
        <v>0</v>
      </c>
      <c r="K19" s="579">
        <f t="shared" si="1"/>
        <v>0</v>
      </c>
      <c r="L19" s="579">
        <f t="shared" si="1"/>
        <v>0</v>
      </c>
      <c r="M19" s="606">
        <f t="shared" si="1"/>
        <v>403.12091911764708</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38.25">
      <c r="A27" s="610"/>
      <c r="B27" s="839">
        <v>23060</v>
      </c>
      <c r="C27" s="839">
        <v>1745</v>
      </c>
      <c r="D27" s="658" t="s">
        <v>840</v>
      </c>
      <c r="E27" s="657" t="s">
        <v>841</v>
      </c>
      <c r="F27" s="657" t="s">
        <v>842</v>
      </c>
      <c r="G27" s="657" t="s">
        <v>843</v>
      </c>
      <c r="H27" s="657" t="s">
        <v>844</v>
      </c>
      <c r="I27" s="657" t="s">
        <v>841</v>
      </c>
      <c r="J27" s="838">
        <v>39066</v>
      </c>
      <c r="K27" s="838">
        <v>39063</v>
      </c>
      <c r="L27" s="657" t="s">
        <v>845</v>
      </c>
      <c r="M27" s="657">
        <v>720</v>
      </c>
      <c r="N27" s="657">
        <v>3240</v>
      </c>
      <c r="O27" s="657">
        <v>3645</v>
      </c>
      <c r="P27" s="657">
        <v>0</v>
      </c>
      <c r="Q27" s="657">
        <v>0</v>
      </c>
      <c r="R27" s="657">
        <v>0</v>
      </c>
      <c r="S27" s="657">
        <v>2025</v>
      </c>
      <c r="T27" s="657">
        <v>6075</v>
      </c>
      <c r="U27" s="657">
        <v>0</v>
      </c>
      <c r="V27" s="657">
        <v>0</v>
      </c>
      <c r="W27" s="657">
        <v>0</v>
      </c>
      <c r="X27" s="657">
        <v>10</v>
      </c>
      <c r="Y27" s="657" t="s">
        <v>112</v>
      </c>
      <c r="Z27" s="659" t="s">
        <v>112</v>
      </c>
    </row>
    <row r="28" spans="1:26" s="611" customFormat="1" ht="38.25">
      <c r="A28" s="610"/>
      <c r="B28" s="839">
        <v>23060</v>
      </c>
      <c r="C28" s="839">
        <v>1745</v>
      </c>
      <c r="D28" s="658" t="s">
        <v>846</v>
      </c>
      <c r="E28" s="657" t="s">
        <v>847</v>
      </c>
      <c r="F28" s="657" t="s">
        <v>848</v>
      </c>
      <c r="G28" s="657" t="s">
        <v>843</v>
      </c>
      <c r="H28" s="657" t="s">
        <v>844</v>
      </c>
      <c r="I28" s="657" t="s">
        <v>847</v>
      </c>
      <c r="J28" s="838">
        <v>40444</v>
      </c>
      <c r="K28" s="838">
        <v>40444</v>
      </c>
      <c r="L28" s="657" t="s">
        <v>845</v>
      </c>
      <c r="M28" s="657">
        <v>294</v>
      </c>
      <c r="N28" s="657">
        <v>1323</v>
      </c>
      <c r="O28" s="657">
        <v>1488.375</v>
      </c>
      <c r="P28" s="657">
        <v>0</v>
      </c>
      <c r="Q28" s="657">
        <v>0</v>
      </c>
      <c r="R28" s="657">
        <v>0</v>
      </c>
      <c r="S28" s="657">
        <v>826.875</v>
      </c>
      <c r="T28" s="657">
        <v>2480.625</v>
      </c>
      <c r="U28" s="657">
        <v>0</v>
      </c>
      <c r="V28" s="657">
        <v>0</v>
      </c>
      <c r="W28" s="657">
        <v>0</v>
      </c>
      <c r="X28" s="657">
        <v>10</v>
      </c>
      <c r="Y28" s="657" t="s">
        <v>112</v>
      </c>
      <c r="Z28" s="659" t="s">
        <v>112</v>
      </c>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1014</v>
      </c>
      <c r="N57" s="615">
        <f>SUM(N27:N56)</f>
        <v>4563</v>
      </c>
      <c r="O57" s="615">
        <f t="shared" ref="O57:W57" si="2">SUM(O27:O56)</f>
        <v>5133.375</v>
      </c>
      <c r="P57" s="615">
        <f t="shared" si="2"/>
        <v>0</v>
      </c>
      <c r="Q57" s="615">
        <f t="shared" si="2"/>
        <v>0</v>
      </c>
      <c r="R57" s="615">
        <f t="shared" si="2"/>
        <v>0</v>
      </c>
      <c r="S57" s="615">
        <f t="shared" si="2"/>
        <v>2851.875</v>
      </c>
      <c r="T57" s="615">
        <f t="shared" si="2"/>
        <v>8555.625</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1014</v>
      </c>
      <c r="N60" s="620">
        <f t="shared" ref="N60:W60" si="4">SUMIF($Z$27:$Z$56,"landbouw",N27:N56)</f>
        <v>4563</v>
      </c>
      <c r="O60" s="620">
        <f t="shared" si="4"/>
        <v>5133.375</v>
      </c>
      <c r="P60" s="620">
        <f t="shared" si="4"/>
        <v>0</v>
      </c>
      <c r="Q60" s="620">
        <f t="shared" si="4"/>
        <v>0</v>
      </c>
      <c r="R60" s="620">
        <f t="shared" si="4"/>
        <v>0</v>
      </c>
      <c r="S60" s="620">
        <f t="shared" si="4"/>
        <v>2851.875</v>
      </c>
      <c r="T60" s="620">
        <f t="shared" si="4"/>
        <v>8555.625</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0.52941176470588236</v>
      </c>
      <c r="C97" s="640">
        <f>IF(ISERROR(N57/(O57+N57)),0,N57/(N57+O57))</f>
        <v>0.47058823529411764</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1342.0588235294117</v>
      </c>
      <c r="F100" s="649">
        <f t="shared" si="9"/>
        <v>4026.1764705882351</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1509.8161764705883</v>
      </c>
      <c r="F101" s="652">
        <f t="shared" si="10"/>
        <v>4529.4485294117649</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9660.8152967348797</v>
      </c>
      <c r="D10" s="704">
        <f ca="1">tertiair!C16</f>
        <v>0</v>
      </c>
      <c r="E10" s="704">
        <f ca="1">tertiair!D16</f>
        <v>10348.582295133043</v>
      </c>
      <c r="F10" s="704">
        <f>tertiair!E16</f>
        <v>123.30998815676429</v>
      </c>
      <c r="G10" s="704">
        <f ca="1">tertiair!F16</f>
        <v>1705.9734156872487</v>
      </c>
      <c r="H10" s="704">
        <f>tertiair!G16</f>
        <v>0</v>
      </c>
      <c r="I10" s="704">
        <f>tertiair!H16</f>
        <v>0</v>
      </c>
      <c r="J10" s="704">
        <f>tertiair!I16</f>
        <v>0</v>
      </c>
      <c r="K10" s="704">
        <f>tertiair!J16</f>
        <v>0</v>
      </c>
      <c r="L10" s="704">
        <f>tertiair!K16</f>
        <v>0</v>
      </c>
      <c r="M10" s="704">
        <f ca="1">tertiair!L16</f>
        <v>0</v>
      </c>
      <c r="N10" s="704">
        <f>tertiair!M16</f>
        <v>0</v>
      </c>
      <c r="O10" s="704">
        <f ca="1">tertiair!N16</f>
        <v>625.38433915862106</v>
      </c>
      <c r="P10" s="704">
        <f>tertiair!O16</f>
        <v>1.5633333333333335</v>
      </c>
      <c r="Q10" s="705">
        <f>tertiair!P16</f>
        <v>19.066666666666666</v>
      </c>
      <c r="R10" s="707">
        <f ca="1">SUM(C10:Q10)</f>
        <v>22484.69533487055</v>
      </c>
      <c r="S10" s="67"/>
    </row>
    <row r="11" spans="1:19" s="459" customFormat="1">
      <c r="A11" s="858" t="s">
        <v>225</v>
      </c>
      <c r="B11" s="863"/>
      <c r="C11" s="704">
        <f>huishoudens!B8</f>
        <v>28159.322464801095</v>
      </c>
      <c r="D11" s="704">
        <f>huishoudens!C8</f>
        <v>0</v>
      </c>
      <c r="E11" s="704">
        <f>huishoudens!D8</f>
        <v>47818.496459978793</v>
      </c>
      <c r="F11" s="704">
        <f>huishoudens!E8</f>
        <v>1728.9274502887295</v>
      </c>
      <c r="G11" s="704">
        <f>huishoudens!F8</f>
        <v>18661.716932431958</v>
      </c>
      <c r="H11" s="704">
        <f>huishoudens!G8</f>
        <v>0</v>
      </c>
      <c r="I11" s="704">
        <f>huishoudens!H8</f>
        <v>0</v>
      </c>
      <c r="J11" s="704">
        <f>huishoudens!I8</f>
        <v>0</v>
      </c>
      <c r="K11" s="704">
        <f>huishoudens!J8</f>
        <v>0</v>
      </c>
      <c r="L11" s="704">
        <f>huishoudens!K8</f>
        <v>0</v>
      </c>
      <c r="M11" s="704">
        <f>huishoudens!L8</f>
        <v>0</v>
      </c>
      <c r="N11" s="704">
        <f>huishoudens!M8</f>
        <v>0</v>
      </c>
      <c r="O11" s="704">
        <f>huishoudens!N8</f>
        <v>10937.739562494547</v>
      </c>
      <c r="P11" s="704">
        <f>huishoudens!O8</f>
        <v>140.70000000000002</v>
      </c>
      <c r="Q11" s="705">
        <f>huishoudens!P8</f>
        <v>724.5333333333333</v>
      </c>
      <c r="R11" s="707">
        <f>SUM(C11:Q11)</f>
        <v>108171.43620332846</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6297.3009602543534</v>
      </c>
      <c r="D13" s="704">
        <f>industrie!C18</f>
        <v>0</v>
      </c>
      <c r="E13" s="704">
        <f>industrie!D18</f>
        <v>5473.8338260514111</v>
      </c>
      <c r="F13" s="704">
        <f>industrie!E18</f>
        <v>722.59570881518937</v>
      </c>
      <c r="G13" s="704">
        <f>industrie!F18</f>
        <v>2561.723162124898</v>
      </c>
      <c r="H13" s="704">
        <f>industrie!G18</f>
        <v>0</v>
      </c>
      <c r="I13" s="704">
        <f>industrie!H18</f>
        <v>0</v>
      </c>
      <c r="J13" s="704">
        <f>industrie!I18</f>
        <v>0</v>
      </c>
      <c r="K13" s="704">
        <f>industrie!J18</f>
        <v>10.979782934592581</v>
      </c>
      <c r="L13" s="704">
        <f>industrie!K18</f>
        <v>0</v>
      </c>
      <c r="M13" s="704">
        <f>industrie!L18</f>
        <v>0</v>
      </c>
      <c r="N13" s="704">
        <f>industrie!M18</f>
        <v>0</v>
      </c>
      <c r="O13" s="704">
        <f>industrie!N18</f>
        <v>1470.049413796216</v>
      </c>
      <c r="P13" s="704">
        <f>industrie!O18</f>
        <v>0</v>
      </c>
      <c r="Q13" s="705">
        <f>industrie!P18</f>
        <v>0</v>
      </c>
      <c r="R13" s="707">
        <f>SUM(C13:Q13)</f>
        <v>16536.48285397666</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44117.438721790328</v>
      </c>
      <c r="D15" s="709">
        <f t="shared" ref="D15:Q15" ca="1" si="0">SUM(D9:D14)</f>
        <v>0</v>
      </c>
      <c r="E15" s="709">
        <f t="shared" ca="1" si="0"/>
        <v>63640.912581163248</v>
      </c>
      <c r="F15" s="709">
        <f t="shared" si="0"/>
        <v>2574.8331472606833</v>
      </c>
      <c r="G15" s="709">
        <f t="shared" ca="1" si="0"/>
        <v>22929.413510244103</v>
      </c>
      <c r="H15" s="709">
        <f t="shared" si="0"/>
        <v>0</v>
      </c>
      <c r="I15" s="709">
        <f t="shared" si="0"/>
        <v>0</v>
      </c>
      <c r="J15" s="709">
        <f t="shared" si="0"/>
        <v>0</v>
      </c>
      <c r="K15" s="709">
        <f t="shared" si="0"/>
        <v>10.979782934592581</v>
      </c>
      <c r="L15" s="709">
        <f t="shared" si="0"/>
        <v>0</v>
      </c>
      <c r="M15" s="709">
        <f t="shared" ca="1" si="0"/>
        <v>0</v>
      </c>
      <c r="N15" s="709">
        <f t="shared" si="0"/>
        <v>0</v>
      </c>
      <c r="O15" s="709">
        <f t="shared" ca="1" si="0"/>
        <v>13033.173315449385</v>
      </c>
      <c r="P15" s="709">
        <f t="shared" si="0"/>
        <v>142.26333333333335</v>
      </c>
      <c r="Q15" s="710">
        <f t="shared" si="0"/>
        <v>743.6</v>
      </c>
      <c r="R15" s="711">
        <f ca="1">SUM(R9:R14)</f>
        <v>147192.61439217566</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623.36957566696594</v>
      </c>
      <c r="I18" s="704">
        <f>transport!H54</f>
        <v>0</v>
      </c>
      <c r="J18" s="704">
        <f>transport!I54</f>
        <v>0</v>
      </c>
      <c r="K18" s="704">
        <f>transport!J54</f>
        <v>0</v>
      </c>
      <c r="L18" s="704">
        <f>transport!K54</f>
        <v>0</v>
      </c>
      <c r="M18" s="704">
        <f>transport!L54</f>
        <v>0</v>
      </c>
      <c r="N18" s="704">
        <f>transport!M54</f>
        <v>27.722769739764889</v>
      </c>
      <c r="O18" s="704">
        <f>transport!N54</f>
        <v>0</v>
      </c>
      <c r="P18" s="704">
        <f>transport!O54</f>
        <v>0</v>
      </c>
      <c r="Q18" s="705">
        <f>transport!P54</f>
        <v>0</v>
      </c>
      <c r="R18" s="707">
        <f>SUM(C18:Q18)</f>
        <v>651.09234540673083</v>
      </c>
      <c r="S18" s="67"/>
    </row>
    <row r="19" spans="1:19" s="459" customFormat="1" ht="15" thickBot="1">
      <c r="A19" s="858" t="s">
        <v>307</v>
      </c>
      <c r="B19" s="863"/>
      <c r="C19" s="713">
        <f>transport!B14</f>
        <v>3.4796848375363716</v>
      </c>
      <c r="D19" s="713">
        <f>transport!C14</f>
        <v>0</v>
      </c>
      <c r="E19" s="713">
        <f>transport!D14</f>
        <v>6.2263850551667783</v>
      </c>
      <c r="F19" s="713">
        <f>transport!E14</f>
        <v>188.21268114946039</v>
      </c>
      <c r="G19" s="713">
        <f>transport!F14</f>
        <v>0</v>
      </c>
      <c r="H19" s="713">
        <f>transport!G14</f>
        <v>48826.144321227861</v>
      </c>
      <c r="I19" s="713">
        <f>transport!H14</f>
        <v>9291.9609612607437</v>
      </c>
      <c r="J19" s="713">
        <f>transport!I14</f>
        <v>0</v>
      </c>
      <c r="K19" s="713">
        <f>transport!J14</f>
        <v>0</v>
      </c>
      <c r="L19" s="713">
        <f>transport!K14</f>
        <v>0</v>
      </c>
      <c r="M19" s="713">
        <f>transport!L14</f>
        <v>0</v>
      </c>
      <c r="N19" s="713">
        <f>transport!M14</f>
        <v>2600.4132339885909</v>
      </c>
      <c r="O19" s="713">
        <f>transport!N14</f>
        <v>0</v>
      </c>
      <c r="P19" s="713">
        <f>transport!O14</f>
        <v>0</v>
      </c>
      <c r="Q19" s="714">
        <f>transport!P14</f>
        <v>0</v>
      </c>
      <c r="R19" s="715">
        <f>SUM(C19:Q19)</f>
        <v>60916.437267519359</v>
      </c>
      <c r="S19" s="67"/>
    </row>
    <row r="20" spans="1:19" s="459" customFormat="1" ht="15.75" thickBot="1">
      <c r="A20" s="716" t="s">
        <v>230</v>
      </c>
      <c r="B20" s="866"/>
      <c r="C20" s="861">
        <f>SUM(C17:C19)</f>
        <v>3.4796848375363716</v>
      </c>
      <c r="D20" s="717">
        <f t="shared" ref="D20:R20" si="1">SUM(D17:D19)</f>
        <v>0</v>
      </c>
      <c r="E20" s="717">
        <f t="shared" si="1"/>
        <v>6.2263850551667783</v>
      </c>
      <c r="F20" s="717">
        <f t="shared" si="1"/>
        <v>188.21268114946039</v>
      </c>
      <c r="G20" s="717">
        <f t="shared" si="1"/>
        <v>0</v>
      </c>
      <c r="H20" s="717">
        <f t="shared" si="1"/>
        <v>49449.51389689483</v>
      </c>
      <c r="I20" s="717">
        <f t="shared" si="1"/>
        <v>9291.9609612607437</v>
      </c>
      <c r="J20" s="717">
        <f t="shared" si="1"/>
        <v>0</v>
      </c>
      <c r="K20" s="717">
        <f t="shared" si="1"/>
        <v>0</v>
      </c>
      <c r="L20" s="717">
        <f t="shared" si="1"/>
        <v>0</v>
      </c>
      <c r="M20" s="717">
        <f t="shared" si="1"/>
        <v>0</v>
      </c>
      <c r="N20" s="717">
        <f t="shared" si="1"/>
        <v>2628.1360037283557</v>
      </c>
      <c r="O20" s="717">
        <f t="shared" si="1"/>
        <v>0</v>
      </c>
      <c r="P20" s="717">
        <f t="shared" si="1"/>
        <v>0</v>
      </c>
      <c r="Q20" s="718">
        <f t="shared" si="1"/>
        <v>0</v>
      </c>
      <c r="R20" s="719">
        <f t="shared" si="1"/>
        <v>61567.52961292609</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1116.5253724922479</v>
      </c>
      <c r="D22" s="713">
        <f>+landbouw!C8</f>
        <v>5133.375</v>
      </c>
      <c r="E22" s="713">
        <f>+landbouw!D8</f>
        <v>894.42109151755994</v>
      </c>
      <c r="F22" s="713">
        <f>+landbouw!E8</f>
        <v>14.069658070533762</v>
      </c>
      <c r="G22" s="713">
        <f>+landbouw!F8</f>
        <v>1000.4172414172026</v>
      </c>
      <c r="H22" s="713">
        <f>+landbouw!G8</f>
        <v>0</v>
      </c>
      <c r="I22" s="713">
        <f>+landbouw!H8</f>
        <v>0</v>
      </c>
      <c r="J22" s="713">
        <f>+landbouw!I8</f>
        <v>0</v>
      </c>
      <c r="K22" s="713">
        <f>+landbouw!J8</f>
        <v>167.91272381034949</v>
      </c>
      <c r="L22" s="713">
        <f>+landbouw!K8</f>
        <v>0</v>
      </c>
      <c r="M22" s="713">
        <f>+landbouw!L8</f>
        <v>0</v>
      </c>
      <c r="N22" s="713">
        <f>+landbouw!M8</f>
        <v>0</v>
      </c>
      <c r="O22" s="713">
        <f>+landbouw!N8</f>
        <v>0</v>
      </c>
      <c r="P22" s="713">
        <f>+landbouw!O8</f>
        <v>0</v>
      </c>
      <c r="Q22" s="714">
        <f>+landbouw!P8</f>
        <v>0</v>
      </c>
      <c r="R22" s="715">
        <f>SUM(C22:Q22)</f>
        <v>8326.721087307893</v>
      </c>
      <c r="S22" s="67"/>
    </row>
    <row r="23" spans="1:19" s="459" customFormat="1" ht="17.25" thickTop="1" thickBot="1">
      <c r="A23" s="720" t="s">
        <v>116</v>
      </c>
      <c r="B23" s="852"/>
      <c r="C23" s="721">
        <f ca="1">C20+C15+C22</f>
        <v>45237.443779120113</v>
      </c>
      <c r="D23" s="721">
        <f t="shared" ref="D23:Q23" ca="1" si="2">D20+D15+D22</f>
        <v>5133.375</v>
      </c>
      <c r="E23" s="721">
        <f t="shared" ca="1" si="2"/>
        <v>64541.560057735973</v>
      </c>
      <c r="F23" s="721">
        <f t="shared" si="2"/>
        <v>2777.1154864806776</v>
      </c>
      <c r="G23" s="721">
        <f t="shared" ca="1" si="2"/>
        <v>23929.830751661306</v>
      </c>
      <c r="H23" s="721">
        <f t="shared" si="2"/>
        <v>49449.51389689483</v>
      </c>
      <c r="I23" s="721">
        <f t="shared" si="2"/>
        <v>9291.9609612607437</v>
      </c>
      <c r="J23" s="721">
        <f t="shared" si="2"/>
        <v>0</v>
      </c>
      <c r="K23" s="721">
        <f t="shared" si="2"/>
        <v>178.89250674494207</v>
      </c>
      <c r="L23" s="721">
        <f t="shared" si="2"/>
        <v>0</v>
      </c>
      <c r="M23" s="721">
        <f t="shared" ca="1" si="2"/>
        <v>0</v>
      </c>
      <c r="N23" s="721">
        <f t="shared" si="2"/>
        <v>2628.1360037283557</v>
      </c>
      <c r="O23" s="721">
        <f t="shared" ca="1" si="2"/>
        <v>13033.173315449385</v>
      </c>
      <c r="P23" s="721">
        <f t="shared" si="2"/>
        <v>142.26333333333335</v>
      </c>
      <c r="Q23" s="722">
        <f t="shared" si="2"/>
        <v>743.6</v>
      </c>
      <c r="R23" s="723">
        <f ca="1">R20+R15+R22</f>
        <v>217086.86509240966</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1837.6534816612811</v>
      </c>
      <c r="D36" s="704">
        <f ca="1">tertiair!C20</f>
        <v>0</v>
      </c>
      <c r="E36" s="704">
        <f ca="1">tertiair!D20</f>
        <v>2090.4136236168747</v>
      </c>
      <c r="F36" s="704">
        <f>tertiair!E20</f>
        <v>27.991367311585496</v>
      </c>
      <c r="G36" s="704">
        <f ca="1">tertiair!F20</f>
        <v>455.49490198849543</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4411.5533745782368</v>
      </c>
    </row>
    <row r="37" spans="1:18">
      <c r="A37" s="873" t="s">
        <v>225</v>
      </c>
      <c r="B37" s="880"/>
      <c r="C37" s="704">
        <f ca="1">huishoudens!B12</f>
        <v>5356.3881907724399</v>
      </c>
      <c r="D37" s="704">
        <f ca="1">huishoudens!C12</f>
        <v>0</v>
      </c>
      <c r="E37" s="704">
        <f>huishoudens!D12</f>
        <v>9659.3362849157165</v>
      </c>
      <c r="F37" s="704">
        <f>huishoudens!E12</f>
        <v>392.46653121554158</v>
      </c>
      <c r="G37" s="704">
        <f>huishoudens!F12</f>
        <v>4982.6784209593334</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20390.869427863028</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1197.8551166992584</v>
      </c>
      <c r="D39" s="704">
        <f ca="1">industrie!C22</f>
        <v>0</v>
      </c>
      <c r="E39" s="704">
        <f>industrie!D22</f>
        <v>1105.7144328623851</v>
      </c>
      <c r="F39" s="704">
        <f>industrie!E22</f>
        <v>164.02922590104799</v>
      </c>
      <c r="G39" s="704">
        <f>industrie!F22</f>
        <v>683.98008428734784</v>
      </c>
      <c r="H39" s="704">
        <f>industrie!G22</f>
        <v>0</v>
      </c>
      <c r="I39" s="704">
        <f>industrie!H22</f>
        <v>0</v>
      </c>
      <c r="J39" s="704">
        <f>industrie!I22</f>
        <v>0</v>
      </c>
      <c r="K39" s="704">
        <f>industrie!J22</f>
        <v>3.8868431588457737</v>
      </c>
      <c r="L39" s="704">
        <f>industrie!K22</f>
        <v>0</v>
      </c>
      <c r="M39" s="704">
        <f>industrie!L22</f>
        <v>0</v>
      </c>
      <c r="N39" s="704">
        <f>industrie!M22</f>
        <v>0</v>
      </c>
      <c r="O39" s="704">
        <f>industrie!N22</f>
        <v>0</v>
      </c>
      <c r="P39" s="704">
        <f>industrie!O22</f>
        <v>0</v>
      </c>
      <c r="Q39" s="814">
        <f>industrie!P22</f>
        <v>0</v>
      </c>
      <c r="R39" s="906">
        <f ca="1">SUM(C39:Q39)</f>
        <v>3155.4657029088853</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8391.8967891329794</v>
      </c>
      <c r="D41" s="749">
        <f t="shared" ref="D41:R41" ca="1" si="4">SUM(D35:D40)</f>
        <v>0</v>
      </c>
      <c r="E41" s="749">
        <f t="shared" ca="1" si="4"/>
        <v>12855.464341394976</v>
      </c>
      <c r="F41" s="749">
        <f t="shared" si="4"/>
        <v>584.48712442817509</v>
      </c>
      <c r="G41" s="749">
        <f t="shared" ca="1" si="4"/>
        <v>6122.1534072351769</v>
      </c>
      <c r="H41" s="749">
        <f t="shared" si="4"/>
        <v>0</v>
      </c>
      <c r="I41" s="749">
        <f t="shared" si="4"/>
        <v>0</v>
      </c>
      <c r="J41" s="749">
        <f t="shared" si="4"/>
        <v>0</v>
      </c>
      <c r="K41" s="749">
        <f t="shared" si="4"/>
        <v>3.8868431588457737</v>
      </c>
      <c r="L41" s="749">
        <f t="shared" si="4"/>
        <v>0</v>
      </c>
      <c r="M41" s="749">
        <f t="shared" ca="1" si="4"/>
        <v>0</v>
      </c>
      <c r="N41" s="749">
        <f t="shared" si="4"/>
        <v>0</v>
      </c>
      <c r="O41" s="749">
        <f t="shared" ca="1" si="4"/>
        <v>0</v>
      </c>
      <c r="P41" s="749">
        <f t="shared" si="4"/>
        <v>0</v>
      </c>
      <c r="Q41" s="750">
        <f t="shared" si="4"/>
        <v>0</v>
      </c>
      <c r="R41" s="751">
        <f t="shared" ca="1" si="4"/>
        <v>27957.888505350151</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166.43967670307993</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166.43967670307993</v>
      </c>
    </row>
    <row r="45" spans="1:18" ht="15" thickBot="1">
      <c r="A45" s="876" t="s">
        <v>307</v>
      </c>
      <c r="B45" s="886"/>
      <c r="C45" s="713">
        <f ca="1">transport!B18</f>
        <v>0.66189599535598742</v>
      </c>
      <c r="D45" s="713">
        <f>transport!C18</f>
        <v>0</v>
      </c>
      <c r="E45" s="713">
        <f>transport!D18</f>
        <v>1.2577297811436894</v>
      </c>
      <c r="F45" s="713">
        <f>transport!E18</f>
        <v>42.724278620927514</v>
      </c>
      <c r="G45" s="713">
        <f>transport!F18</f>
        <v>0</v>
      </c>
      <c r="H45" s="713">
        <f>transport!G18</f>
        <v>13036.580533767839</v>
      </c>
      <c r="I45" s="713">
        <f>transport!H18</f>
        <v>2313.698279353925</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15394.922717519192</v>
      </c>
    </row>
    <row r="46" spans="1:18" ht="15.75" thickBot="1">
      <c r="A46" s="874" t="s">
        <v>230</v>
      </c>
      <c r="B46" s="887"/>
      <c r="C46" s="749">
        <f t="shared" ref="C46:R46" ca="1" si="5">SUM(C43:C45)</f>
        <v>0.66189599535598742</v>
      </c>
      <c r="D46" s="749">
        <f t="shared" ca="1" si="5"/>
        <v>0</v>
      </c>
      <c r="E46" s="749">
        <f t="shared" si="5"/>
        <v>1.2577297811436894</v>
      </c>
      <c r="F46" s="749">
        <f t="shared" si="5"/>
        <v>42.724278620927514</v>
      </c>
      <c r="G46" s="749">
        <f t="shared" si="5"/>
        <v>0</v>
      </c>
      <c r="H46" s="749">
        <f t="shared" si="5"/>
        <v>13203.020210470919</v>
      </c>
      <c r="I46" s="749">
        <f t="shared" si="5"/>
        <v>2313.698279353925</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15561.362394222271</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212.38235853831011</v>
      </c>
      <c r="D48" s="704">
        <f ca="1">+landbouw!C12</f>
        <v>403.12091911764708</v>
      </c>
      <c r="E48" s="704">
        <f>+landbouw!D12</f>
        <v>180.67306048654712</v>
      </c>
      <c r="F48" s="704">
        <f>+landbouw!E12</f>
        <v>3.1938123820111644</v>
      </c>
      <c r="G48" s="704">
        <f>+landbouw!F12</f>
        <v>267.11140345839311</v>
      </c>
      <c r="H48" s="704">
        <f>+landbouw!G12</f>
        <v>0</v>
      </c>
      <c r="I48" s="704">
        <f>+landbouw!H12</f>
        <v>0</v>
      </c>
      <c r="J48" s="704">
        <f>+landbouw!I12</f>
        <v>0</v>
      </c>
      <c r="K48" s="704">
        <f>+landbouw!J12</f>
        <v>59.441104228863715</v>
      </c>
      <c r="L48" s="704">
        <f>+landbouw!K12</f>
        <v>0</v>
      </c>
      <c r="M48" s="704">
        <f>+landbouw!L12</f>
        <v>0</v>
      </c>
      <c r="N48" s="704">
        <f>+landbouw!M12</f>
        <v>0</v>
      </c>
      <c r="O48" s="704">
        <f>+landbouw!N12</f>
        <v>0</v>
      </c>
      <c r="P48" s="704">
        <f>+landbouw!O12</f>
        <v>0</v>
      </c>
      <c r="Q48" s="705">
        <f>+landbouw!P12</f>
        <v>0</v>
      </c>
      <c r="R48" s="747">
        <f ca="1">SUM(C48:Q48)</f>
        <v>1125.9226582117722</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8604.9410436666458</v>
      </c>
      <c r="D53" s="759">
        <f t="shared" ref="D53:Q53" ca="1" si="6">D41+D46+D48</f>
        <v>403.12091911764708</v>
      </c>
      <c r="E53" s="759">
        <f t="shared" ca="1" si="6"/>
        <v>13037.395131662668</v>
      </c>
      <c r="F53" s="759">
        <f t="shared" si="6"/>
        <v>630.40521543111379</v>
      </c>
      <c r="G53" s="759">
        <f t="shared" ca="1" si="6"/>
        <v>6389.2648106935703</v>
      </c>
      <c r="H53" s="759">
        <f t="shared" si="6"/>
        <v>13203.020210470919</v>
      </c>
      <c r="I53" s="759">
        <f t="shared" si="6"/>
        <v>2313.698279353925</v>
      </c>
      <c r="J53" s="759">
        <f t="shared" si="6"/>
        <v>0</v>
      </c>
      <c r="K53" s="759">
        <f t="shared" si="6"/>
        <v>63.327947387709486</v>
      </c>
      <c r="L53" s="759">
        <f t="shared" si="6"/>
        <v>0</v>
      </c>
      <c r="M53" s="759">
        <f t="shared" ca="1" si="6"/>
        <v>0</v>
      </c>
      <c r="N53" s="759">
        <f t="shared" si="6"/>
        <v>0</v>
      </c>
      <c r="O53" s="759">
        <f t="shared" ca="1" si="6"/>
        <v>0</v>
      </c>
      <c r="P53" s="759">
        <f>P41+P46+P48</f>
        <v>0</v>
      </c>
      <c r="Q53" s="760">
        <f t="shared" si="6"/>
        <v>0</v>
      </c>
      <c r="R53" s="761">
        <f ca="1">R41+R46+R48</f>
        <v>44645.17355778419</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0.19021722548430908</v>
      </c>
      <c r="D55" s="824">
        <f t="shared" ca="1" si="7"/>
        <v>7.8529411764705889E-2</v>
      </c>
      <c r="E55" s="824">
        <f t="shared" ca="1" si="7"/>
        <v>0.20200000000000001</v>
      </c>
      <c r="F55" s="824">
        <f t="shared" si="7"/>
        <v>0.22699999999999998</v>
      </c>
      <c r="G55" s="824">
        <f t="shared" ca="1" si="7"/>
        <v>0.26700000000000007</v>
      </c>
      <c r="H55" s="824">
        <f t="shared" si="7"/>
        <v>0.26699999999999996</v>
      </c>
      <c r="I55" s="824">
        <f t="shared" si="7"/>
        <v>0.24899999999999997</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3359.4603502319133</v>
      </c>
      <c r="C66" s="781">
        <f>'lokale energieproductie'!B6</f>
        <v>3359.4603502319133</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4563</v>
      </c>
      <c r="C67" s="780">
        <f>B67*IFERROR(SUM(J67:L67)/SUM(D67:M67),0)</f>
        <v>3422.25</v>
      </c>
      <c r="D67" s="812">
        <f>'lokale energieproductie'!C7</f>
        <v>0</v>
      </c>
      <c r="E67" s="813">
        <f>'lokale energieproductie'!D7</f>
        <v>0</v>
      </c>
      <c r="F67" s="813">
        <f>'lokale energieproductie'!E7</f>
        <v>1342.0588235294117</v>
      </c>
      <c r="G67" s="813">
        <f>'lokale energieproductie'!F7</f>
        <v>0</v>
      </c>
      <c r="H67" s="813">
        <f>'lokale energieproductie'!G7</f>
        <v>0</v>
      </c>
      <c r="I67" s="813">
        <f>'lokale energieproductie'!H7</f>
        <v>0</v>
      </c>
      <c r="J67" s="813">
        <f>'lokale energieproductie'!I7</f>
        <v>4026.1764705882351</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358.32970588235293</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7922.4603502319133</v>
      </c>
      <c r="C69" s="789">
        <f>SUM(C64:C68)</f>
        <v>6781.7103502319133</v>
      </c>
      <c r="D69" s="790">
        <f t="shared" ref="D69:M69" si="8">SUM(D67:D68)</f>
        <v>0</v>
      </c>
      <c r="E69" s="790">
        <f t="shared" si="8"/>
        <v>0</v>
      </c>
      <c r="F69" s="790">
        <f t="shared" si="8"/>
        <v>1342.0588235294117</v>
      </c>
      <c r="G69" s="790">
        <f t="shared" si="8"/>
        <v>0</v>
      </c>
      <c r="H69" s="790">
        <f t="shared" si="8"/>
        <v>0</v>
      </c>
      <c r="I69" s="790">
        <f t="shared" si="8"/>
        <v>0</v>
      </c>
      <c r="J69" s="790">
        <f t="shared" si="8"/>
        <v>4026.1764705882351</v>
      </c>
      <c r="K69" s="790">
        <f t="shared" si="8"/>
        <v>0</v>
      </c>
      <c r="L69" s="790">
        <f t="shared" si="8"/>
        <v>0</v>
      </c>
      <c r="M69" s="918">
        <f t="shared" si="8"/>
        <v>0</v>
      </c>
      <c r="N69" s="791">
        <v>0</v>
      </c>
      <c r="O69" s="791">
        <f>SUM(O67:O68)</f>
        <v>358.32970588235293</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5133.375</v>
      </c>
      <c r="C78" s="803">
        <f>B78*IFERROR(SUM(I78:L78)/SUM(D78:M78),0)</f>
        <v>3850.03125</v>
      </c>
      <c r="D78" s="818">
        <f>'lokale energieproductie'!C16</f>
        <v>0</v>
      </c>
      <c r="E78" s="818">
        <f>'lokale energieproductie'!D16</f>
        <v>0</v>
      </c>
      <c r="F78" s="818">
        <f>'lokale energieproductie'!E16</f>
        <v>1509.8161764705883</v>
      </c>
      <c r="G78" s="818">
        <f>'lokale energieproductie'!F16</f>
        <v>0</v>
      </c>
      <c r="H78" s="818">
        <f>'lokale energieproductie'!G16</f>
        <v>0</v>
      </c>
      <c r="I78" s="818">
        <f>'lokale energieproductie'!H16</f>
        <v>0</v>
      </c>
      <c r="J78" s="818">
        <f>'lokale energieproductie'!I16</f>
        <v>4529.4485294117649</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403.12091911764708</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5133.375</v>
      </c>
      <c r="C81" s="789">
        <f>SUM(C78:C80)</f>
        <v>3850.03125</v>
      </c>
      <c r="D81" s="789">
        <f t="shared" ref="D81:P81" si="9">SUM(D78:D80)</f>
        <v>0</v>
      </c>
      <c r="E81" s="789">
        <f t="shared" si="9"/>
        <v>0</v>
      </c>
      <c r="F81" s="789">
        <f t="shared" si="9"/>
        <v>1509.8161764705883</v>
      </c>
      <c r="G81" s="789">
        <f t="shared" si="9"/>
        <v>0</v>
      </c>
      <c r="H81" s="789">
        <f t="shared" si="9"/>
        <v>0</v>
      </c>
      <c r="I81" s="789">
        <f t="shared" si="9"/>
        <v>0</v>
      </c>
      <c r="J81" s="789">
        <f t="shared" si="9"/>
        <v>4529.4485294117649</v>
      </c>
      <c r="K81" s="789">
        <f t="shared" si="9"/>
        <v>0</v>
      </c>
      <c r="L81" s="789">
        <f t="shared" si="9"/>
        <v>0</v>
      </c>
      <c r="M81" s="789">
        <f t="shared" si="9"/>
        <v>0</v>
      </c>
      <c r="N81" s="789">
        <v>0</v>
      </c>
      <c r="O81" s="789">
        <f>SUM(O78:O80)</f>
        <v>403.12091911764708</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28159.322464801095</v>
      </c>
      <c r="C4" s="463">
        <f>huishoudens!C8</f>
        <v>0</v>
      </c>
      <c r="D4" s="463">
        <f>huishoudens!D8</f>
        <v>47818.496459978793</v>
      </c>
      <c r="E4" s="463">
        <f>huishoudens!E8</f>
        <v>1728.9274502887295</v>
      </c>
      <c r="F4" s="463">
        <f>huishoudens!F8</f>
        <v>18661.716932431958</v>
      </c>
      <c r="G4" s="463">
        <f>huishoudens!G8</f>
        <v>0</v>
      </c>
      <c r="H4" s="463">
        <f>huishoudens!H8</f>
        <v>0</v>
      </c>
      <c r="I4" s="463">
        <f>huishoudens!I8</f>
        <v>0</v>
      </c>
      <c r="J4" s="463">
        <f>huishoudens!J8</f>
        <v>0</v>
      </c>
      <c r="K4" s="463">
        <f>huishoudens!K8</f>
        <v>0</v>
      </c>
      <c r="L4" s="463">
        <f>huishoudens!L8</f>
        <v>0</v>
      </c>
      <c r="M4" s="463">
        <f>huishoudens!M8</f>
        <v>0</v>
      </c>
      <c r="N4" s="463">
        <f>huishoudens!N8</f>
        <v>10937.739562494547</v>
      </c>
      <c r="O4" s="463">
        <f>huishoudens!O8</f>
        <v>140.70000000000002</v>
      </c>
      <c r="P4" s="464">
        <f>huishoudens!P8</f>
        <v>724.5333333333333</v>
      </c>
      <c r="Q4" s="465">
        <f>SUM(B4:P4)</f>
        <v>108171.43620332846</v>
      </c>
    </row>
    <row r="5" spans="1:17">
      <c r="A5" s="462" t="s">
        <v>156</v>
      </c>
      <c r="B5" s="463">
        <f ca="1">tertiair!B16</f>
        <v>8696.1942967348805</v>
      </c>
      <c r="C5" s="463">
        <f ca="1">tertiair!C16</f>
        <v>0</v>
      </c>
      <c r="D5" s="463">
        <f ca="1">tertiair!D16</f>
        <v>10348.582295133043</v>
      </c>
      <c r="E5" s="463">
        <f>tertiair!E16</f>
        <v>123.30998815676429</v>
      </c>
      <c r="F5" s="463">
        <f ca="1">tertiair!F16</f>
        <v>1705.9734156872487</v>
      </c>
      <c r="G5" s="463">
        <f>tertiair!G16</f>
        <v>0</v>
      </c>
      <c r="H5" s="463">
        <f>tertiair!H16</f>
        <v>0</v>
      </c>
      <c r="I5" s="463">
        <f>tertiair!I16</f>
        <v>0</v>
      </c>
      <c r="J5" s="463">
        <f>tertiair!J16</f>
        <v>0</v>
      </c>
      <c r="K5" s="463">
        <f>tertiair!K16</f>
        <v>0</v>
      </c>
      <c r="L5" s="463">
        <f ca="1">tertiair!L16</f>
        <v>0</v>
      </c>
      <c r="M5" s="463">
        <f>tertiair!M16</f>
        <v>0</v>
      </c>
      <c r="N5" s="463">
        <f ca="1">tertiair!N16</f>
        <v>625.38433915862106</v>
      </c>
      <c r="O5" s="463">
        <f>tertiair!O16</f>
        <v>1.5633333333333335</v>
      </c>
      <c r="P5" s="464">
        <f>tertiair!P16</f>
        <v>19.066666666666666</v>
      </c>
      <c r="Q5" s="462">
        <f t="shared" ref="Q5:Q13" ca="1" si="0">SUM(B5:P5)</f>
        <v>21520.074334870551</v>
      </c>
    </row>
    <row r="6" spans="1:17">
      <c r="A6" s="462" t="s">
        <v>194</v>
      </c>
      <c r="B6" s="463">
        <f>'openbare verlichting'!B8</f>
        <v>964.62099999999998</v>
      </c>
      <c r="C6" s="463"/>
      <c r="D6" s="463"/>
      <c r="E6" s="463"/>
      <c r="F6" s="463"/>
      <c r="G6" s="463"/>
      <c r="H6" s="463"/>
      <c r="I6" s="463"/>
      <c r="J6" s="463"/>
      <c r="K6" s="463"/>
      <c r="L6" s="463"/>
      <c r="M6" s="463"/>
      <c r="N6" s="463"/>
      <c r="O6" s="463"/>
      <c r="P6" s="464"/>
      <c r="Q6" s="462">
        <f t="shared" si="0"/>
        <v>964.62099999999998</v>
      </c>
    </row>
    <row r="7" spans="1:17">
      <c r="A7" s="462" t="s">
        <v>112</v>
      </c>
      <c r="B7" s="463">
        <f>landbouw!B8</f>
        <v>1116.5253724922479</v>
      </c>
      <c r="C7" s="463">
        <f>landbouw!C8</f>
        <v>5133.375</v>
      </c>
      <c r="D7" s="463">
        <f>landbouw!D8</f>
        <v>894.42109151755994</v>
      </c>
      <c r="E7" s="463">
        <f>landbouw!E8</f>
        <v>14.069658070533762</v>
      </c>
      <c r="F7" s="463">
        <f>landbouw!F8</f>
        <v>1000.4172414172026</v>
      </c>
      <c r="G7" s="463">
        <f>landbouw!G8</f>
        <v>0</v>
      </c>
      <c r="H7" s="463">
        <f>landbouw!H8</f>
        <v>0</v>
      </c>
      <c r="I7" s="463">
        <f>landbouw!I8</f>
        <v>0</v>
      </c>
      <c r="J7" s="463">
        <f>landbouw!J8</f>
        <v>167.91272381034949</v>
      </c>
      <c r="K7" s="463">
        <f>landbouw!K8</f>
        <v>0</v>
      </c>
      <c r="L7" s="463">
        <f>landbouw!L8</f>
        <v>0</v>
      </c>
      <c r="M7" s="463">
        <f>landbouw!M8</f>
        <v>0</v>
      </c>
      <c r="N7" s="463">
        <f>landbouw!N8</f>
        <v>0</v>
      </c>
      <c r="O7" s="463">
        <f>landbouw!O8</f>
        <v>0</v>
      </c>
      <c r="P7" s="464">
        <f>landbouw!P8</f>
        <v>0</v>
      </c>
      <c r="Q7" s="462">
        <f t="shared" si="0"/>
        <v>8326.721087307893</v>
      </c>
    </row>
    <row r="8" spans="1:17">
      <c r="A8" s="462" t="s">
        <v>657</v>
      </c>
      <c r="B8" s="463">
        <f>industrie!B18</f>
        <v>6297.3009602543534</v>
      </c>
      <c r="C8" s="463">
        <f>industrie!C18</f>
        <v>0</v>
      </c>
      <c r="D8" s="463">
        <f>industrie!D18</f>
        <v>5473.8338260514111</v>
      </c>
      <c r="E8" s="463">
        <f>industrie!E18</f>
        <v>722.59570881518937</v>
      </c>
      <c r="F8" s="463">
        <f>industrie!F18</f>
        <v>2561.723162124898</v>
      </c>
      <c r="G8" s="463">
        <f>industrie!G18</f>
        <v>0</v>
      </c>
      <c r="H8" s="463">
        <f>industrie!H18</f>
        <v>0</v>
      </c>
      <c r="I8" s="463">
        <f>industrie!I18</f>
        <v>0</v>
      </c>
      <c r="J8" s="463">
        <f>industrie!J18</f>
        <v>10.979782934592581</v>
      </c>
      <c r="K8" s="463">
        <f>industrie!K18</f>
        <v>0</v>
      </c>
      <c r="L8" s="463">
        <f>industrie!L18</f>
        <v>0</v>
      </c>
      <c r="M8" s="463">
        <f>industrie!M18</f>
        <v>0</v>
      </c>
      <c r="N8" s="463">
        <f>industrie!N18</f>
        <v>1470.049413796216</v>
      </c>
      <c r="O8" s="463">
        <f>industrie!O18</f>
        <v>0</v>
      </c>
      <c r="P8" s="464">
        <f>industrie!P18</f>
        <v>0</v>
      </c>
      <c r="Q8" s="462">
        <f t="shared" si="0"/>
        <v>16536.48285397666</v>
      </c>
    </row>
    <row r="9" spans="1:17" s="468" customFormat="1">
      <c r="A9" s="466" t="s">
        <v>574</v>
      </c>
      <c r="B9" s="467">
        <f>transport!B14</f>
        <v>3.4796848375363716</v>
      </c>
      <c r="C9" s="467">
        <f>transport!C14</f>
        <v>0</v>
      </c>
      <c r="D9" s="467">
        <f>transport!D14</f>
        <v>6.2263850551667783</v>
      </c>
      <c r="E9" s="467">
        <f>transport!E14</f>
        <v>188.21268114946039</v>
      </c>
      <c r="F9" s="467">
        <f>transport!F14</f>
        <v>0</v>
      </c>
      <c r="G9" s="467">
        <f>transport!G14</f>
        <v>48826.144321227861</v>
      </c>
      <c r="H9" s="467">
        <f>transport!H14</f>
        <v>9291.9609612607437</v>
      </c>
      <c r="I9" s="467">
        <f>transport!I14</f>
        <v>0</v>
      </c>
      <c r="J9" s="467">
        <f>transport!J14</f>
        <v>0</v>
      </c>
      <c r="K9" s="467">
        <f>transport!K14</f>
        <v>0</v>
      </c>
      <c r="L9" s="467">
        <f>transport!L14</f>
        <v>0</v>
      </c>
      <c r="M9" s="467">
        <f>transport!M14</f>
        <v>2600.4132339885909</v>
      </c>
      <c r="N9" s="467">
        <f>transport!N14</f>
        <v>0</v>
      </c>
      <c r="O9" s="467">
        <f>transport!O14</f>
        <v>0</v>
      </c>
      <c r="P9" s="467">
        <f>transport!P14</f>
        <v>0</v>
      </c>
      <c r="Q9" s="466">
        <f>SUM(B9:P9)</f>
        <v>60916.437267519359</v>
      </c>
    </row>
    <row r="10" spans="1:17">
      <c r="A10" s="462" t="s">
        <v>564</v>
      </c>
      <c r="B10" s="463">
        <f>transport!B54</f>
        <v>0</v>
      </c>
      <c r="C10" s="463">
        <f>transport!C54</f>
        <v>0</v>
      </c>
      <c r="D10" s="463">
        <f>transport!D54</f>
        <v>0</v>
      </c>
      <c r="E10" s="463">
        <f>transport!E54</f>
        <v>0</v>
      </c>
      <c r="F10" s="463">
        <f>transport!F54</f>
        <v>0</v>
      </c>
      <c r="G10" s="463">
        <f>transport!G54</f>
        <v>623.36957566696594</v>
      </c>
      <c r="H10" s="463">
        <f>transport!H54</f>
        <v>0</v>
      </c>
      <c r="I10" s="463">
        <f>transport!I54</f>
        <v>0</v>
      </c>
      <c r="J10" s="463">
        <f>transport!J54</f>
        <v>0</v>
      </c>
      <c r="K10" s="463">
        <f>transport!K54</f>
        <v>0</v>
      </c>
      <c r="L10" s="463">
        <f>transport!L54</f>
        <v>0</v>
      </c>
      <c r="M10" s="463">
        <f>transport!M54</f>
        <v>27.722769739764889</v>
      </c>
      <c r="N10" s="463">
        <f>transport!N54</f>
        <v>0</v>
      </c>
      <c r="O10" s="463">
        <f>transport!O54</f>
        <v>0</v>
      </c>
      <c r="P10" s="464">
        <f>transport!P54</f>
        <v>0</v>
      </c>
      <c r="Q10" s="462">
        <f t="shared" si="0"/>
        <v>651.09234540673083</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45237.443779120113</v>
      </c>
      <c r="C14" s="473">
        <f t="shared" ref="C14:Q14" ca="1" si="1">SUM(C4:C13)</f>
        <v>5133.375</v>
      </c>
      <c r="D14" s="473">
        <f t="shared" ca="1" si="1"/>
        <v>64541.560057735973</v>
      </c>
      <c r="E14" s="473">
        <f t="shared" si="1"/>
        <v>2777.1154864806772</v>
      </c>
      <c r="F14" s="473">
        <f t="shared" ca="1" si="1"/>
        <v>23929.830751661306</v>
      </c>
      <c r="G14" s="473">
        <f t="shared" si="1"/>
        <v>49449.51389689483</v>
      </c>
      <c r="H14" s="473">
        <f t="shared" si="1"/>
        <v>9291.9609612607437</v>
      </c>
      <c r="I14" s="473">
        <f t="shared" si="1"/>
        <v>0</v>
      </c>
      <c r="J14" s="473">
        <f t="shared" si="1"/>
        <v>178.89250674494207</v>
      </c>
      <c r="K14" s="473">
        <f t="shared" si="1"/>
        <v>0</v>
      </c>
      <c r="L14" s="473">
        <f t="shared" ca="1" si="1"/>
        <v>0</v>
      </c>
      <c r="M14" s="473">
        <f t="shared" si="1"/>
        <v>2628.1360037283557</v>
      </c>
      <c r="N14" s="473">
        <f t="shared" ca="1" si="1"/>
        <v>13033.173315449385</v>
      </c>
      <c r="O14" s="473">
        <f t="shared" si="1"/>
        <v>142.26333333333335</v>
      </c>
      <c r="P14" s="474">
        <f t="shared" si="1"/>
        <v>743.6</v>
      </c>
      <c r="Q14" s="474">
        <f t="shared" ca="1" si="1"/>
        <v>217086.86509240966</v>
      </c>
    </row>
    <row r="16" spans="1:17">
      <c r="A16" s="476" t="s">
        <v>569</v>
      </c>
      <c r="B16" s="829">
        <f ca="1">huishoudens!B10</f>
        <v>0.19021722548430908</v>
      </c>
      <c r="C16" s="829">
        <f ca="1">huishoudens!C10</f>
        <v>7.8529411764705889E-2</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5356.3881907724399</v>
      </c>
      <c r="C21" s="463">
        <f t="shared" ref="C21:C30" ca="1" si="3">C4*$C$16</f>
        <v>0</v>
      </c>
      <c r="D21" s="463">
        <f t="shared" ref="D21:D30" si="4">D4*$D$16</f>
        <v>9659.3362849157165</v>
      </c>
      <c r="E21" s="463">
        <f t="shared" ref="E21:E30" si="5">E4*$E$16</f>
        <v>392.46653121554158</v>
      </c>
      <c r="F21" s="463">
        <f t="shared" ref="F21:F30" si="6">F4*$F$16</f>
        <v>4982.6784209593334</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20390.869427863028</v>
      </c>
    </row>
    <row r="22" spans="1:17">
      <c r="A22" s="462" t="s">
        <v>156</v>
      </c>
      <c r="B22" s="463">
        <f t="shared" ca="1" si="2"/>
        <v>1654.1659513973814</v>
      </c>
      <c r="C22" s="463">
        <f t="shared" ca="1" si="3"/>
        <v>0</v>
      </c>
      <c r="D22" s="463">
        <f t="shared" ca="1" si="4"/>
        <v>2090.4136236168747</v>
      </c>
      <c r="E22" s="463">
        <f t="shared" si="5"/>
        <v>27.991367311585496</v>
      </c>
      <c r="F22" s="463">
        <f t="shared" ca="1" si="6"/>
        <v>455.49490198849543</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4228.0658443143375</v>
      </c>
    </row>
    <row r="23" spans="1:17">
      <c r="A23" s="462" t="s">
        <v>194</v>
      </c>
      <c r="B23" s="463">
        <f t="shared" ca="1" si="2"/>
        <v>183.48753026389971</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183.48753026389971</v>
      </c>
    </row>
    <row r="24" spans="1:17">
      <c r="A24" s="462" t="s">
        <v>112</v>
      </c>
      <c r="B24" s="463">
        <f t="shared" ca="1" si="2"/>
        <v>212.38235853831011</v>
      </c>
      <c r="C24" s="463">
        <f t="shared" ca="1" si="3"/>
        <v>403.12091911764708</v>
      </c>
      <c r="D24" s="463">
        <f t="shared" si="4"/>
        <v>180.67306048654712</v>
      </c>
      <c r="E24" s="463">
        <f t="shared" si="5"/>
        <v>3.1938123820111644</v>
      </c>
      <c r="F24" s="463">
        <f t="shared" si="6"/>
        <v>267.11140345839311</v>
      </c>
      <c r="G24" s="463">
        <f t="shared" si="7"/>
        <v>0</v>
      </c>
      <c r="H24" s="463">
        <f t="shared" si="8"/>
        <v>0</v>
      </c>
      <c r="I24" s="463">
        <f t="shared" si="9"/>
        <v>0</v>
      </c>
      <c r="J24" s="463">
        <f t="shared" si="10"/>
        <v>59.441104228863715</v>
      </c>
      <c r="K24" s="463">
        <f t="shared" si="11"/>
        <v>0</v>
      </c>
      <c r="L24" s="463">
        <f t="shared" si="12"/>
        <v>0</v>
      </c>
      <c r="M24" s="463">
        <f t="shared" si="13"/>
        <v>0</v>
      </c>
      <c r="N24" s="463">
        <f t="shared" si="14"/>
        <v>0</v>
      </c>
      <c r="O24" s="463">
        <f t="shared" si="15"/>
        <v>0</v>
      </c>
      <c r="P24" s="464">
        <f t="shared" si="16"/>
        <v>0</v>
      </c>
      <c r="Q24" s="462">
        <f t="shared" ca="1" si="17"/>
        <v>1125.9226582117722</v>
      </c>
    </row>
    <row r="25" spans="1:17">
      <c r="A25" s="462" t="s">
        <v>657</v>
      </c>
      <c r="B25" s="463">
        <f t="shared" ca="1" si="2"/>
        <v>1197.8551166992584</v>
      </c>
      <c r="C25" s="463">
        <f t="shared" ca="1" si="3"/>
        <v>0</v>
      </c>
      <c r="D25" s="463">
        <f t="shared" si="4"/>
        <v>1105.7144328623851</v>
      </c>
      <c r="E25" s="463">
        <f t="shared" si="5"/>
        <v>164.02922590104799</v>
      </c>
      <c r="F25" s="463">
        <f t="shared" si="6"/>
        <v>683.98008428734784</v>
      </c>
      <c r="G25" s="463">
        <f t="shared" si="7"/>
        <v>0</v>
      </c>
      <c r="H25" s="463">
        <f t="shared" si="8"/>
        <v>0</v>
      </c>
      <c r="I25" s="463">
        <f t="shared" si="9"/>
        <v>0</v>
      </c>
      <c r="J25" s="463">
        <f t="shared" si="10"/>
        <v>3.8868431588457737</v>
      </c>
      <c r="K25" s="463">
        <f t="shared" si="11"/>
        <v>0</v>
      </c>
      <c r="L25" s="463">
        <f t="shared" si="12"/>
        <v>0</v>
      </c>
      <c r="M25" s="463">
        <f t="shared" si="13"/>
        <v>0</v>
      </c>
      <c r="N25" s="463">
        <f t="shared" si="14"/>
        <v>0</v>
      </c>
      <c r="O25" s="463">
        <f t="shared" si="15"/>
        <v>0</v>
      </c>
      <c r="P25" s="464">
        <f t="shared" si="16"/>
        <v>0</v>
      </c>
      <c r="Q25" s="462">
        <f t="shared" ca="1" si="17"/>
        <v>3155.4657029088853</v>
      </c>
    </row>
    <row r="26" spans="1:17" s="468" customFormat="1">
      <c r="A26" s="466" t="s">
        <v>574</v>
      </c>
      <c r="B26" s="823">
        <f t="shared" ca="1" si="2"/>
        <v>0.66189599535598742</v>
      </c>
      <c r="C26" s="467">
        <f t="shared" ca="1" si="3"/>
        <v>0</v>
      </c>
      <c r="D26" s="467">
        <f t="shared" si="4"/>
        <v>1.2577297811436894</v>
      </c>
      <c r="E26" s="467">
        <f t="shared" si="5"/>
        <v>42.724278620927514</v>
      </c>
      <c r="F26" s="467">
        <f t="shared" si="6"/>
        <v>0</v>
      </c>
      <c r="G26" s="467">
        <f t="shared" si="7"/>
        <v>13036.580533767839</v>
      </c>
      <c r="H26" s="467">
        <f t="shared" si="8"/>
        <v>2313.698279353925</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15394.922717519192</v>
      </c>
    </row>
    <row r="27" spans="1:17">
      <c r="A27" s="462" t="s">
        <v>564</v>
      </c>
      <c r="B27" s="463">
        <f t="shared" ca="1" si="2"/>
        <v>0</v>
      </c>
      <c r="C27" s="463">
        <f t="shared" ca="1" si="3"/>
        <v>0</v>
      </c>
      <c r="D27" s="463">
        <f t="shared" si="4"/>
        <v>0</v>
      </c>
      <c r="E27" s="463">
        <f t="shared" si="5"/>
        <v>0</v>
      </c>
      <c r="F27" s="463">
        <f t="shared" si="6"/>
        <v>0</v>
      </c>
      <c r="G27" s="463">
        <f t="shared" si="7"/>
        <v>166.43967670307993</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166.43967670307993</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8604.941043666644</v>
      </c>
      <c r="C31" s="473">
        <f t="shared" ca="1" si="18"/>
        <v>403.12091911764708</v>
      </c>
      <c r="D31" s="473">
        <f t="shared" ca="1" si="18"/>
        <v>13037.395131662668</v>
      </c>
      <c r="E31" s="473">
        <f t="shared" si="18"/>
        <v>630.40521543111379</v>
      </c>
      <c r="F31" s="473">
        <f t="shared" ca="1" si="18"/>
        <v>6389.2648106935703</v>
      </c>
      <c r="G31" s="473">
        <f t="shared" si="18"/>
        <v>13203.020210470919</v>
      </c>
      <c r="H31" s="473">
        <f t="shared" si="18"/>
        <v>2313.698279353925</v>
      </c>
      <c r="I31" s="473">
        <f t="shared" si="18"/>
        <v>0</v>
      </c>
      <c r="J31" s="473">
        <f t="shared" si="18"/>
        <v>63.327947387709486</v>
      </c>
      <c r="K31" s="473">
        <f t="shared" si="18"/>
        <v>0</v>
      </c>
      <c r="L31" s="473">
        <f t="shared" ca="1" si="18"/>
        <v>0</v>
      </c>
      <c r="M31" s="473">
        <f t="shared" si="18"/>
        <v>0</v>
      </c>
      <c r="N31" s="473">
        <f t="shared" ca="1" si="18"/>
        <v>0</v>
      </c>
      <c r="O31" s="473">
        <f t="shared" si="18"/>
        <v>0</v>
      </c>
      <c r="P31" s="474">
        <f t="shared" si="18"/>
        <v>0</v>
      </c>
      <c r="Q31" s="474">
        <f t="shared" ca="1" si="18"/>
        <v>44645.173557784197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0.19021722548430908</v>
      </c>
      <c r="C17" s="513">
        <f ca="1">'EF ele_warmte'!B22</f>
        <v>7.8529411764705889E-2</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0.19021722548430908</v>
      </c>
      <c r="C17" s="513">
        <f ca="1">'EF ele_warmte'!B22</f>
        <v>7.8529411764705889E-2</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0.19021722548430908</v>
      </c>
      <c r="C29" s="514">
        <f ca="1">'EF ele_warmte'!B22</f>
        <v>7.8529411764705889E-2</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2018-06-27T09:29:52Z</dcterms:modified>
</cp:coreProperties>
</file>