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Q7" i="48"/>
  <c r="J5"/>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Q4" i="48"/>
  <c r="N22"/>
  <c r="R11" i="14"/>
  <c r="J21" i="48"/>
  <c r="R10" i="14"/>
  <c r="C10" i="13" l="1"/>
  <c r="C16" i="48" s="1"/>
  <c r="C30" s="1"/>
  <c r="C20" i="16"/>
  <c r="C22" s="1"/>
  <c r="D39" i="14" s="1"/>
  <c r="F8" i="48"/>
  <c r="F25" s="1"/>
  <c r="F31" s="1"/>
  <c r="C16" i="22"/>
  <c r="C18" i="15"/>
  <c r="C20" s="1"/>
  <c r="D36" i="14" s="1"/>
  <c r="C17" i="19"/>
  <c r="C19" s="1"/>
  <c r="D35" i="14" s="1"/>
  <c r="C29" i="20"/>
  <c r="K41" i="14"/>
  <c r="K53" s="1"/>
  <c r="N25" i="48"/>
  <c r="N31" s="1"/>
  <c r="N14"/>
  <c r="E25"/>
  <c r="E31" s="1"/>
  <c r="E14"/>
  <c r="H55" i="14"/>
  <c r="E55"/>
  <c r="C78"/>
  <c r="C81" s="1"/>
  <c r="J14" i="48"/>
  <c r="J31"/>
  <c r="Q8"/>
  <c r="Q14" s="1"/>
  <c r="R19" i="14"/>
  <c r="R20" s="1"/>
  <c r="H14" i="48"/>
  <c r="G31"/>
  <c r="H26"/>
  <c r="H31" s="1"/>
  <c r="F55" i="14"/>
  <c r="O53"/>
  <c r="G53"/>
  <c r="G55" s="1"/>
  <c r="O69" s="1"/>
  <c r="B9" i="6" s="1"/>
  <c r="B12" s="1"/>
  <c r="M53" i="14"/>
  <c r="M55" s="1"/>
  <c r="C22" i="48"/>
  <c r="K55" i="14"/>
  <c r="R13"/>
  <c r="R15" s="1"/>
  <c r="F14" i="48"/>
  <c r="C29" l="1"/>
  <c r="C26"/>
  <c r="C25"/>
  <c r="C21"/>
  <c r="C31" s="1"/>
  <c r="C12" i="13"/>
  <c r="D37" i="14" s="1"/>
  <c r="D41" s="1"/>
  <c r="C23" i="48"/>
  <c r="C24"/>
  <c r="C27"/>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<sst xmlns="http://schemas.openxmlformats.org/spreadsheetml/2006/main" count="1970" uniqueCount="847">
  <si>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</si>
  <si>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</si>
  <si>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</si>
  <si>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</si>
  <si>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</si>
  <si>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</si>
  <si>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</si>
  <si>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</si>
  <si>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</si>
  <si>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</si>
  <si>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</si>
  <si>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</si>
  <si>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</si>
  <si>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</si>
  <si>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</si>
  <si>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</si>
  <si>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</si>
  <si>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</si>
  <si>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</si>
  <si>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</si>
  <si>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</si>
  <si>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</si>
  <si>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</si>
  <si>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</si>
  <si>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</si>
  <si>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</si>
  <si>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</si>
  <si>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</si>
  <si>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</si>
  <si>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</si>
  <si>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</si>
  <si>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</si>
  <si>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</si>
  <si>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</si>
  <si>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</si>
  <si>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</si>
  <si>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</si>
  <si>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</si>
  <si>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</si>
  <si>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</si>
  <si>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</si>
  <si>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</si>
  <si>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</si>
  <si>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</si>
  <si>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</si>
  <si>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</si>
  <si>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</si>
  <si>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</si>
  <si>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</si>
  <si>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</si>
  <si>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</si>
  <si>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</si>
  <si>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</si>
  <si>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</si>
  <si>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</si>
  <si>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</si>
  <si>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</si>
  <si>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</si>
  <si>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</si>
  <si>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</si>
  <si>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</si>
  <si>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</si>
  <si>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</si>
  <si>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</si>
  <si>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</si>
  <si>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</si>
  <si>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</si>
  <si>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</si>
  <si>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</si>
  <si>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</si>
  <si>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</si>
  <si>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</si>
  <si>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</si>
  <si>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</si>
  <si>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</si>
  <si>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</si>
  <si>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</si>
  <si>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</si>
  <si>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</si>
  <si>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</si>
  <si>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</si>
  <si>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</si>
  <si>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</si>
  <si>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</si>
  <si>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</si>
  <si>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</si>
  <si>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</si>
  <si>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</si>
  <si>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</si>
  <si>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</si>
  <si>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</si>
  <si>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</si>
  <si>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</si>
  <si>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</si>
  <si>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</si>
  <si>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</si>
  <si>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</si>
  <si>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</si>
  <si>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</si>
  <si>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</si>
  <si>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</si>
  <si>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</si>
  <si>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</si>
  <si>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</si>
  <si>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</si>
  <si>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</si>
  <si>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</si>
  <si>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</si>
  <si>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</si>
  <si>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</si>
  <si>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</si>
  <si>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</si>
  <si>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</si>
  <si>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</si>
  <si>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</si>
  <si>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</si>
  <si>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</si>
  <si>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</si>
  <si>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</si>
  <si>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</si>
  <si>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</si>
  <si>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</si>
  <si>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</si>
  <si>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</si>
  <si>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</si>
  <si>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</si>
  <si>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</si>
  <si>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</si>
  <si>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</si>
  <si>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</si>
  <si>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</si>
  <si>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</si>
  <si>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</si>
  <si>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</si>
  <si>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</si>
  <si>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</si>
  <si>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</si>
  <si>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</si>
  <si>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</si>
  <si>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</si>
  <si>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</si>
  <si>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</si>
  <si>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</si>
  <si>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</si>
  <si>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</si>
  <si>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</si>
  <si>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</si>
  <si>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</si>
  <si>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</si>
  <si>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</si>
  <si>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</si>
  <si>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</si>
  <si>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</si>
  <si>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</si>
  <si>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</si>
  <si>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</si>
  <si>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</si>
  <si>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</si>
  <si>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</si>
  <si>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</si>
  <si>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</si>
  <si>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</si>
  <si>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</si>
  <si>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</si>
  <si>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</si>
  <si>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</si>
  <si>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</si>
  <si>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</si>
  <si>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</si>
  <si>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</si>
  <si>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</si>
  <si>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</si>
  <si>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</si>
  <si>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</si>
  <si>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</si>
  <si>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</si>
  <si>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</si>
  <si>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</si>
  <si>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</si>
  <si>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</si>
  <si>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</si>
  <si>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</si>
  <si>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</si>
  <si>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</si>
  <si>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</si>
  <si>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</si>
  <si>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</si>
  <si>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</si>
  <si>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</si>
  <si>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</si>
  <si>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</si>
  <si>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</si>
  <si>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</si>
  <si>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</si>
  <si>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</si>
  <si>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</si>
  <si>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</si>
  <si>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</si>
  <si>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</si>
  <si>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</si>
  <si>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</si>
  <si>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</si>
  <si>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</si>
  <si>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</si>
  <si>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</si>
  <si>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</si>
  <si>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</si>
  <si>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</si>
  <si>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</si>
  <si>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</si>
  <si>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</si>
  <si>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</si>
  <si>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</si>
  <si>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</si>
  <si>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</si>
  <si>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</si>
  <si>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</si>
  <si>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</si>
  <si>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</si>
  <si>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</si>
  <si>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</si>
  <si>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</si>
  <si>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</si>
  <si>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</si>
  <si>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</si>
  <si>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</si>
  <si>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</si>
  <si>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</si>
  <si>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</si>
  <si>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</si>
  <si>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</si>
  <si>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</si>
  <si>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</si>
  <si>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</si>
  <si>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</si>
  <si>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</si>
  <si>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</si>
  <si>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</si>
  <si>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</si>
  <si>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</si>
  <si>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</si>
  <si>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</si>
  <si>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</si>
  <si>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</si>
  <si>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</si>
  <si>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</si>
  <si>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</si>
  <si>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</si>
  <si>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</si>
  <si>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</si>
  <si>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</si>
  <si>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</si>
  <si>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</si>
  <si>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</si>
  <si>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</si>
  <si>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</si>
  <si>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</si>
  <si>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</si>
  <si>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</si>
  <si>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</si>
  <si>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</si>
  <si>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</si>
  <si>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</si>
  <si>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</si>
  <si>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</si>
  <si>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</si>
  <si>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</si>
  <si>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</si>
  <si>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</si>
  <si>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</si>
  <si>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</si>
  <si>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</si>
  <si>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</si>
  <si>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</si>
  <si>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</si>
  <si>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</si>
  <si>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</si>
  <si>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</si>
  <si>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</si>
  <si>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</si>
  <si>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</si>
  <si>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</si>
  <si>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</si>
  <si>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</si>
  <si>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</si>
  <si>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</si>
  <si>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</si>
  <si>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</si>
  <si>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</si>
  <si>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</si>
  <si>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</si>
  <si>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</si>
  <si>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</si>
  <si>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</si>
  <si>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</si>
  <si>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</si>
  <si>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</si>
  <si>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</si>
  <si>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</si>
  <si>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</si>
  <si>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</si>
  <si>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</si>
  <si>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</si>
  <si>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</si>
  <si>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</si>
  <si>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</si>
  <si>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</si>
  <si>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</si>
  <si>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</si>
  <si>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</si>
  <si>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</si>
  <si>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</si>
  <si>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</si>
  <si>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</si>
  <si>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</si>
  <si>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</si>
  <si>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</si>
  <si>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</si>
  <si>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</si>
  <si>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</si>
  <si>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</si>
  <si>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</si>
  <si>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</si>
  <si>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</si>
  <si>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</si>
  <si>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</si>
  <si>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</si>
  <si>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</si>
  <si>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</si>
  <si>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</si>
  <si>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</si>
  <si>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</si>
  <si>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</si>
  <si>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</si>
  <si>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</si>
  <si>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</si>
  <si>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</si>
  <si>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</si>
  <si>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</si>
  <si>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</si>
  <si>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</si>
  <si>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</si>
  <si>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</si>
  <si>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</si>
  <si>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</si>
  <si>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</si>
  <si>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</si>
  <si>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</si>
  <si>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</si>
  <si>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</si>
  <si>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</si>
  <si>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</si>
  <si>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</si>
  <si>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</si>
  <si>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</si>
  <si>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</si>
  <si>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</si>
  <si>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</si>
  <si>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</si>
  <si>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</si>
  <si>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</si>
  <si>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</si>
  <si>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</si>
  <si>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</si>
  <si>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</si>
  <si>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</si>
  <si>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</si>
  <si>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</si>
  <si>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</si>
  <si>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</si>
  <si>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</si>
  <si>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</si>
  <si>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</si>
  <si>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</si>
  <si>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</si>
  <si>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</si>
  <si>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</si>
  <si>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</si>
  <si>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</si>
  <si>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</si>
  <si>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</si>
  <si>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</si>
  <si>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</si>
  <si>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</si>
  <si>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</si>
  <si>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</si>
  <si>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</si>
  <si>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</si>
  <si>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</si>
  <si>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</si>
  <si>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</si>
  <si>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</si>
  <si>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</si>
  <si>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</si>
  <si>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</si>
  <si>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</si>
  <si>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</si>
  <si>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</si>
  <si>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</si>
  <si>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</si>
  <si>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</si>
  <si>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</si>
  <si>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</si>
  <si>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</si>
  <si>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</si>
  <si>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</si>
  <si>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</si>
  <si>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</si>
  <si>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</si>
  <si>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</si>
  <si>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</si>
  <si>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</si>
  <si>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</si>
  <si>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</si>
  <si>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</si>
  <si>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</si>
  <si>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</si>
  <si>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</si>
  <si>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</si>
  <si>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</si>
  <si>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</si>
  <si>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</si>
  <si>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</si>
  <si>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</si>
  <si>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</si>
  <si>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</si>
  <si>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</si>
  <si>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</si>
  <si>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</si>
  <si>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</si>
  <si>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</si>
  <si>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</si>
  <si>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</si>
  <si>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</si>
  <si>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</si>
  <si>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</si>
  <si>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</si>
  <si>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</si>
  <si>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</si>
  <si>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</si>
  <si>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</si>
  <si>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</si>
  <si>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</si>
  <si>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</si>
  <si>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</si>
  <si>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</si>
  <si>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</si>
  <si>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</si>
  <si>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</si>
  <si>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</si>
  <si>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</si>
  <si>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</si>
  <si>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</si>
  <si>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</si>
  <si>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</si>
  <si>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</si>
  <si>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</si>
  <si>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</si>
  <si>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</si>
  <si>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</si>
  <si>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</si>
  <si>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</si>
  <si>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</si>
  <si>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</si>
  <si>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</si>
  <si>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</si>
  <si>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</si>
  <si>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</si>
  <si>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</si>
  <si>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</si>
  <si>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</si>
  <si>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</si>
  <si>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</si>
  <si>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</si>
  <si>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</si>
  <si>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</si>
  <si>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</si>
  <si>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</si>
  <si>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</si>
  <si>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</si>
  <si>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</si>
  <si>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</si>
  <si>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</si>
  <si>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</si>
  <si>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</si>
  <si>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</si>
  <si>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</si>
  <si>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</si>
  <si>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</si>
  <si>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</si>
  <si>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</si>
  <si>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</si>
  <si>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</si>
  <si>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</si>
  <si>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</si>
  <si>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</si>
  <si>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</si>
  <si>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</si>
  <si>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</si>
  <si>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</si>
  <si>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</si>
  <si>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</si>
  <si>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</si>
  <si>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</si>
  <si>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</si>
  <si>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</si>
  <si>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</si>
  <si>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</si>
  <si>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</si>
  <si>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</si>
  <si>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</si>
  <si>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</si>
  <si>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</si>
  <si>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</si>
  <si>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</si>
  <si>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</si>
  <si>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</si>
  <si>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</si>
  <si>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</si>
  <si>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</si>
  <si>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</si>
  <si>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</si>
  <si>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</si>
  <si>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</si>
  <si>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</si>
  <si>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</si>
  <si>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</si>
  <si>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</si>
  <si>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</si>
  <si>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</si>
  <si>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</si>
  <si>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</si>
  <si>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</si>
  <si>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</si>
  <si>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</si>
  <si>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</si>
  <si>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</si>
  <si>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</si>
  <si>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</si>
  <si>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</si>
  <si>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</si>
  <si>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</si>
  <si>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</si>
  <si>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</si>
  <si>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</si>
  <si>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</si>
  <si>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</si>
  <si>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</si>
  <si>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</si>
  <si>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</si>
  <si>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</si>
  <si>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</si>
  <si>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</si>
  <si>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</si>
  <si>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</si>
  <si>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</si>
  <si>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</si>
  <si>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</si>
  <si>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</si>
  <si>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</si>
  <si>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</si>
  <si>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</si>
  <si>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</si>
  <si>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</si>
  <si>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</si>
  <si>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</si>
  <si>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</si>
  <si>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</si>
  <si>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</si>
  <si>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</si>
  <si>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</si>
  <si>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</si>
  <si>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</si>
  <si>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</si>
  <si>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</si>
  <si>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</si>
  <si>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</si>
  <si>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</si>
  <si>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</si>
  <si>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</si>
  <si>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</si>
  <si>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</si>
  <si>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</si>
  <si>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</si>
  <si>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</si>
  <si>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</si>
  <si>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</si>
  <si>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</si>
  <si>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</si>
  <si>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</si>
  <si>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</si>
  <si>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</si>
  <si>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</si>
  <si>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</si>
  <si>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</si>
  <si>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</si>
  <si>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</si>
  <si>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</si>
  <si>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</si>
  <si>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</si>
  <si>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</si>
  <si>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</si>
  <si>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</si>
  <si>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</si>
  <si>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</si>
  <si>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</si>
  <si>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</si>
  <si>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</si>
  <si>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</si>
  <si>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</si>
  <si>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</si>
  <si>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</si>
  <si>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</si>
  <si>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</si>
  <si>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</si>
  <si>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</si>
  <si>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</si>
  <si>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</si>
  <si>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</si>
  <si>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</si>
  <si>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</si>
  <si>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</si>
  <si>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</si>
  <si>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</si>
  <si>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</si>
  <si>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</si>
  <si>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</si>
  <si>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</si>
  <si>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</si>
  <si>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</si>
  <si>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</si>
  <si>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</si>
  <si>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</si>
  <si>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</si>
  <si>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</si>
  <si>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</si>
  <si>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</si>
  <si>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</si>
  <si>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</si>
  <si>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</si>
  <si>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</si>
  <si>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</si>
  <si>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</si>
  <si>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</si>
  <si>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</si>
  <si>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</si>
  <si>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</si>
  <si>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</si>
  <si>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</si>
  <si>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</si>
  <si>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</si>
  <si>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</si>
  <si>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</si>
  <si>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</si>
  <si>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</si>
  <si>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</si>
  <si>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</si>
  <si>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</si>
  <si>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</si>
  <si>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</si>
  <si>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</si>
  <si>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</si>
  <si>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</si>
  <si>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</si>
  <si>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</si>
  <si>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</si>
  <si>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</si>
  <si>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</si>
  <si>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</si>
  <si>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</si>
  <si>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</si>
  <si>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</si>
  <si>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</si>
  <si>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</si>
  <si>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</si>
  <si>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</si>
  <si>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</si>
  <si>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</si>
  <si>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</si>
  <si>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</si>
  <si>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</si>
  <si>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</si>
  <si>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</si>
  <si>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</si>
  <si>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</si>
  <si>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</si>
  <si>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</si>
  <si>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</si>
  <si>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</si>
  <si>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</si>
  <si>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</si>
  <si>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</si>
  <si>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</si>
  <si>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</si>
  <si>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</si>
  <si>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</si>
  <si>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</si>
  <si>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</si>
  <si>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</si>
  <si>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</si>
  <si>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</si>
  <si>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</si>
  <si>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</si>
  <si>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</si>
  <si>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</si>
  <si>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</si>
  <si>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</si>
  <si>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</si>
  <si>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</si>
  <si>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</si>
  <si>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</si>
  <si>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</si>
  <si>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</si>
  <si>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</si>
  <si>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</si>
  <si>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</si>
  <si>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</si>
  <si>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</si>
  <si>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</si>
  <si>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</si>
  <si>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</si>
  <si>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</si>
  <si>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</si>
  <si>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</si>
  <si>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</si>
  <si>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</si>
  <si>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</si>
  <si>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</si>
  <si>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</si>
  <si>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</si>
  <si>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</si>
  <si>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</si>
  <si>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</si>
  <si>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</si>
  <si>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</si>
  <si>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</si>
  <si>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</si>
  <si>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</si>
  <si>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</si>
  <si>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</si>
  <si>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</si>
  <si>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</si>
  <si>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</si>
  <si>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</si>
  <si>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</si>
  <si>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</si>
  <si>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</si>
  <si>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</si>
  <si>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</si>
  <si>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</si>
  <si>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</si>
  <si>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</si>
  <si>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</si>
  <si>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</si>
  <si>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</si>
  <si>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</si>
  <si>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</si>
  <si>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</si>
  <si>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</si>
  <si>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</si>
  <si>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</si>
  <si>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</si>
  <si>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</si>
  <si>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</si>
  <si>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</si>
  <si>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</si>
  <si>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</si>
  <si>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</si>
  <si>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</si>
  <si>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</si>
  <si>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</si>
  <si>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</si>
  <si>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</si>
  <si>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</si>
  <si>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</si>
  <si>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</si>
  <si>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</si>
  <si>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</si>
  <si>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</si>
  <si>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</si>
  <si>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</si>
  <si>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</si>
  <si>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</si>
  <si>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</si>
  <si>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</si>
  <si>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</si>
  <si>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</si>
  <si>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</si>
  <si>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</si>
  <si>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</si>
  <si>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</si>
  <si>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</si>
  <si>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</si>
  <si>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</si>
  <si>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</si>
  <si>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</si>
  <si>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</si>
  <si>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</si>
  <si>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</si>
  <si>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</si>
  <si>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</si>
  <si>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</si>
  <si>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</si>
  <si>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</si>
  <si>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</si>
  <si>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</si>
  <si>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</si>
  <si>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</si>
  <si>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</si>
  <si>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</si>
  <si>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</si>
  <si>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</si>
  <si>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</si>
  <si>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</si>
  <si>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</si>
  <si>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</si>
  <si>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</si>
  <si>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</si>
  <si>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</si>
  <si>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</si>
  <si>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</si>
  <si>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</si>
  <si>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</si>
  <si>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</si>
  <si>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</si>
  <si>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</si>
  <si>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</si>
  <si>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</si>
  <si>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</si>
  <si>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</si>
  <si>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</si>
  <si>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</si>
  <si>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</si>
  <si>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23052</t>
  </si>
  <si>
    <t>MERCHTEM</t>
  </si>
  <si>
    <t>Cultuurgrond (ha)</t>
  </si>
  <si>
    <t>Paarden&amp;pony's 200 - 600 kg</t>
  </si>
  <si>
    <t>Paarden&amp;pony's &lt; 200 kg</t>
  </si>
  <si>
    <t>op basis van VEA (maart 2018) en Inventaris Hernieuwbare Energiebronnen (juni 2018)</t>
  </si>
  <si>
    <t>VEA (juni 2018)</t>
  </si>
  <si>
    <t>Vanderstraeten LV</t>
  </si>
  <si>
    <t>Koeweidestraat 25 , 1785 Merchtem</t>
  </si>
  <si>
    <t>WKK-0516 Vanderstraeten</t>
  </si>
  <si>
    <t>interne verbrandingsmotor</t>
  </si>
  <si>
    <t>WKK interne verbrandinsgmotor (gas)</t>
  </si>
  <si>
    <t>Koeweidestraat 25 A, 1785 Merchtem</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</si>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</sst>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131699.32315426139</c:v>
                </c:pt>
                <c:pt idx="1">
                  <c:v>40419.584615793705</c:v>
                </c:pt>
                <c:pt idx="2">
                  <c:v>854.00900000000001</c:v>
                </c:pt>
                <c:pt idx="3">
                  <c:v>14550.035555572593</c:v>
                </c:pt>
                <c:pt idx="4">
                  <c:v>10419.473524636513</c:v>
                </c:pt>
                <c:pt idx="5">
                  <c:v>75004.44255618687</c:v>
                </c:pt>
                <c:pt idx="6">
                  <c:v>1603.0285933481771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131699.32315426139</c:v>
                </c:pt>
                <c:pt idx="1">
                  <c:v>40419.584615793705</c:v>
                </c:pt>
                <c:pt idx="2">
                  <c:v>854.00900000000001</c:v>
                </c:pt>
                <c:pt idx="3">
                  <c:v>14550.035555572593</c:v>
                </c:pt>
                <c:pt idx="4">
                  <c:v>10419.473524636513</c:v>
                </c:pt>
                <c:pt idx="5">
                  <c:v>75004.44255618687</c:v>
                </c:pt>
                <c:pt idx="6">
                  <c:v>1603.0285933481771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27600.412335482917</c:v>
                </c:pt>
                <c:pt idx="1">
                  <c:v>8150.871953609917</c:v>
                </c:pt>
                <c:pt idx="2">
                  <c:v>177.04186519898869</c:v>
                </c:pt>
                <c:pt idx="3">
                  <c:v>3625.8112029695048</c:v>
                </c:pt>
                <c:pt idx="4">
                  <c:v>1895.1589940817312</c:v>
                </c:pt>
                <c:pt idx="5">
                  <c:v>18906.461239611199</c:v>
                </c:pt>
                <c:pt idx="6">
                  <c:v>409.78451475418831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99968"/>
        <c:axId val="182505856"/>
      </c:barChart>
      <c:catAx>
        <c:axId val="182499968"/>
        <c:scaling>
          <c:orientation val="minMax"/>
        </c:scaling>
        <c:axPos val="b"/>
        <c:numFmt formatCode="General" sourceLinked="0"/>
        <c:tickLblPos val="nextTo"/>
        <c:crossAx val="182505856"/>
        <c:crosses val="autoZero"/>
        <c:auto val="1"/>
        <c:lblAlgn val="ctr"/>
        <c:lblOffset val="100"/>
      </c:catAx>
      <c:valAx>
        <c:axId val="182505856"/>
        <c:scaling>
          <c:orientation val="minMax"/>
        </c:scaling>
        <c:axPos val="l"/>
        <c:majorGridlines/>
        <c:numFmt formatCode="#,##0" sourceLinked="1"/>
        <c:tickLblPos val="nextTo"/>
        <c:crossAx val="1824999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27600.412335482917</c:v>
                </c:pt>
                <c:pt idx="1">
                  <c:v>8150.871953609917</c:v>
                </c:pt>
                <c:pt idx="2">
                  <c:v>177.04186519898869</c:v>
                </c:pt>
                <c:pt idx="3">
                  <c:v>3625.8112029695048</c:v>
                </c:pt>
                <c:pt idx="4">
                  <c:v>1895.1589940817312</c:v>
                </c:pt>
                <c:pt idx="5">
                  <c:v>18906.461239611199</c:v>
                </c:pt>
                <c:pt idx="6">
                  <c:v>409.78451475418831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23052</v>
      </c>
      <c r="B6" s="398"/>
      <c r="C6" s="399"/>
    </row>
    <row r="7" spans="1:7" s="396" customFormat="1" ht="15.75" customHeight="1">
      <c r="A7" s="400" t="str">
        <f>txtMunicipality</f>
        <v>MERCHTEM</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23052</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6634</v>
      </c>
      <c r="C9" s="338">
        <v>6941</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2239</v>
      </c>
    </row>
    <row r="15" spans="1:6">
      <c r="A15" s="1212" t="s">
        <v>184</v>
      </c>
      <c r="B15" s="335">
        <v>27</v>
      </c>
    </row>
    <row r="16" spans="1:6">
      <c r="A16" s="1212" t="s">
        <v>6</v>
      </c>
      <c r="B16" s="335">
        <v>1150</v>
      </c>
    </row>
    <row r="17" spans="1:6">
      <c r="A17" s="1212" t="s">
        <v>7</v>
      </c>
      <c r="B17" s="335">
        <v>552</v>
      </c>
    </row>
    <row r="18" spans="1:6">
      <c r="A18" s="1212" t="s">
        <v>8</v>
      </c>
      <c r="B18" s="335">
        <v>1030</v>
      </c>
    </row>
    <row r="19" spans="1:6">
      <c r="A19" s="1212" t="s">
        <v>9</v>
      </c>
      <c r="B19" s="335">
        <v>841</v>
      </c>
    </row>
    <row r="20" spans="1:6">
      <c r="A20" s="1212" t="s">
        <v>10</v>
      </c>
      <c r="B20" s="335">
        <v>633</v>
      </c>
    </row>
    <row r="21" spans="1:6">
      <c r="A21" s="1212" t="s">
        <v>11</v>
      </c>
      <c r="B21" s="335">
        <v>308</v>
      </c>
    </row>
    <row r="22" spans="1:6">
      <c r="A22" s="1212" t="s">
        <v>12</v>
      </c>
      <c r="B22" s="335">
        <v>2057</v>
      </c>
    </row>
    <row r="23" spans="1:6">
      <c r="A23" s="1212" t="s">
        <v>13</v>
      </c>
      <c r="B23" s="335">
        <v>15</v>
      </c>
    </row>
    <row r="24" spans="1:6">
      <c r="A24" s="1212" t="s">
        <v>14</v>
      </c>
      <c r="B24" s="335">
        <v>0</v>
      </c>
    </row>
    <row r="25" spans="1:6">
      <c r="A25" s="1212" t="s">
        <v>15</v>
      </c>
      <c r="B25" s="335">
        <v>0</v>
      </c>
    </row>
    <row r="26" spans="1:6">
      <c r="A26" s="1212" t="s">
        <v>16</v>
      </c>
      <c r="B26" s="335">
        <v>207</v>
      </c>
    </row>
    <row r="27" spans="1:6">
      <c r="A27" s="1212" t="s">
        <v>17</v>
      </c>
      <c r="B27" s="335">
        <v>6</v>
      </c>
    </row>
    <row r="28" spans="1:6" s="341" customFormat="1">
      <c r="A28" s="1213" t="s">
        <v>18</v>
      </c>
      <c r="B28" s="1213">
        <v>160058</v>
      </c>
    </row>
    <row r="29" spans="1:6">
      <c r="A29" s="1213" t="s">
        <v>836</v>
      </c>
      <c r="B29" s="1213">
        <v>77</v>
      </c>
      <c r="C29" s="341"/>
      <c r="D29" s="341"/>
      <c r="E29" s="341"/>
      <c r="F29" s="341"/>
    </row>
    <row r="30" spans="1:6">
      <c r="A30" s="1208" t="s">
        <v>837</v>
      </c>
      <c r="B30" s="1208">
        <v>36</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4</v>
      </c>
      <c r="F36" s="335">
        <v>2744</v>
      </c>
    </row>
    <row r="37" spans="1:6">
      <c r="A37" s="1212" t="s">
        <v>25</v>
      </c>
      <c r="B37" s="1212" t="s">
        <v>28</v>
      </c>
      <c r="C37" s="335">
        <v>0</v>
      </c>
      <c r="D37" s="335">
        <v>0</v>
      </c>
      <c r="E37" s="335">
        <v>0</v>
      </c>
      <c r="F37" s="335">
        <v>0</v>
      </c>
    </row>
    <row r="38" spans="1:6">
      <c r="A38" s="1212" t="s">
        <v>25</v>
      </c>
      <c r="B38" s="1212" t="s">
        <v>29</v>
      </c>
      <c r="C38" s="335">
        <v>2</v>
      </c>
      <c r="D38" s="335">
        <v>12862.427452219799</v>
      </c>
      <c r="E38" s="335">
        <v>3</v>
      </c>
      <c r="F38" s="335">
        <v>15952.7032864752</v>
      </c>
    </row>
    <row r="39" spans="1:6">
      <c r="A39" s="1212" t="s">
        <v>30</v>
      </c>
      <c r="B39" s="1212" t="s">
        <v>31</v>
      </c>
      <c r="C39" s="335">
        <v>3212</v>
      </c>
      <c r="D39" s="335">
        <v>56759484.218996301</v>
      </c>
      <c r="E39" s="335">
        <v>6537</v>
      </c>
      <c r="F39" s="335">
        <v>30227577.7272599</v>
      </c>
    </row>
    <row r="40" spans="1:6">
      <c r="A40" s="1212" t="s">
        <v>30</v>
      </c>
      <c r="B40" s="1212" t="s">
        <v>29</v>
      </c>
      <c r="C40" s="335">
        <v>0</v>
      </c>
      <c r="D40" s="335">
        <v>0</v>
      </c>
      <c r="E40" s="335">
        <v>0</v>
      </c>
      <c r="F40" s="335">
        <v>0</v>
      </c>
    </row>
    <row r="41" spans="1:6">
      <c r="A41" s="1212" t="s">
        <v>32</v>
      </c>
      <c r="B41" s="1212" t="s">
        <v>33</v>
      </c>
      <c r="C41" s="335">
        <v>29</v>
      </c>
      <c r="D41" s="335">
        <v>731096.16528565204</v>
      </c>
      <c r="E41" s="335">
        <v>114</v>
      </c>
      <c r="F41" s="335">
        <v>709100.69620192004</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3</v>
      </c>
      <c r="F44" s="335">
        <v>33620</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3</v>
      </c>
      <c r="D47" s="335">
        <v>128082.82633641901</v>
      </c>
      <c r="E47" s="335">
        <v>4</v>
      </c>
      <c r="F47" s="335">
        <v>461241.14367428003</v>
      </c>
    </row>
    <row r="48" spans="1:6">
      <c r="A48" s="1212" t="s">
        <v>32</v>
      </c>
      <c r="B48" s="1212" t="s">
        <v>29</v>
      </c>
      <c r="C48" s="335">
        <v>19</v>
      </c>
      <c r="D48" s="335">
        <v>1078690.63682346</v>
      </c>
      <c r="E48" s="335">
        <v>37</v>
      </c>
      <c r="F48" s="335">
        <v>2054463.2353016499</v>
      </c>
    </row>
    <row r="49" spans="1:6">
      <c r="A49" s="1212" t="s">
        <v>32</v>
      </c>
      <c r="B49" s="1212" t="s">
        <v>40</v>
      </c>
      <c r="C49" s="335">
        <v>0</v>
      </c>
      <c r="D49" s="335">
        <v>0</v>
      </c>
      <c r="E49" s="335">
        <v>0</v>
      </c>
      <c r="F49" s="335">
        <v>0</v>
      </c>
    </row>
    <row r="50" spans="1:6">
      <c r="A50" s="1212" t="s">
        <v>32</v>
      </c>
      <c r="B50" s="1212" t="s">
        <v>41</v>
      </c>
      <c r="C50" s="335">
        <v>11</v>
      </c>
      <c r="D50" s="335">
        <v>822871.11277923395</v>
      </c>
      <c r="E50" s="335">
        <v>15</v>
      </c>
      <c r="F50" s="335">
        <v>604736.09852583904</v>
      </c>
    </row>
    <row r="51" spans="1:6">
      <c r="A51" s="1212" t="s">
        <v>42</v>
      </c>
      <c r="B51" s="1212" t="s">
        <v>43</v>
      </c>
      <c r="C51" s="335">
        <v>3</v>
      </c>
      <c r="D51" s="335">
        <v>64314.954399974798</v>
      </c>
      <c r="E51" s="335">
        <v>108</v>
      </c>
      <c r="F51" s="335">
        <v>2554877.3091849098</v>
      </c>
    </row>
    <row r="52" spans="1:6">
      <c r="A52" s="1212" t="s">
        <v>42</v>
      </c>
      <c r="B52" s="1212" t="s">
        <v>29</v>
      </c>
      <c r="C52" s="335">
        <v>7</v>
      </c>
      <c r="D52" s="335">
        <v>178737.883627826</v>
      </c>
      <c r="E52" s="335">
        <v>9</v>
      </c>
      <c r="F52" s="335">
        <v>211919.80069901701</v>
      </c>
    </row>
    <row r="53" spans="1:6">
      <c r="A53" s="1212" t="s">
        <v>44</v>
      </c>
      <c r="B53" s="1212" t="s">
        <v>45</v>
      </c>
      <c r="C53" s="335">
        <v>84</v>
      </c>
      <c r="D53" s="335">
        <v>1668009.36619518</v>
      </c>
      <c r="E53" s="335">
        <v>238</v>
      </c>
      <c r="F53" s="335">
        <v>1006956.18031198</v>
      </c>
    </row>
    <row r="54" spans="1:6">
      <c r="A54" s="1212" t="s">
        <v>46</v>
      </c>
      <c r="B54" s="1212" t="s">
        <v>47</v>
      </c>
      <c r="C54" s="335">
        <v>0</v>
      </c>
      <c r="D54" s="335">
        <v>0</v>
      </c>
      <c r="E54" s="335">
        <v>1</v>
      </c>
      <c r="F54" s="335">
        <v>854009</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39</v>
      </c>
      <c r="D57" s="335">
        <v>1879973.4811875401</v>
      </c>
      <c r="E57" s="335">
        <v>75</v>
      </c>
      <c r="F57" s="335">
        <v>1850388.87314987</v>
      </c>
    </row>
    <row r="58" spans="1:6">
      <c r="A58" s="1212" t="s">
        <v>49</v>
      </c>
      <c r="B58" s="1212" t="s">
        <v>51</v>
      </c>
      <c r="C58" s="335">
        <v>13</v>
      </c>
      <c r="D58" s="335">
        <v>337910.34382829</v>
      </c>
      <c r="E58" s="335">
        <v>39</v>
      </c>
      <c r="F58" s="335">
        <v>314190.238700243</v>
      </c>
    </row>
    <row r="59" spans="1:6">
      <c r="A59" s="1212" t="s">
        <v>49</v>
      </c>
      <c r="B59" s="1212" t="s">
        <v>52</v>
      </c>
      <c r="C59" s="335">
        <v>76</v>
      </c>
      <c r="D59" s="335">
        <v>4690435.1656547198</v>
      </c>
      <c r="E59" s="335">
        <v>230</v>
      </c>
      <c r="F59" s="335">
        <v>5863909.3851480102</v>
      </c>
    </row>
    <row r="60" spans="1:6">
      <c r="A60" s="1212" t="s">
        <v>49</v>
      </c>
      <c r="B60" s="1212" t="s">
        <v>53</v>
      </c>
      <c r="C60" s="335">
        <v>37</v>
      </c>
      <c r="D60" s="335">
        <v>1800720.6294370401</v>
      </c>
      <c r="E60" s="335">
        <v>77</v>
      </c>
      <c r="F60" s="335">
        <v>1375770.7169367999</v>
      </c>
    </row>
    <row r="61" spans="1:6">
      <c r="A61" s="1212" t="s">
        <v>49</v>
      </c>
      <c r="B61" s="1212" t="s">
        <v>54</v>
      </c>
      <c r="C61" s="335">
        <v>100</v>
      </c>
      <c r="D61" s="335">
        <v>6637138.4199178396</v>
      </c>
      <c r="E61" s="335">
        <v>288</v>
      </c>
      <c r="F61" s="335">
        <v>3882119.4149281401</v>
      </c>
    </row>
    <row r="62" spans="1:6">
      <c r="A62" s="1212" t="s">
        <v>49</v>
      </c>
      <c r="B62" s="1212" t="s">
        <v>55</v>
      </c>
      <c r="C62" s="335">
        <v>7</v>
      </c>
      <c r="D62" s="335">
        <v>1140339.70267474</v>
      </c>
      <c r="E62" s="335">
        <v>7</v>
      </c>
      <c r="F62" s="335">
        <v>215311.20256137601</v>
      </c>
    </row>
    <row r="63" spans="1:6">
      <c r="A63" s="1212" t="s">
        <v>49</v>
      </c>
      <c r="B63" s="1212" t="s">
        <v>29</v>
      </c>
      <c r="C63" s="335">
        <v>88</v>
      </c>
      <c r="D63" s="335">
        <v>6050545.0311461696</v>
      </c>
      <c r="E63" s="335">
        <v>88</v>
      </c>
      <c r="F63" s="335">
        <v>1847756.48837225</v>
      </c>
    </row>
    <row r="64" spans="1:6">
      <c r="A64" s="1212" t="s">
        <v>56</v>
      </c>
      <c r="B64" s="1212" t="s">
        <v>57</v>
      </c>
      <c r="C64" s="335">
        <v>0</v>
      </c>
      <c r="D64" s="335">
        <v>0</v>
      </c>
      <c r="E64" s="335">
        <v>0</v>
      </c>
      <c r="F64" s="335">
        <v>0</v>
      </c>
    </row>
    <row r="65" spans="1:6">
      <c r="A65" s="1212" t="s">
        <v>56</v>
      </c>
      <c r="B65" s="1212" t="s">
        <v>29</v>
      </c>
      <c r="C65" s="335">
        <v>1</v>
      </c>
      <c r="D65" s="335">
        <v>22036.8455061276</v>
      </c>
      <c r="E65" s="335">
        <v>2</v>
      </c>
      <c r="F65" s="335">
        <v>10049.658309926799</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8</v>
      </c>
      <c r="D68" s="335">
        <v>177731.78235591899</v>
      </c>
      <c r="E68" s="335">
        <v>18</v>
      </c>
      <c r="F68" s="335">
        <v>109284.30894960499</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32015670</v>
      </c>
      <c r="E73" s="335">
        <v>33174790.890996203</v>
      </c>
    </row>
    <row r="74" spans="1:6">
      <c r="A74" s="1212" t="s">
        <v>64</v>
      </c>
      <c r="B74" s="1212" t="s">
        <v>727</v>
      </c>
      <c r="C74" s="1212" t="s">
        <v>728</v>
      </c>
      <c r="D74" s="335">
        <v>883216.48078114912</v>
      </c>
      <c r="E74" s="335">
        <v>934304.69039676501</v>
      </c>
    </row>
    <row r="75" spans="1:6">
      <c r="A75" s="1212" t="s">
        <v>65</v>
      </c>
      <c r="B75" s="1212" t="s">
        <v>725</v>
      </c>
      <c r="C75" s="1212" t="s">
        <v>729</v>
      </c>
      <c r="D75" s="335">
        <v>51576693</v>
      </c>
      <c r="E75" s="335">
        <v>53387899.553643674</v>
      </c>
    </row>
    <row r="76" spans="1:6">
      <c r="A76" s="1212" t="s">
        <v>65</v>
      </c>
      <c r="B76" s="1212" t="s">
        <v>727</v>
      </c>
      <c r="C76" s="1212" t="s">
        <v>730</v>
      </c>
      <c r="D76" s="335">
        <v>1860694.4807811491</v>
      </c>
      <c r="E76" s="335">
        <v>1959140.312412197</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423501.0384377017</v>
      </c>
      <c r="C83" s="335">
        <v>419791.45841631992</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2608.8819459051801</v>
      </c>
    </row>
    <row r="92" spans="1:6">
      <c r="A92" s="1208" t="s">
        <v>69</v>
      </c>
      <c r="B92" s="338">
        <v>797.06858361260106</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1490</v>
      </c>
    </row>
    <row r="98" spans="1:6">
      <c r="A98" s="1212" t="s">
        <v>72</v>
      </c>
      <c r="B98" s="335">
        <v>2</v>
      </c>
    </row>
    <row r="99" spans="1:6">
      <c r="A99" s="1212" t="s">
        <v>73</v>
      </c>
      <c r="B99" s="335">
        <v>41</v>
      </c>
    </row>
    <row r="100" spans="1:6">
      <c r="A100" s="1212" t="s">
        <v>74</v>
      </c>
      <c r="B100" s="335">
        <v>697</v>
      </c>
    </row>
    <row r="101" spans="1:6">
      <c r="A101" s="1212" t="s">
        <v>75</v>
      </c>
      <c r="B101" s="335">
        <v>39</v>
      </c>
    </row>
    <row r="102" spans="1:6">
      <c r="A102" s="1212" t="s">
        <v>76</v>
      </c>
      <c r="B102" s="335">
        <v>62</v>
      </c>
    </row>
    <row r="103" spans="1:6">
      <c r="A103" s="1212" t="s">
        <v>77</v>
      </c>
      <c r="B103" s="335">
        <v>137</v>
      </c>
    </row>
    <row r="104" spans="1:6">
      <c r="A104" s="1212" t="s">
        <v>78</v>
      </c>
      <c r="B104" s="335">
        <v>3027</v>
      </c>
    </row>
    <row r="105" spans="1:6">
      <c r="A105" s="1208" t="s">
        <v>79</v>
      </c>
      <c r="B105" s="1208">
        <v>11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12</v>
      </c>
      <c r="C123" s="335">
        <v>12</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69</v>
      </c>
    </row>
    <row r="130" spans="1:6">
      <c r="A130" s="1212" t="s">
        <v>295</v>
      </c>
      <c r="B130" s="335">
        <v>2</v>
      </c>
    </row>
    <row r="131" spans="1:6">
      <c r="A131" s="1212" t="s">
        <v>296</v>
      </c>
      <c r="B131" s="335">
        <v>1</v>
      </c>
    </row>
    <row r="132" spans="1:6">
      <c r="A132" s="1208" t="s">
        <v>297</v>
      </c>
      <c r="B132" s="338">
        <v>18</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55674.437749424113</v>
      </c>
      <c r="C3" s="43" t="s">
        <v>170</v>
      </c>
      <c r="D3" s="43"/>
      <c r="E3" s="156"/>
      <c r="F3" s="43"/>
      <c r="G3" s="43"/>
      <c r="H3" s="43"/>
      <c r="I3" s="43"/>
      <c r="J3" s="43"/>
      <c r="K3" s="96"/>
    </row>
    <row r="4" spans="1:11">
      <c r="A4" s="366" t="s">
        <v>171</v>
      </c>
      <c r="B4" s="49">
        <f>IF(ISERROR('SEAP template'!B69),0,'SEAP template'!B69)</f>
        <v>3449.6005295177815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0.20730679091085538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62.357142857142847</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854.00900000000001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854.00900000000001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0.20730679091085538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177.04186519898869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30227.577727259901</v>
      </c>
      <c r="C5" s="17">
        <f>IF(ISERROR('Eigen informatie GS &amp; warmtenet'!B57),0,'Eigen informatie GS &amp; warmtenet'!B57)</f>
        <v>0</v>
      </c>
      <c r="D5" s="30">
        <f>(SUM(HH_hh_gas_kWh,HH_rest_gas_kWh)/1000)*0.902</f>
        <v>51197.054765534667</v>
      </c>
      <c r="E5" s="17">
        <f>B46*B57</f>
        <v>2105.407202982547</v>
      </c>
      <c r="F5" s="17">
        <f>B51*B62</f>
        <v>37353.778120038602</v>
      </c>
      <c r="G5" s="18"/>
      <c r="H5" s="17"/>
      <c r="I5" s="17"/>
      <c r="J5" s="17">
        <f>B50*B61+C50*C61</f>
        <v>0</v>
      </c>
      <c r="K5" s="17"/>
      <c r="L5" s="17"/>
      <c r="M5" s="17"/>
      <c r="N5" s="17">
        <f>B48*B59+C48*C59</f>
        <v>7507.9933925404875</v>
      </c>
      <c r="O5" s="17">
        <f>B69*B70*B71</f>
        <v>126.63</v>
      </c>
      <c r="P5" s="17">
        <f>B77*B78*B79/1000-B77*B78*B79/1000/B80</f>
        <v>572</v>
      </c>
    </row>
    <row r="6" spans="1:16">
      <c r="A6" s="16" t="s">
        <v>634</v>
      </c>
      <c r="B6" s="831">
        <f>kWh_PV_kleiner_dan_10kW</f>
        <v>2608.8819459051801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32836.459673165082</v>
      </c>
      <c r="C8" s="21">
        <f>C5</f>
        <v>0</v>
      </c>
      <c r="D8" s="21">
        <f>D5</f>
        <v>51197.054765534667</v>
      </c>
      <c r="E8" s="21">
        <f>E5</f>
        <v>2105.407202982547</v>
      </c>
      <c r="F8" s="21">
        <f>F5</f>
        <v>37353.778120038602</v>
      </c>
      <c r="G8" s="21"/>
      <c r="H8" s="21"/>
      <c r="I8" s="21"/>
      <c r="J8" s="21">
        <f>J5</f>
        <v>0</v>
      </c>
      <c r="K8" s="21"/>
      <c r="L8" s="21">
        <f>L5</f>
        <v>0</v>
      </c>
      <c r="M8" s="21">
        <f>M5</f>
        <v>0</v>
      </c>
      <c r="N8" s="21">
        <f>N5</f>
        <v>7507.9933925404875</v>
      </c>
      <c r="O8" s="21">
        <f>O5</f>
        <v>126.63</v>
      </c>
      <c r="P8" s="21">
        <f>P5</f>
        <v>572</v>
      </c>
    </row>
    <row r="9" spans="1:16">
      <c r="B9" s="19"/>
      <c r="C9" s="19"/>
      <c r="D9" s="261"/>
      <c r="E9" s="19"/>
      <c r="F9" s="19"/>
      <c r="G9" s="19"/>
      <c r="H9" s="19"/>
      <c r="I9" s="19"/>
      <c r="J9" s="19"/>
      <c r="K9" s="19"/>
      <c r="L9" s="19"/>
      <c r="M9" s="19"/>
      <c r="N9" s="19"/>
      <c r="O9" s="19"/>
      <c r="P9" s="19"/>
    </row>
    <row r="10" spans="1:16">
      <c r="A10" s="24" t="s">
        <v>214</v>
      </c>
      <c r="B10" s="25">
        <f ca="1">'EF ele_warmte'!B12</f>
        <v>0.20730679091085538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6807.2210797175685</v>
      </c>
      <c r="C12" s="23">
        <f ca="1">C10*C8</f>
        <v>0</v>
      </c>
      <c r="D12" s="23">
        <f>D8*D10</f>
        <v>10341.805062638003</v>
      </c>
      <c r="E12" s="23">
        <f>E10*E8</f>
        <v>477.92743507703818</v>
      </c>
      <c r="F12" s="23">
        <f>F10*F8</f>
        <v>9973.4587580503066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1490</v>
      </c>
      <c r="C18" s="168" t="s">
        <v>111</v>
      </c>
      <c r="D18" s="230"/>
      <c r="E18" s="15"/>
    </row>
    <row r="19" spans="1:7">
      <c r="A19" s="173" t="s">
        <v>72</v>
      </c>
      <c r="B19" s="37">
        <f>aantalw2001_ander</f>
        <v>2</v>
      </c>
      <c r="C19" s="168" t="s">
        <v>111</v>
      </c>
      <c r="D19" s="231"/>
      <c r="E19" s="15"/>
    </row>
    <row r="20" spans="1:7">
      <c r="A20" s="173" t="s">
        <v>73</v>
      </c>
      <c r="B20" s="37">
        <f>aantalw2001_propaan</f>
        <v>41</v>
      </c>
      <c r="C20" s="169">
        <f>IF(ISERROR(B20/SUM($B$20,$B$21,$B$22)*100),0,B20/SUM($B$20,$B$21,$B$22)*100)</f>
        <v>5.2767052767052771</v>
      </c>
      <c r="D20" s="231"/>
      <c r="E20" s="15"/>
    </row>
    <row r="21" spans="1:7">
      <c r="A21" s="173" t="s">
        <v>74</v>
      </c>
      <c r="B21" s="37">
        <f>aantalw2001_elektriciteit</f>
        <v>697</v>
      </c>
      <c r="C21" s="169">
        <f>IF(ISERROR(B21/SUM($B$20,$B$21,$B$22)*100),0,B21/SUM($B$20,$B$21,$B$22)*100)</f>
        <v>89.703989703989706</v>
      </c>
      <c r="D21" s="231"/>
      <c r="E21" s="15"/>
    </row>
    <row r="22" spans="1:7">
      <c r="A22" s="173" t="s">
        <v>75</v>
      </c>
      <c r="B22" s="37">
        <f>aantalw2001_hout</f>
        <v>39</v>
      </c>
      <c r="C22" s="169">
        <f>IF(ISERROR(B22/SUM($B$20,$B$21,$B$22)*100),0,B22/SUM($B$20,$B$21,$B$22)*100)</f>
        <v>5.019305019305019</v>
      </c>
      <c r="D22" s="231"/>
      <c r="E22" s="15"/>
    </row>
    <row r="23" spans="1:7">
      <c r="A23" s="173" t="s">
        <v>76</v>
      </c>
      <c r="B23" s="37">
        <f>aantalw2001_niet_gespec</f>
        <v>62</v>
      </c>
      <c r="C23" s="168" t="s">
        <v>111</v>
      </c>
      <c r="D23" s="230"/>
      <c r="E23" s="15"/>
    </row>
    <row r="24" spans="1:7">
      <c r="A24" s="173" t="s">
        <v>77</v>
      </c>
      <c r="B24" s="37">
        <f>aantalw2001_steenkool</f>
        <v>137</v>
      </c>
      <c r="C24" s="168" t="s">
        <v>111</v>
      </c>
      <c r="D24" s="231"/>
      <c r="E24" s="15"/>
    </row>
    <row r="25" spans="1:7">
      <c r="A25" s="173" t="s">
        <v>78</v>
      </c>
      <c r="B25" s="37">
        <f>aantalw2001_stookolie</f>
        <v>3027</v>
      </c>
      <c r="C25" s="168" t="s">
        <v>111</v>
      </c>
      <c r="D25" s="230"/>
      <c r="E25" s="52"/>
    </row>
    <row r="26" spans="1:7">
      <c r="A26" s="173" t="s">
        <v>79</v>
      </c>
      <c r="B26" s="37">
        <f>aantalw2001_WP</f>
        <v>11</v>
      </c>
      <c r="C26" s="168" t="s">
        <v>111</v>
      </c>
      <c r="D26" s="230"/>
      <c r="E26" s="15"/>
    </row>
    <row r="27" spans="1:7" s="15" customFormat="1">
      <c r="A27" s="173"/>
      <c r="B27" s="29"/>
      <c r="C27" s="36"/>
      <c r="D27" s="230"/>
    </row>
    <row r="28" spans="1:7" s="15" customFormat="1">
      <c r="A28" s="232" t="s">
        <v>745</v>
      </c>
      <c r="B28" s="37">
        <f>aantalHuishoudens2011</f>
        <v>6634</v>
      </c>
      <c r="C28" s="36"/>
      <c r="D28" s="230"/>
    </row>
    <row r="29" spans="1:7" s="15" customFormat="1">
      <c r="A29" s="232" t="s">
        <v>746</v>
      </c>
      <c r="B29" s="37">
        <f>SUM(HH_hh_gas_aantal,HH_rest_gas_aantal)</f>
        <v>3212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3212</v>
      </c>
      <c r="C32" s="169">
        <f>IF(ISERROR(B32/SUM($B$32,$B$34,$B$35,$B$36,$B$38,$B$39)*100),0,B32/SUM($B$32,$B$34,$B$35,$B$36,$B$38,$B$39)*100)</f>
        <v>48.637189582071471</v>
      </c>
      <c r="D32" s="235"/>
      <c r="G32" s="15"/>
    </row>
    <row r="33" spans="1:7">
      <c r="A33" s="173" t="s">
        <v>72</v>
      </c>
      <c r="B33" s="34" t="s">
        <v>111</v>
      </c>
      <c r="C33" s="169"/>
      <c r="D33" s="235"/>
      <c r="G33" s="15"/>
    </row>
    <row r="34" spans="1:7">
      <c r="A34" s="173" t="s">
        <v>73</v>
      </c>
      <c r="B34" s="33">
        <f>IF((($B$28-$B$32-$B$39-$B$77-$B$38)*C20/100)&lt;0,0,($B$28-$B$32-$B$39-$B$77-$B$38)*C20/100)</f>
        <v>101.03835263835265</v>
      </c>
      <c r="C34" s="169">
        <f>IF(ISERROR(B34/SUM($B$32,$B$34,$B$35,$B$36,$B$38,$B$39)*100),0,B34/SUM($B$32,$B$34,$B$35,$B$36,$B$38,$B$39)*100)</f>
        <v>1.5299568842875932</v>
      </c>
      <c r="D34" s="235"/>
      <c r="G34" s="15"/>
    </row>
    <row r="35" spans="1:7">
      <c r="A35" s="173" t="s">
        <v>74</v>
      </c>
      <c r="B35" s="33">
        <f>IF((($B$28-$B$32-$B$39-$B$77-$B$38)*C21/100)&lt;0,0,($B$28-$B$32-$B$39-$B$77-$B$38)*C21/100)</f>
        <v>1717.6519948519949</v>
      </c>
      <c r="C35" s="169">
        <f>IF(ISERROR(B35/SUM($B$32,$B$34,$B$35,$B$36,$B$38,$B$39)*100),0,B35/SUM($B$32,$B$34,$B$35,$B$36,$B$38,$B$39)*100)</f>
        <v>26.009267032889085</v>
      </c>
      <c r="D35" s="235"/>
      <c r="G35" s="15"/>
    </row>
    <row r="36" spans="1:7">
      <c r="A36" s="173" t="s">
        <v>75</v>
      </c>
      <c r="B36" s="33">
        <f>IF((($B$28-$B$32-$B$39-$B$77-$B$38)*C22/100)&lt;0,0,($B$28-$B$32-$B$39-$B$77-$B$38)*C22/100)</f>
        <v>96.109652509652491</v>
      </c>
      <c r="C36" s="169">
        <f>IF(ISERROR(B36/SUM($B$32,$B$34,$B$35,$B$36,$B$38,$B$39)*100),0,B36/SUM($B$32,$B$34,$B$35,$B$36,$B$38,$B$39)*100)</f>
        <v>1.4553248411516124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1477.2</v>
      </c>
      <c r="C39" s="169">
        <f>IF(ISERROR(B39/SUM($B$32,$B$34,$B$35,$B$36,$B$38,$B$39)*100),0,B39/SUM($B$32,$B$34,$B$35,$B$36,$B$38,$B$39)*100)</f>
        <v>22.368261659600243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3212</v>
      </c>
      <c r="C44" s="34" t="s">
        <v>111</v>
      </c>
      <c r="D44" s="176"/>
    </row>
    <row r="45" spans="1:7">
      <c r="A45" s="173" t="s">
        <v>72</v>
      </c>
      <c r="B45" s="33" t="str">
        <f t="shared" si="0"/>
        <v>-</v>
      </c>
      <c r="C45" s="34" t="s">
        <v>111</v>
      </c>
      <c r="D45" s="176"/>
    </row>
    <row r="46" spans="1:7">
      <c r="A46" s="173" t="s">
        <v>73</v>
      </c>
      <c r="B46" s="33">
        <f t="shared" si="0"/>
        <v>101.03835263835265</v>
      </c>
      <c r="C46" s="34" t="s">
        <v>111</v>
      </c>
      <c r="D46" s="176"/>
    </row>
    <row r="47" spans="1:7">
      <c r="A47" s="173" t="s">
        <v>74</v>
      </c>
      <c r="B47" s="33">
        <f t="shared" si="0"/>
        <v>1717.6519948519949</v>
      </c>
      <c r="C47" s="34" t="s">
        <v>111</v>
      </c>
      <c r="D47" s="176"/>
    </row>
    <row r="48" spans="1:7">
      <c r="A48" s="173" t="s">
        <v>75</v>
      </c>
      <c r="B48" s="33">
        <f t="shared" si="0"/>
        <v>96.109652509652491</v>
      </c>
      <c r="C48" s="33">
        <f>B48*10</f>
        <v>961.09652509652494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1477.2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15349.446319796689</v>
      </c>
      <c r="C5" s="17">
        <f>IF(ISERROR('Eigen informatie GS &amp; warmtenet'!B58),0,'Eigen informatie GS &amp; warmtenet'!B58)</f>
        <v>0</v>
      </c>
      <c r="D5" s="30">
        <f>SUM(D6:D12)</f>
        <v>20328.4306220094</v>
      </c>
      <c r="E5" s="17">
        <f>SUM(E6:E12)</f>
        <v>208.55660725931241</v>
      </c>
      <c r="F5" s="17">
        <f>SUM(F6:F12)</f>
        <v>3052.9668887665262</v>
      </c>
      <c r="G5" s="18"/>
      <c r="H5" s="17"/>
      <c r="I5" s="17"/>
      <c r="J5" s="17">
        <f>SUM(J6:J12)</f>
        <v>0</v>
      </c>
      <c r="K5" s="17"/>
      <c r="L5" s="17"/>
      <c r="M5" s="17"/>
      <c r="N5" s="17">
        <f>SUM(N6:N12)</f>
        <v>1457.9908446284437</v>
      </c>
      <c r="O5" s="17">
        <f>B38*B39*B40</f>
        <v>3.1266666666666669</v>
      </c>
      <c r="P5" s="17">
        <f>B46*B47*B48/1000-B46*B47*B48/1000/B49</f>
        <v>19.066666666666666</v>
      </c>
      <c r="R5" s="32"/>
    </row>
    <row r="6" spans="1:18">
      <c r="A6" s="32" t="s">
        <v>54</v>
      </c>
      <c r="B6" s="37">
        <f>B26</f>
        <v>3882.11941492814</v>
      </c>
      <c r="C6" s="33"/>
      <c r="D6" s="37">
        <f>IF(ISERROR(TER_kantoor_gas_kWh/1000),0,TER_kantoor_gas_kWh/1000)*0.902</f>
        <v>5986.6988547658912</v>
      </c>
      <c r="E6" s="33">
        <f>$C$26*'E Balans VL '!I12/100/3.6*1000000</f>
        <v>15.082855819563404</v>
      </c>
      <c r="F6" s="33">
        <f>$C$26*('E Balans VL '!L12+'E Balans VL '!N12)/100/3.6*1000000</f>
        <v>590.43503854020526</v>
      </c>
      <c r="G6" s="34"/>
      <c r="H6" s="33"/>
      <c r="I6" s="33"/>
      <c r="J6" s="33">
        <f>$C$26*('E Balans VL '!D12+'E Balans VL '!E12)/100/3.6*1000000</f>
        <v>0</v>
      </c>
      <c r="K6" s="33"/>
      <c r="L6" s="33"/>
      <c r="M6" s="33"/>
      <c r="N6" s="33">
        <f>$C$26*'E Balans VL '!Y12/100/3.6*1000000</f>
        <v>2.139512864078148</v>
      </c>
      <c r="O6" s="33"/>
      <c r="P6" s="33"/>
      <c r="R6" s="32"/>
    </row>
    <row r="7" spans="1:18">
      <c r="A7" s="32" t="s">
        <v>53</v>
      </c>
      <c r="B7" s="37">
        <f t="shared" ref="B7:B12" si="0">B27</f>
        <v>1375.7707169368</v>
      </c>
      <c r="C7" s="33"/>
      <c r="D7" s="37">
        <f>IF(ISERROR(TER_horeca_gas_kWh/1000),0,TER_horeca_gas_kWh/1000)*0.902</f>
        <v>1624.2500077522102</v>
      </c>
      <c r="E7" s="33">
        <f>$C$27*'E Balans VL '!I9/100/3.6*1000000</f>
        <v>77.497532305198305</v>
      </c>
      <c r="F7" s="33">
        <f>$C$27*('E Balans VL '!L9+'E Balans VL '!N9)/100/3.6*1000000</f>
        <v>396.68990905316349</v>
      </c>
      <c r="G7" s="34"/>
      <c r="H7" s="33"/>
      <c r="I7" s="33"/>
      <c r="J7" s="33">
        <f>$C$27*('E Balans VL '!D9+'E Balans VL '!E9)/100/3.6*1000000</f>
        <v>0</v>
      </c>
      <c r="K7" s="33"/>
      <c r="L7" s="33"/>
      <c r="M7" s="33"/>
      <c r="N7" s="33">
        <f>$C$27*'E Balans VL '!Y9/100/3.6*1000000</f>
        <v>0.37984314576896117</v>
      </c>
      <c r="O7" s="33"/>
      <c r="P7" s="33"/>
      <c r="R7" s="32"/>
    </row>
    <row r="8" spans="1:18">
      <c r="A8" s="6" t="s">
        <v>52</v>
      </c>
      <c r="B8" s="37">
        <f t="shared" si="0"/>
        <v>5863.9093851480102</v>
      </c>
      <c r="C8" s="33"/>
      <c r="D8" s="37">
        <f>IF(ISERROR(TER_handel_gas_kWh/1000),0,TER_handel_gas_kWh/1000)*0.902</f>
        <v>4230.7725194205568</v>
      </c>
      <c r="E8" s="33">
        <f>$C$28*'E Balans VL '!I13/100/3.6*1000000</f>
        <v>84.518828505531133</v>
      </c>
      <c r="F8" s="33">
        <f>$C$28*('E Balans VL '!L13+'E Balans VL '!N13)/100/3.6*1000000</f>
        <v>1018.6976214347941</v>
      </c>
      <c r="G8" s="34"/>
      <c r="H8" s="33"/>
      <c r="I8" s="33"/>
      <c r="J8" s="33">
        <f>$C$28*('E Balans VL '!D13+'E Balans VL '!E13)/100/3.6*1000000</f>
        <v>0</v>
      </c>
      <c r="K8" s="33"/>
      <c r="L8" s="33"/>
      <c r="M8" s="33"/>
      <c r="N8" s="33">
        <f>$C$28*'E Balans VL '!Y13/100/3.6*1000000</f>
        <v>17.568925301743636</v>
      </c>
      <c r="O8" s="33"/>
      <c r="P8" s="33"/>
      <c r="R8" s="32"/>
    </row>
    <row r="9" spans="1:18">
      <c r="A9" s="32" t="s">
        <v>51</v>
      </c>
      <c r="B9" s="37">
        <f t="shared" si="0"/>
        <v>314.19023870024301</v>
      </c>
      <c r="C9" s="33"/>
      <c r="D9" s="37">
        <f>IF(ISERROR(TER_gezond_gas_kWh/1000),0,TER_gezond_gas_kWh/1000)*0.902</f>
        <v>304.7951301331176</v>
      </c>
      <c r="E9" s="33">
        <f>$C$29*'E Balans VL '!I10/100/3.6*1000000</f>
        <v>0.33563661005112061</v>
      </c>
      <c r="F9" s="33">
        <f>$C$29*('E Balans VL '!L10+'E Balans VL '!N10)/100/3.6*1000000</f>
        <v>51.253976531677218</v>
      </c>
      <c r="G9" s="34"/>
      <c r="H9" s="33"/>
      <c r="I9" s="33"/>
      <c r="J9" s="33">
        <f>$C$29*('E Balans VL '!D10+'E Balans VL '!E10)/100/3.6*1000000</f>
        <v>0</v>
      </c>
      <c r="K9" s="33"/>
      <c r="L9" s="33"/>
      <c r="M9" s="33"/>
      <c r="N9" s="33">
        <f>$C$29*'E Balans VL '!Y10/100/3.6*1000000</f>
        <v>3.2344092340453581</v>
      </c>
      <c r="O9" s="33"/>
      <c r="P9" s="33"/>
      <c r="R9" s="32"/>
    </row>
    <row r="10" spans="1:18">
      <c r="A10" s="32" t="s">
        <v>50</v>
      </c>
      <c r="B10" s="37">
        <f t="shared" si="0"/>
        <v>1850.3888731498701</v>
      </c>
      <c r="C10" s="33"/>
      <c r="D10" s="37">
        <f>IF(ISERROR(TER_ander_gas_kWh/1000),0,TER_ander_gas_kWh/1000)*0.902</f>
        <v>1695.7360800311612</v>
      </c>
      <c r="E10" s="33">
        <f>$C$30*'E Balans VL '!I14/100/3.6*1000000</f>
        <v>8.5096569625744714</v>
      </c>
      <c r="F10" s="33">
        <f>$C$30*('E Balans VL '!L14+'E Balans VL '!N14)/100/3.6*1000000</f>
        <v>554.61991179395773</v>
      </c>
      <c r="G10" s="34"/>
      <c r="H10" s="33"/>
      <c r="I10" s="33"/>
      <c r="J10" s="33">
        <f>$C$30*('E Balans VL '!D14+'E Balans VL '!E14)/100/3.6*1000000</f>
        <v>0</v>
      </c>
      <c r="K10" s="33"/>
      <c r="L10" s="33"/>
      <c r="M10" s="33"/>
      <c r="N10" s="33">
        <f>$C$30*'E Balans VL '!Y14/100/3.6*1000000</f>
        <v>1287.9928013041931</v>
      </c>
      <c r="O10" s="33"/>
      <c r="P10" s="33"/>
      <c r="R10" s="32"/>
    </row>
    <row r="11" spans="1:18">
      <c r="A11" s="32" t="s">
        <v>55</v>
      </c>
      <c r="B11" s="37">
        <f t="shared" si="0"/>
        <v>215.31120256137601</v>
      </c>
      <c r="C11" s="33"/>
      <c r="D11" s="37">
        <f>IF(ISERROR(TER_onderwijs_gas_kWh/1000),0,TER_onderwijs_gas_kWh/1000)*0.902</f>
        <v>1028.5864118126156</v>
      </c>
      <c r="E11" s="33">
        <f>$C$31*'E Balans VL '!I11/100/3.6*1000000</f>
        <v>0.19972945568886294</v>
      </c>
      <c r="F11" s="33">
        <f>$C$31*('E Balans VL '!L11+'E Balans VL '!N11)/100/3.6*1000000</f>
        <v>75.633876887604131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1847.75648837225</v>
      </c>
      <c r="C12" s="33"/>
      <c r="D12" s="37">
        <f>IF(ISERROR(TER_rest_gas_kWh/1000),0,TER_rest_gas_kWh/1000)*0.902</f>
        <v>5457.5916180938457</v>
      </c>
      <c r="E12" s="33">
        <f>$C$32*'E Balans VL '!I8/100/3.6*1000000</f>
        <v>22.412367600705089</v>
      </c>
      <c r="F12" s="33">
        <f>$C$32*('E Balans VL '!L8+'E Balans VL '!N8)/100/3.6*1000000</f>
        <v>365.63655452512427</v>
      </c>
      <c r="G12" s="34"/>
      <c r="H12" s="33"/>
      <c r="I12" s="33"/>
      <c r="J12" s="33">
        <f>$C$32*('E Balans VL '!D8+'E Balans VL '!E8)/100/3.6*1000000</f>
        <v>0</v>
      </c>
      <c r="K12" s="33"/>
      <c r="L12" s="33"/>
      <c r="M12" s="33"/>
      <c r="N12" s="33">
        <f>$C$32*'E Balans VL '!Y8/100/3.6*1000000</f>
        <v>146.67535277861455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15349.446319796689</v>
      </c>
      <c r="C16" s="21">
        <f t="shared" ca="1" si="1"/>
        <v>0</v>
      </c>
      <c r="D16" s="21">
        <f t="shared" ca="1" si="1"/>
        <v>20328.4306220094</v>
      </c>
      <c r="E16" s="21">
        <f t="shared" si="1"/>
        <v>208.55660725931241</v>
      </c>
      <c r="F16" s="21">
        <f t="shared" ca="1" si="1"/>
        <v>3052.9668887665262</v>
      </c>
      <c r="G16" s="21">
        <f t="shared" si="1"/>
        <v>0</v>
      </c>
      <c r="H16" s="21">
        <f t="shared" si="1"/>
        <v>0</v>
      </c>
      <c r="I16" s="21">
        <f t="shared" si="1"/>
        <v>0</v>
      </c>
      <c r="J16" s="21">
        <f t="shared" si="1"/>
        <v>0</v>
      </c>
      <c r="K16" s="21">
        <f t="shared" si="1"/>
        <v>0</v>
      </c>
      <c r="L16" s="21">
        <f t="shared" ca="1" si="1"/>
        <v>0</v>
      </c>
      <c r="M16" s="21">
        <f t="shared" si="1"/>
        <v>0</v>
      </c>
      <c r="N16" s="21">
        <f t="shared" ca="1" si="1"/>
        <v>1457.9908446284437</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0.20730679091085538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3182.044458815491</v>
      </c>
      <c r="C20" s="23">
        <f t="shared" ref="C20:P20" ca="1" si="2">C16*C18</f>
        <v>0</v>
      </c>
      <c r="D20" s="23">
        <f t="shared" ca="1" si="2"/>
        <v>4106.3429856458988</v>
      </c>
      <c r="E20" s="23">
        <f t="shared" si="2"/>
        <v>47.342349847863922</v>
      </c>
      <c r="F20" s="23">
        <f t="shared" ca="1" si="2"/>
        <v>815.14215930066257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3882.11941492814</v>
      </c>
      <c r="C26" s="39">
        <f>IF(ISERROR(B26*3.6/1000000/'E Balans VL '!Z12*100),0,B26*3.6/1000000/'E Balans VL '!Z12*100)</f>
        <v>8.2458139325051499E-2</v>
      </c>
      <c r="D26" s="239" t="s">
        <v>692</v>
      </c>
      <c r="F26" s="6"/>
    </row>
    <row r="27" spans="1:18">
      <c r="A27" s="233" t="s">
        <v>53</v>
      </c>
      <c r="B27" s="33">
        <f>IF(ISERROR(TER_horeca_ele_kWh/1000),0,TER_horeca_ele_kWh/1000)</f>
        <v>1375.7707169368</v>
      </c>
      <c r="C27" s="39">
        <f>IF(ISERROR(B27*3.6/1000000/'E Balans VL '!Z9*100),0,B27*3.6/1000000/'E Balans VL '!Z9*100)</f>
        <v>0.10697455179321941</v>
      </c>
      <c r="D27" s="239" t="s">
        <v>692</v>
      </c>
      <c r="F27" s="6"/>
    </row>
    <row r="28" spans="1:18">
      <c r="A28" s="173" t="s">
        <v>52</v>
      </c>
      <c r="B28" s="33">
        <f>IF(ISERROR(TER_handel_ele_kWh/1000),0,TER_handel_ele_kWh/1000)</f>
        <v>5863.9093851480102</v>
      </c>
      <c r="C28" s="39">
        <f>IF(ISERROR(B28*3.6/1000000/'E Balans VL '!Z13*100),0,B28*3.6/1000000/'E Balans VL '!Z13*100)</f>
        <v>0.1677733486400757</v>
      </c>
      <c r="D28" s="239" t="s">
        <v>692</v>
      </c>
      <c r="F28" s="6"/>
    </row>
    <row r="29" spans="1:18">
      <c r="A29" s="233" t="s">
        <v>51</v>
      </c>
      <c r="B29" s="33">
        <f>IF(ISERROR(TER_gezond_ele_kWh/1000),0,TER_gezond_ele_kWh/1000)</f>
        <v>314.19023870024301</v>
      </c>
      <c r="C29" s="39">
        <f>IF(ISERROR(B29*3.6/1000000/'E Balans VL '!Z10*100),0,B29*3.6/1000000/'E Balans VL '!Z10*100)</f>
        <v>3.4254036923862946E-2</v>
      </c>
      <c r="D29" s="239" t="s">
        <v>692</v>
      </c>
      <c r="F29" s="6"/>
    </row>
    <row r="30" spans="1:18">
      <c r="A30" s="233" t="s">
        <v>50</v>
      </c>
      <c r="B30" s="33">
        <f>IF(ISERROR(TER_ander_ele_kWh/1000),0,TER_ander_ele_kWh/1000)</f>
        <v>1850.3888731498701</v>
      </c>
      <c r="C30" s="39">
        <f>IF(ISERROR(B30*3.6/1000000/'E Balans VL '!Z14*100),0,B30*3.6/1000000/'E Balans VL '!Z14*100)</f>
        <v>0.13540726022945251</v>
      </c>
      <c r="D30" s="239" t="s">
        <v>692</v>
      </c>
      <c r="F30" s="6"/>
    </row>
    <row r="31" spans="1:18">
      <c r="A31" s="233" t="s">
        <v>55</v>
      </c>
      <c r="B31" s="33">
        <f>IF(ISERROR(TER_onderwijs_ele_kWh/1000),0,TER_onderwijs_ele_kWh/1000)</f>
        <v>215.31120256137601</v>
      </c>
      <c r="C31" s="39">
        <f>IF(ISERROR(B31*3.6/1000000/'E Balans VL '!Z11*100),0,B31*3.6/1000000/'E Balans VL '!Z11*100)</f>
        <v>4.3245414920142562E-2</v>
      </c>
      <c r="D31" s="239" t="s">
        <v>692</v>
      </c>
    </row>
    <row r="32" spans="1:18">
      <c r="A32" s="233" t="s">
        <v>260</v>
      </c>
      <c r="B32" s="33">
        <f>IF(ISERROR(TER_rest_ele_kWh/1000),0,TER_rest_ele_kWh/1000)</f>
        <v>1847.75648837225</v>
      </c>
      <c r="C32" s="39">
        <f>IF(ISERROR(B32*3.6/1000000/'E Balans VL '!Z8*100),0,B32*3.6/1000000/'E Balans VL '!Z8*100)</f>
        <v>1.5058094033795752E-2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3863.1611737036892</v>
      </c>
      <c r="C5" s="17">
        <f>IF(ISERROR('Eigen informatie GS &amp; warmtenet'!B59),0,'Eigen informatie GS &amp; warmtenet'!B59)</f>
        <v>0</v>
      </c>
      <c r="D5" s="30">
        <f>SUM(D6:D15)</f>
        <v>2490.188148584738</v>
      </c>
      <c r="E5" s="17">
        <f>SUM(E6:E15)</f>
        <v>361.67255731910757</v>
      </c>
      <c r="F5" s="17">
        <f>SUM(F6:F15)</f>
        <v>1900.0557136807336</v>
      </c>
      <c r="G5" s="18"/>
      <c r="H5" s="17"/>
      <c r="I5" s="17"/>
      <c r="J5" s="17">
        <f>SUM(J6:J15)</f>
        <v>5.2737183940548062</v>
      </c>
      <c r="K5" s="17"/>
      <c r="L5" s="17"/>
      <c r="M5" s="17"/>
      <c r="N5" s="17">
        <f>SUM(N6:N15)</f>
        <v>1799.1222129541893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33.619999999999997</v>
      </c>
      <c r="C8" s="33"/>
      <c r="D8" s="37">
        <f>IF( ISERROR(IND_metaal_Gas_kWH/1000),0,IND_metaal_Gas_kWH/1000)*0.902</f>
        <v>0</v>
      </c>
      <c r="E8" s="33">
        <f>C30*'E Balans VL '!I18/100/3.6*1000000</f>
        <v>0.96569259399870211</v>
      </c>
      <c r="F8" s="33">
        <f>C30*'E Balans VL '!L18/100/3.6*1000000+C30*'E Balans VL '!N18/100/3.6*1000000</f>
        <v>8.6228833944754903</v>
      </c>
      <c r="G8" s="34"/>
      <c r="H8" s="33"/>
      <c r="I8" s="33"/>
      <c r="J8" s="40">
        <f>C30*'E Balans VL '!D18/100/3.6*1000000+C30*'E Balans VL '!E18/100/3.6*1000000</f>
        <v>0</v>
      </c>
      <c r="K8" s="33"/>
      <c r="L8" s="33"/>
      <c r="M8" s="33"/>
      <c r="N8" s="33">
        <f>C30*'E Balans VL '!Y18/100/3.6*1000000</f>
        <v>0.91285162814307885</v>
      </c>
      <c r="O8" s="33"/>
      <c r="P8" s="33"/>
      <c r="R8" s="32"/>
    </row>
    <row r="9" spans="1:18">
      <c r="A9" s="6" t="s">
        <v>33</v>
      </c>
      <c r="B9" s="37">
        <f t="shared" si="0"/>
        <v>709.10069620192007</v>
      </c>
      <c r="C9" s="33"/>
      <c r="D9" s="37">
        <f>IF( ISERROR(IND_andere_gas_kWh/1000),0,IND_andere_gas_kWh/1000)*0.902</f>
        <v>659.44874108765816</v>
      </c>
      <c r="E9" s="33">
        <f>C31*'E Balans VL '!I19/100/3.6*1000000</f>
        <v>191.93612377436213</v>
      </c>
      <c r="F9" s="33">
        <f>C31*'E Balans VL '!L19/100/3.6*1000000+C31*'E Balans VL '!N19/100/3.6*1000000</f>
        <v>472.33610219895394</v>
      </c>
      <c r="G9" s="34"/>
      <c r="H9" s="33"/>
      <c r="I9" s="33"/>
      <c r="J9" s="40">
        <f>C31*'E Balans VL '!D19/100/3.6*1000000+C31*'E Balans VL '!E19/100/3.6*1000000</f>
        <v>0</v>
      </c>
      <c r="K9" s="33"/>
      <c r="L9" s="33"/>
      <c r="M9" s="33"/>
      <c r="N9" s="33">
        <f>C31*'E Balans VL '!Y19/100/3.6*1000000</f>
        <v>231.50959813893635</v>
      </c>
      <c r="O9" s="33"/>
      <c r="P9" s="33"/>
      <c r="R9" s="32"/>
    </row>
    <row r="10" spans="1:18">
      <c r="A10" s="6" t="s">
        <v>41</v>
      </c>
      <c r="B10" s="37">
        <f t="shared" si="0"/>
        <v>604.736098525839</v>
      </c>
      <c r="C10" s="33"/>
      <c r="D10" s="37">
        <f>IF( ISERROR(IND_voed_gas_kWh/1000),0,IND_voed_gas_kWh/1000)*0.902</f>
        <v>742.22974372686906</v>
      </c>
      <c r="E10" s="33">
        <f>C32*'E Balans VL '!I20/100/3.6*1000000</f>
        <v>49.323665540801152</v>
      </c>
      <c r="F10" s="33">
        <f>C32*'E Balans VL '!L20/100/3.6*1000000+C32*'E Balans VL '!N20/100/3.6*1000000</f>
        <v>901.71638936835473</v>
      </c>
      <c r="G10" s="34"/>
      <c r="H10" s="33"/>
      <c r="I10" s="33"/>
      <c r="J10" s="40">
        <f>C32*'E Balans VL '!D20/100/3.6*1000000+C32*'E Balans VL '!E20/100/3.6*1000000</f>
        <v>7.9999245323466497E-3</v>
      </c>
      <c r="K10" s="33"/>
      <c r="L10" s="33"/>
      <c r="M10" s="33"/>
      <c r="N10" s="33">
        <f>C32*'E Balans VL '!Y20/100/3.6*1000000</f>
        <v>177.65012691089552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461.24114367428001</v>
      </c>
      <c r="C13" s="33"/>
      <c r="D13" s="37">
        <f>IF( ISERROR(IND_papier_gas_kWh/1000),0,IND_papier_gas_kWh/1000)*0.902</f>
        <v>115.53070935544994</v>
      </c>
      <c r="E13" s="33">
        <f>C35*'E Balans VL '!I23/100/3.6*1000000</f>
        <v>4.8323412588040178</v>
      </c>
      <c r="F13" s="33">
        <f>C35*'E Balans VL '!L23/100/3.6*1000000+C35*'E Balans VL '!N23/100/3.6*1000000</f>
        <v>34.41789589413775</v>
      </c>
      <c r="G13" s="34"/>
      <c r="H13" s="33"/>
      <c r="I13" s="33"/>
      <c r="J13" s="40">
        <f>C35*'E Balans VL '!D23/100/3.6*1000000+C35*'E Balans VL '!E23/100/3.6*1000000</f>
        <v>0</v>
      </c>
      <c r="K13" s="33"/>
      <c r="L13" s="33"/>
      <c r="M13" s="33"/>
      <c r="N13" s="33">
        <f>C35*'E Balans VL '!Y23/100/3.6*1000000</f>
        <v>985.85480171596816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2054.46323530165</v>
      </c>
      <c r="C15" s="33"/>
      <c r="D15" s="37">
        <f>IF( ISERROR(IND_rest_gas_kWh/1000),0,IND_rest_gas_kWh/1000)*0.902</f>
        <v>972.97895441476089</v>
      </c>
      <c r="E15" s="33">
        <f>C37*'E Balans VL '!I15/100/3.6*1000000</f>
        <v>114.61473415114158</v>
      </c>
      <c r="F15" s="33">
        <f>C37*'E Balans VL '!L15/100/3.6*1000000+C37*'E Balans VL '!N15/100/3.6*1000000</f>
        <v>482.9624428248116</v>
      </c>
      <c r="G15" s="34"/>
      <c r="H15" s="33"/>
      <c r="I15" s="33"/>
      <c r="J15" s="40">
        <f>C37*'E Balans VL '!D15/100/3.6*1000000+C37*'E Balans VL '!E15/100/3.6*1000000</f>
        <v>5.2657184695224597</v>
      </c>
      <c r="K15" s="33"/>
      <c r="L15" s="33"/>
      <c r="M15" s="33"/>
      <c r="N15" s="33">
        <f>C37*'E Balans VL '!Y15/100/3.6*1000000</f>
        <v>403.19483456024614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3863.1611737036892</v>
      </c>
      <c r="C18" s="21">
        <f>C5+C16</f>
        <v>0</v>
      </c>
      <c r="D18" s="21">
        <f>MAX((D5+D16),0)</f>
        <v>2490.188148584738</v>
      </c>
      <c r="E18" s="21">
        <f>MAX((E5+E16),0)</f>
        <v>361.67255731910757</v>
      </c>
      <c r="F18" s="21">
        <f>MAX((F5+F16),0)</f>
        <v>1900.0557136807336</v>
      </c>
      <c r="G18" s="21"/>
      <c r="H18" s="21"/>
      <c r="I18" s="21"/>
      <c r="J18" s="21">
        <f>MAX((J5+J16),0)</f>
        <v>5.2737183940548062</v>
      </c>
      <c r="K18" s="21"/>
      <c r="L18" s="21">
        <f>MAX((L5+L16),0)</f>
        <v>0</v>
      </c>
      <c r="M18" s="21"/>
      <c r="N18" s="21">
        <f>MAX((N5+N16),0)</f>
        <v>1799.1222129541893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0.20730679091085538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800.8595456919254</v>
      </c>
      <c r="C22" s="23">
        <f ca="1">C18*C20</f>
        <v>0</v>
      </c>
      <c r="D22" s="23">
        <f>D18*D20</f>
        <v>503.01800601411708</v>
      </c>
      <c r="E22" s="23">
        <f>E18*E20</f>
        <v>82.099670511437424</v>
      </c>
      <c r="F22" s="23">
        <f>F18*F20</f>
        <v>507.31487555275589</v>
      </c>
      <c r="G22" s="23"/>
      <c r="H22" s="23"/>
      <c r="I22" s="23"/>
      <c r="J22" s="23">
        <f>J18*J20</f>
        <v>1.8668963114954014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33.619999999999997</v>
      </c>
      <c r="C30" s="39">
        <f>IF(ISERROR(B30*3.6/1000000/'E Balans VL '!Z18*100),0,B30*3.6/1000000/'E Balans VL '!Z18*100)</f>
        <v>3.3081221772822697E-3</v>
      </c>
      <c r="D30" s="239" t="s">
        <v>692</v>
      </c>
    </row>
    <row r="31" spans="1:18">
      <c r="A31" s="6" t="s">
        <v>33</v>
      </c>
      <c r="B31" s="37">
        <f>IF( ISERROR(IND_ander_ele_kWh/1000),0,IND_ander_ele_kWh/1000)</f>
        <v>709.10069620192007</v>
      </c>
      <c r="C31" s="39">
        <f>IF(ISERROR(B31*3.6/1000000/'E Balans VL '!Z19*100),0,B31*3.6/1000000/'E Balans VL '!Z19*100)</f>
        <v>3.088076967554022E-2</v>
      </c>
      <c r="D31" s="239" t="s">
        <v>692</v>
      </c>
    </row>
    <row r="32" spans="1:18">
      <c r="A32" s="173" t="s">
        <v>41</v>
      </c>
      <c r="B32" s="37">
        <f>IF( ISERROR(IND_voed_ele_kWh/1000),0,IND_voed_ele_kWh/1000)</f>
        <v>604.736098525839</v>
      </c>
      <c r="C32" s="39">
        <f>IF(ISERROR(B32*3.6/1000000/'E Balans VL '!Z20*100),0,B32*3.6/1000000/'E Balans VL '!Z20*100)</f>
        <v>0.11473995345197929</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461.24114367428001</v>
      </c>
      <c r="C35" s="39">
        <f>IF(ISERROR(B35*3.6/1000000/'E Balans VL '!Z22*100),0,B35*3.6/1000000/'E Balans VL '!Z22*100)</f>
        <v>6.4855136439802064E-2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2054.46323530165</v>
      </c>
      <c r="C37" s="39">
        <f>IF(ISERROR(B37*3.6/1000000/'E Balans VL '!Z15*100),0,B37*3.6/1000000/'E Balans VL '!Z15*100)</f>
        <v>1.5832162628997143E-2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2766.7971098839266</v>
      </c>
      <c r="C5" s="17">
        <f>'Eigen informatie GS &amp; warmtenet'!B60</f>
        <v>0</v>
      </c>
      <c r="D5" s="30">
        <f>IF(ISERROR(SUM(LB_lb_gas_kWh,LB_rest_gas_kWh,onbekend_gas_kWh)/1000),0,SUM(LB_lb_gas_kWh,LB_rest_gas_kWh,onbekend_gas_kWh)/1000)*0.902</f>
        <v>1723.7781082091287</v>
      </c>
      <c r="E5" s="17">
        <f>B17*'E Balans VL '!I25/3.6*1000000/100</f>
        <v>34.865207943922613</v>
      </c>
      <c r="F5" s="17">
        <f>B17*('E Balans VL '!L25/3.6*1000000+'E Balans VL '!N25/3.6*1000000)/100</f>
        <v>9546.1431531914368</v>
      </c>
      <c r="G5" s="18"/>
      <c r="H5" s="17"/>
      <c r="I5" s="17"/>
      <c r="J5" s="17">
        <f>('E Balans VL '!D25+'E Balans VL '!E25)/3.6*1000000*landbouw!B17/100</f>
        <v>416.09483348703617</v>
      </c>
      <c r="K5" s="17"/>
      <c r="L5" s="17">
        <f>L6*(-1)</f>
        <v>0</v>
      </c>
      <c r="M5" s="17"/>
      <c r="N5" s="17">
        <f>N6*(-1)</f>
        <v>124.71428571428569</v>
      </c>
      <c r="O5" s="17"/>
      <c r="P5" s="17"/>
      <c r="R5" s="32"/>
    </row>
    <row r="6" spans="1:18">
      <c r="A6" s="16" t="s">
        <v>497</v>
      </c>
      <c r="B6" s="17" t="s">
        <v>211</v>
      </c>
      <c r="C6" s="17">
        <f>'lokale energieproductie'!O91+'lokale energieproductie'!O60</f>
        <v>62.357142857142847</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-124.71428571428569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2766.7971098839266</v>
      </c>
      <c r="C8" s="21">
        <f>C5+C6</f>
        <v>62.357142857142847</v>
      </c>
      <c r="D8" s="21">
        <f>MAX((D5+D6),0)</f>
        <v>1723.7781082091287</v>
      </c>
      <c r="E8" s="21">
        <f>MAX((E5+E6),0)</f>
        <v>34.865207943922613</v>
      </c>
      <c r="F8" s="21">
        <f>MAX((F5+F6),0)</f>
        <v>9546.1431531914368</v>
      </c>
      <c r="G8" s="21"/>
      <c r="H8" s="21"/>
      <c r="I8" s="21"/>
      <c r="J8" s="21">
        <f>MAX((J5+J6),0)</f>
        <v>416.09483348703617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0.20730679091085538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573.57582995146618</v>
      </c>
      <c r="C12" s="23">
        <f ca="1">C8*C10</f>
        <v>0</v>
      </c>
      <c r="D12" s="23">
        <f>D8*D10</f>
        <v>348.20317785824403</v>
      </c>
      <c r="E12" s="23">
        <f>E8*E10</f>
        <v>7.9144022032704333</v>
      </c>
      <c r="F12" s="23">
        <f>F8*F10</f>
        <v>2548.8202219021136</v>
      </c>
      <c r="G12" s="23"/>
      <c r="H12" s="23"/>
      <c r="I12" s="23"/>
      <c r="J12" s="23">
        <f>J8*J10</f>
        <v>147.29757105441081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0.38588099244579604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326.61063102135836</v>
      </c>
      <c r="C26" s="249">
        <f>B26*'GWP N2O_CH4'!B5</f>
        <v>6858.8232514485253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69.871883747047193</v>
      </c>
      <c r="C27" s="249">
        <f>B27*'GWP N2O_CH4'!B5</f>
        <v>1467.3095586879911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4.1217810294499184</v>
      </c>
      <c r="C28" s="249">
        <f>B28*'GWP N2O_CH4'!B4</f>
        <v>1277.7521191294747</v>
      </c>
      <c r="D28" s="50"/>
    </row>
    <row r="29" spans="1:4">
      <c r="A29" s="41" t="s">
        <v>277</v>
      </c>
      <c r="B29" s="249">
        <f>B34*'ha_N2O bodem landbouw'!B4</f>
        <v>13.336881484564135</v>
      </c>
      <c r="C29" s="249">
        <f>B29*'GWP N2O_CH4'!B4</f>
        <v>4134.4332602148816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3.3300860408563928E-3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1.6432102349016711E-5</v>
      </c>
      <c r="C5" s="448" t="s">
        <v>211</v>
      </c>
      <c r="D5" s="433">
        <f>SUM(D6:D11)</f>
        <v>3.4492333032147603E-5</v>
      </c>
      <c r="E5" s="433">
        <f>SUM(E6:E11)</f>
        <v>1.0198799899025736E-3</v>
      </c>
      <c r="F5" s="446" t="s">
        <v>211</v>
      </c>
      <c r="G5" s="433">
        <f>SUM(G6:G11)</f>
        <v>0.20648289928883265</v>
      </c>
      <c r="H5" s="433">
        <f>SUM(H6:H11)</f>
        <v>5.0965621112834196E-2</v>
      </c>
      <c r="I5" s="448" t="s">
        <v>211</v>
      </c>
      <c r="J5" s="448" t="s">
        <v>211</v>
      </c>
      <c r="K5" s="448" t="s">
        <v>211</v>
      </c>
      <c r="L5" s="448" t="s">
        <v>211</v>
      </c>
      <c r="M5" s="433">
        <f>SUM(M6:M11)</f>
        <v>1.149666837532214E-2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6.2934548962606048E-6</v>
      </c>
      <c r="C6" s="949"/>
      <c r="D6" s="949">
        <f>vkm_2011_GW_PW*SUMIFS(TableVerdeelsleutelVkm[CNG],TableVerdeelsleutelVkm[Voertuigtype],"Lichte voertuigen")*SUMIFS(TableECFTransport[EnergieConsumptieFactor (PJ per km)],TableECFTransport[Index],CONCATENATE($A6,"_CNG_CNG"))</f>
        <v>8.9127630108806152E-6</v>
      </c>
      <c r="E6" s="949">
        <f>vkm_2011_GW_PW*SUMIFS(TableVerdeelsleutelVkm[LPG],TableVerdeelsleutelVkm[Voertuigtype],"Lichte voertuigen")*SUMIFS(TableECFTransport[EnergieConsumptieFactor (PJ per km)],TableECFTransport[Index],CONCATENATE($A6,"_LPG_LPG"))</f>
        <v>2.7992054458130428E-4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5.0309386656595137E-2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1.3518589883064893E-2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2.8482871877694425E-3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8.3373413318041951E-3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2.9704735163257039E-6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3.7622952586657837E-4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1.0138647452756105E-5</v>
      </c>
      <c r="C8" s="949"/>
      <c r="D8" s="436">
        <f>vkm_2011_NGW_PW*SUMIFS(TableVerdeelsleutelVkm[CNG],TableVerdeelsleutelVkm[Voertuigtype],"Lichte voertuigen")*SUMIFS(TableECFTransport[EnergieConsumptieFactor (PJ per km)],TableECFTransport[Index],CONCATENATE($A8,"_CNG_CNG"))</f>
        <v>2.5579570021266991E-5</v>
      </c>
      <c r="E8" s="436">
        <f>vkm_2011_NGW_PW*SUMIFS(TableVerdeelsleutelVkm[LPG],TableVerdeelsleutelVkm[Voertuigtype],"Lichte voertuigen")*SUMIFS(TableECFTransport[EnergieConsumptieFactor (PJ per km)],TableECFTransport[Index],CONCATENATE($A8,"_LPG_LPG"))</f>
        <v>7.3995944532126922E-4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0.12543030136617822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3.7436506623458023E-2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7.2610863308214917E-3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2.2405869934255106E-2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7.5541327949576863E-6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1.0110653308646274E-3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4.5644728747268637</v>
      </c>
      <c r="C14" s="21"/>
      <c r="D14" s="21">
        <f t="shared" ref="D14:M14" si="0">((D5)*10^9/3600)+D12</f>
        <v>9.5812036200410002</v>
      </c>
      <c r="E14" s="21">
        <f t="shared" si="0"/>
        <v>283.29999719515934</v>
      </c>
      <c r="F14" s="21"/>
      <c r="G14" s="21">
        <f t="shared" si="0"/>
        <v>57356.360913564626</v>
      </c>
      <c r="H14" s="21">
        <f t="shared" si="0"/>
        <v>14157.116975787276</v>
      </c>
      <c r="I14" s="21"/>
      <c r="J14" s="21"/>
      <c r="K14" s="21"/>
      <c r="L14" s="21"/>
      <c r="M14" s="21">
        <f t="shared" si="0"/>
        <v>3193.5189931450386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0.20730679091085538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0.94624622385927293</v>
      </c>
      <c r="C18" s="23"/>
      <c r="D18" s="23">
        <f t="shared" ref="D18:M18" si="1">D14*D16</f>
        <v>1.9354031312482822</v>
      </c>
      <c r="E18" s="23">
        <f t="shared" si="1"/>
        <v>64.309099363301172</v>
      </c>
      <c r="F18" s="23"/>
      <c r="G18" s="23">
        <f t="shared" si="1"/>
        <v>15314.148363921757</v>
      </c>
      <c r="H18" s="23">
        <f t="shared" si="1"/>
        <v>3525.1221269710318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5.5251844685957974E-3</v>
      </c>
      <c r="H50" s="323">
        <f t="shared" si="2"/>
        <v>0</v>
      </c>
      <c r="I50" s="323">
        <f t="shared" si="2"/>
        <v>0</v>
      </c>
      <c r="J50" s="323">
        <f t="shared" si="2"/>
        <v>0</v>
      </c>
      <c r="K50" s="323">
        <f t="shared" si="2"/>
        <v>0</v>
      </c>
      <c r="L50" s="323">
        <f t="shared" si="2"/>
        <v>0</v>
      </c>
      <c r="M50" s="323">
        <f t="shared" si="2"/>
        <v>2.4571846745764043E-4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5.5251844685957974E-3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2.4571846745764043E-4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1534.7734634988326</v>
      </c>
      <c r="H54" s="21">
        <f t="shared" si="3"/>
        <v>0</v>
      </c>
      <c r="I54" s="21">
        <f t="shared" si="3"/>
        <v>0</v>
      </c>
      <c r="J54" s="21">
        <f t="shared" si="3"/>
        <v>0</v>
      </c>
      <c r="K54" s="21">
        <f t="shared" si="3"/>
        <v>0</v>
      </c>
      <c r="L54" s="21">
        <f t="shared" si="3"/>
        <v>0</v>
      </c>
      <c r="M54" s="21">
        <f t="shared" si="3"/>
        <v>68.255129849344556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0.20730679091085538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409.78451475418831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3405.9505295177814</v>
      </c>
      <c r="C6" s="1142"/>
      <c r="D6" s="1145"/>
      <c r="E6" s="1145"/>
      <c r="F6" s="1148"/>
      <c r="G6" s="1151"/>
      <c r="H6" s="1139"/>
      <c r="I6" s="1145"/>
      <c r="J6" s="1145"/>
      <c r="K6" s="1145"/>
      <c r="L6" s="1175"/>
      <c r="M6" s="561"/>
      <c r="N6" s="1187"/>
      <c r="O6" s="1188"/>
      <c r="Q6" s="559"/>
      <c r="R6" s="1172"/>
      <c r="S6" s="1172"/>
    </row>
    <row r="7" spans="1:19" s="549" customFormat="1">
      <c r="A7" s="562" t="s">
        <v>252</v>
      </c>
      <c r="B7" s="563">
        <f>N57</f>
        <v>43.649999999999991</v>
      </c>
      <c r="C7" s="564">
        <f>B100</f>
        <v>0</v>
      </c>
      <c r="D7" s="565"/>
      <c r="E7" s="565">
        <f>E100</f>
        <v>0</v>
      </c>
      <c r="F7" s="566"/>
      <c r="G7" s="567"/>
      <c r="H7" s="565">
        <f>I100</f>
        <v>0</v>
      </c>
      <c r="I7" s="565">
        <f>G100+F100</f>
        <v>0</v>
      </c>
      <c r="J7" s="565">
        <f>H100+D100+C100</f>
        <v>51.35294117647058</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3449.6005295177815</v>
      </c>
      <c r="C9" s="580">
        <f t="shared" ref="C9:L9" si="0">SUM(C7:C8)</f>
        <v>0</v>
      </c>
      <c r="D9" s="580">
        <f t="shared" si="0"/>
        <v>0</v>
      </c>
      <c r="E9" s="580">
        <f t="shared" si="0"/>
        <v>0</v>
      </c>
      <c r="F9" s="580">
        <f t="shared" si="0"/>
        <v>0</v>
      </c>
      <c r="G9" s="580">
        <f t="shared" si="0"/>
        <v>0</v>
      </c>
      <c r="H9" s="580">
        <f t="shared" si="0"/>
        <v>0</v>
      </c>
      <c r="I9" s="580">
        <f t="shared" si="0"/>
        <v>0</v>
      </c>
      <c r="J9" s="580">
        <f t="shared" si="0"/>
        <v>51.35294117647058</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62.357142857142847</v>
      </c>
      <c r="C16" s="596">
        <f>B101</f>
        <v>0</v>
      </c>
      <c r="D16" s="597"/>
      <c r="E16" s="597">
        <f>E101</f>
        <v>0</v>
      </c>
      <c r="F16" s="598"/>
      <c r="G16" s="599"/>
      <c r="H16" s="596">
        <f>I101</f>
        <v>0</v>
      </c>
      <c r="I16" s="597">
        <f>G101+F101</f>
        <v>0</v>
      </c>
      <c r="J16" s="597">
        <f>H101+D101+C101</f>
        <v>73.361344537815114</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62.357142857142847</v>
      </c>
      <c r="C19" s="579">
        <f>SUM(C16:C18)</f>
        <v>0</v>
      </c>
      <c r="D19" s="579">
        <f t="shared" ref="D19:M19" si="1">SUM(D16:D18)</f>
        <v>0</v>
      </c>
      <c r="E19" s="579">
        <f t="shared" si="1"/>
        <v>0</v>
      </c>
      <c r="F19" s="579">
        <f t="shared" si="1"/>
        <v>0</v>
      </c>
      <c r="G19" s="579">
        <f t="shared" si="1"/>
        <v>0</v>
      </c>
      <c r="H19" s="579">
        <f t="shared" si="1"/>
        <v>0</v>
      </c>
      <c r="I19" s="579">
        <f t="shared" si="1"/>
        <v>0</v>
      </c>
      <c r="J19" s="579">
        <f t="shared" si="1"/>
        <v>73.361344537815114</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23052</v>
      </c>
      <c r="C27" s="839">
        <v>1785</v>
      </c>
      <c r="D27" s="658" t="s">
        <v>840</v>
      </c>
      <c r="E27" s="657" t="s">
        <v>841</v>
      </c>
      <c r="F27" s="657" t="s">
        <v>842</v>
      </c>
      <c r="G27" s="657" t="s">
        <v>843</v>
      </c>
      <c r="H27" s="657" t="s">
        <v>844</v>
      </c>
      <c r="I27" s="657" t="s">
        <v>845</v>
      </c>
      <c r="J27" s="838">
        <v>41256</v>
      </c>
      <c r="K27" s="838">
        <v>41256</v>
      </c>
      <c r="L27" s="657" t="s">
        <v>846</v>
      </c>
      <c r="M27" s="657">
        <v>9.6999999999999993</v>
      </c>
      <c r="N27" s="657">
        <v>43.649999999999991</v>
      </c>
      <c r="O27" s="657">
        <v>62.357142857142847</v>
      </c>
      <c r="P27" s="657">
        <v>0</v>
      </c>
      <c r="Q27" s="657">
        <v>124.71428571428569</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9.6999999999999993</v>
      </c>
      <c r="N57" s="615">
        <f>SUM(N27:N56)</f>
        <v>43.649999999999991</v>
      </c>
      <c r="O57" s="615">
        <f t="shared" ref="O57:W57" si="2">SUM(O27:O56)</f>
        <v>62.357142857142847</v>
      </c>
      <c r="P57" s="615">
        <f t="shared" si="2"/>
        <v>0</v>
      </c>
      <c r="Q57" s="615">
        <f t="shared" si="2"/>
        <v>124.71428571428569</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9.6999999999999993</v>
      </c>
      <c r="N60" s="620">
        <f t="shared" ref="N60:W60" si="4">SUMIF($Z$27:$Z$56,"landbouw",N27:N56)</f>
        <v>43.649999999999991</v>
      </c>
      <c r="O60" s="620">
        <f t="shared" si="4"/>
        <v>62.357142857142847</v>
      </c>
      <c r="P60" s="620">
        <f t="shared" si="4"/>
        <v>0</v>
      </c>
      <c r="Q60" s="620">
        <f t="shared" si="4"/>
        <v>124.71428571428569</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51.35294117647058</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73.361344537815114</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16203.455319796689</v>
      </c>
      <c r="D10" s="704">
        <f ca="1">tertiair!C16</f>
        <v>0</v>
      </c>
      <c r="E10" s="704">
        <f ca="1">tertiair!D16</f>
        <v>20328.4306220094</v>
      </c>
      <c r="F10" s="704">
        <f>tertiair!E16</f>
        <v>208.55660725931241</v>
      </c>
      <c r="G10" s="704">
        <f ca="1">tertiair!F16</f>
        <v>3052.9668887665262</v>
      </c>
      <c r="H10" s="704">
        <f>tertiair!G16</f>
        <v>0</v>
      </c>
      <c r="I10" s="704">
        <f>tertiair!H16</f>
        <v>0</v>
      </c>
      <c r="J10" s="704">
        <f>tertiair!I16</f>
        <v>0</v>
      </c>
      <c r="K10" s="704">
        <f>tertiair!J16</f>
        <v>0</v>
      </c>
      <c r="L10" s="704">
        <f>tertiair!K16</f>
        <v>0</v>
      </c>
      <c r="M10" s="704">
        <f ca="1">tertiair!L16</f>
        <v>0</v>
      </c>
      <c r="N10" s="704">
        <f>tertiair!M16</f>
        <v>0</v>
      </c>
      <c r="O10" s="704">
        <f ca="1">tertiair!N16</f>
        <v>1457.9908446284437</v>
      </c>
      <c r="P10" s="704">
        <f>tertiair!O16</f>
        <v>3.1266666666666669</v>
      </c>
      <c r="Q10" s="705">
        <f>tertiair!P16</f>
        <v>19.066666666666666</v>
      </c>
      <c r="R10" s="707">
        <f ca="1">SUM(C10:Q10)</f>
        <v>41273.593615793703</v>
      </c>
      <c r="S10" s="67"/>
    </row>
    <row r="11" spans="1:19" s="459" customFormat="1">
      <c r="A11" s="858" t="s">
        <v>225</v>
      </c>
      <c r="B11" s="863"/>
      <c r="C11" s="704">
        <f>huishoudens!B8</f>
        <v>32836.459673165082</v>
      </c>
      <c r="D11" s="704">
        <f>huishoudens!C8</f>
        <v>0</v>
      </c>
      <c r="E11" s="704">
        <f>huishoudens!D8</f>
        <v>51197.054765534667</v>
      </c>
      <c r="F11" s="704">
        <f>huishoudens!E8</f>
        <v>2105.407202982547</v>
      </c>
      <c r="G11" s="704">
        <f>huishoudens!F8</f>
        <v>37353.778120038602</v>
      </c>
      <c r="H11" s="704">
        <f>huishoudens!G8</f>
        <v>0</v>
      </c>
      <c r="I11" s="704">
        <f>huishoudens!H8</f>
        <v>0</v>
      </c>
      <c r="J11" s="704">
        <f>huishoudens!I8</f>
        <v>0</v>
      </c>
      <c r="K11" s="704">
        <f>huishoudens!J8</f>
        <v>0</v>
      </c>
      <c r="L11" s="704">
        <f>huishoudens!K8</f>
        <v>0</v>
      </c>
      <c r="M11" s="704">
        <f>huishoudens!L8</f>
        <v>0</v>
      </c>
      <c r="N11" s="704">
        <f>huishoudens!M8</f>
        <v>0</v>
      </c>
      <c r="O11" s="704">
        <f>huishoudens!N8</f>
        <v>7507.9933925404875</v>
      </c>
      <c r="P11" s="704">
        <f>huishoudens!O8</f>
        <v>126.63</v>
      </c>
      <c r="Q11" s="705">
        <f>huishoudens!P8</f>
        <v>572</v>
      </c>
      <c r="R11" s="707">
        <f>SUM(C11:Q11)</f>
        <v>131699.32315426139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3863.1611737036892</v>
      </c>
      <c r="D13" s="704">
        <f>industrie!C18</f>
        <v>0</v>
      </c>
      <c r="E13" s="704">
        <f>industrie!D18</f>
        <v>2490.188148584738</v>
      </c>
      <c r="F13" s="704">
        <f>industrie!E18</f>
        <v>361.67255731910757</v>
      </c>
      <c r="G13" s="704">
        <f>industrie!F18</f>
        <v>1900.0557136807336</v>
      </c>
      <c r="H13" s="704">
        <f>industrie!G18</f>
        <v>0</v>
      </c>
      <c r="I13" s="704">
        <f>industrie!H18</f>
        <v>0</v>
      </c>
      <c r="J13" s="704">
        <f>industrie!I18</f>
        <v>0</v>
      </c>
      <c r="K13" s="704">
        <f>industrie!J18</f>
        <v>5.2737183940548062</v>
      </c>
      <c r="L13" s="704">
        <f>industrie!K18</f>
        <v>0</v>
      </c>
      <c r="M13" s="704">
        <f>industrie!L18</f>
        <v>0</v>
      </c>
      <c r="N13" s="704">
        <f>industrie!M18</f>
        <v>0</v>
      </c>
      <c r="O13" s="704">
        <f>industrie!N18</f>
        <v>1799.1222129541893</v>
      </c>
      <c r="P13" s="704">
        <f>industrie!O18</f>
        <v>0</v>
      </c>
      <c r="Q13" s="705">
        <f>industrie!P18</f>
        <v>0</v>
      </c>
      <c r="R13" s="707">
        <f>SUM(C13:Q13)</f>
        <v>10419.473524636513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52903.076166665458</v>
      </c>
      <c r="D15" s="709">
        <f t="shared" ref="D15:Q15" ca="1" si="0">SUM(D9:D14)</f>
        <v>0</v>
      </c>
      <c r="E15" s="709">
        <f t="shared" ca="1" si="0"/>
        <v>74015.673536128801</v>
      </c>
      <c r="F15" s="709">
        <f t="shared" si="0"/>
        <v>2675.6363675609668</v>
      </c>
      <c r="G15" s="709">
        <f t="shared" ca="1" si="0"/>
        <v>42306.800722485859</v>
      </c>
      <c r="H15" s="709">
        <f t="shared" si="0"/>
        <v>0</v>
      </c>
      <c r="I15" s="709">
        <f t="shared" si="0"/>
        <v>0</v>
      </c>
      <c r="J15" s="709">
        <f t="shared" si="0"/>
        <v>0</v>
      </c>
      <c r="K15" s="709">
        <f t="shared" si="0"/>
        <v>5.2737183940548062</v>
      </c>
      <c r="L15" s="709">
        <f t="shared" si="0"/>
        <v>0</v>
      </c>
      <c r="M15" s="709">
        <f t="shared" ca="1" si="0"/>
        <v>0</v>
      </c>
      <c r="N15" s="709">
        <f t="shared" si="0"/>
        <v>0</v>
      </c>
      <c r="O15" s="709">
        <f t="shared" ca="1" si="0"/>
        <v>10765.106450123121</v>
      </c>
      <c r="P15" s="709">
        <f t="shared" si="0"/>
        <v>129.75666666666666</v>
      </c>
      <c r="Q15" s="710">
        <f t="shared" si="0"/>
        <v>591.06666666666672</v>
      </c>
      <c r="R15" s="711">
        <f ca="1">SUM(R9:R14)</f>
        <v>183392.39029469161</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1534.7734634988326</v>
      </c>
      <c r="I18" s="704">
        <f>transport!H54</f>
        <v>0</v>
      </c>
      <c r="J18" s="704">
        <f>transport!I54</f>
        <v>0</v>
      </c>
      <c r="K18" s="704">
        <f>transport!J54</f>
        <v>0</v>
      </c>
      <c r="L18" s="704">
        <f>transport!K54</f>
        <v>0</v>
      </c>
      <c r="M18" s="704">
        <f>transport!L54</f>
        <v>0</v>
      </c>
      <c r="N18" s="704">
        <f>transport!M54</f>
        <v>68.255129849344556</v>
      </c>
      <c r="O18" s="704">
        <f>transport!N54</f>
        <v>0</v>
      </c>
      <c r="P18" s="704">
        <f>transport!O54</f>
        <v>0</v>
      </c>
      <c r="Q18" s="705">
        <f>transport!P54</f>
        <v>0</v>
      </c>
      <c r="R18" s="707">
        <f>SUM(C18:Q18)</f>
        <v>1603.0285933481771</v>
      </c>
      <c r="S18" s="67"/>
    </row>
    <row r="19" spans="1:19" s="459" customFormat="1" ht="15" thickBot="1">
      <c r="A19" s="858" t="s">
        <v>307</v>
      </c>
      <c r="B19" s="863"/>
      <c r="C19" s="713">
        <f>transport!B14</f>
        <v>4.5644728747268637</v>
      </c>
      <c r="D19" s="713">
        <f>transport!C14</f>
        <v>0</v>
      </c>
      <c r="E19" s="713">
        <f>transport!D14</f>
        <v>9.5812036200410002</v>
      </c>
      <c r="F19" s="713">
        <f>transport!E14</f>
        <v>283.29999719515934</v>
      </c>
      <c r="G19" s="713">
        <f>transport!F14</f>
        <v>0</v>
      </c>
      <c r="H19" s="713">
        <f>transport!G14</f>
        <v>57356.360913564626</v>
      </c>
      <c r="I19" s="713">
        <f>transport!H14</f>
        <v>14157.116975787276</v>
      </c>
      <c r="J19" s="713">
        <f>transport!I14</f>
        <v>0</v>
      </c>
      <c r="K19" s="713">
        <f>transport!J14</f>
        <v>0</v>
      </c>
      <c r="L19" s="713">
        <f>transport!K14</f>
        <v>0</v>
      </c>
      <c r="M19" s="713">
        <f>transport!L14</f>
        <v>0</v>
      </c>
      <c r="N19" s="713">
        <f>transport!M14</f>
        <v>3193.5189931450386</v>
      </c>
      <c r="O19" s="713">
        <f>transport!N14</f>
        <v>0</v>
      </c>
      <c r="P19" s="713">
        <f>transport!O14</f>
        <v>0</v>
      </c>
      <c r="Q19" s="714">
        <f>transport!P14</f>
        <v>0</v>
      </c>
      <c r="R19" s="715">
        <f>SUM(C19:Q19)</f>
        <v>75004.44255618687</v>
      </c>
      <c r="S19" s="67"/>
    </row>
    <row r="20" spans="1:19" s="459" customFormat="1" ht="15.75" thickBot="1">
      <c r="A20" s="716" t="s">
        <v>230</v>
      </c>
      <c r="B20" s="866"/>
      <c r="C20" s="861">
        <f>SUM(C17:C19)</f>
        <v>4.5644728747268637</v>
      </c>
      <c r="D20" s="717">
        <f t="shared" ref="D20:R20" si="1">SUM(D17:D19)</f>
        <v>0</v>
      </c>
      <c r="E20" s="717">
        <f t="shared" si="1"/>
        <v>9.5812036200410002</v>
      </c>
      <c r="F20" s="717">
        <f t="shared" si="1"/>
        <v>283.29999719515934</v>
      </c>
      <c r="G20" s="717">
        <f t="shared" si="1"/>
        <v>0</v>
      </c>
      <c r="H20" s="717">
        <f t="shared" si="1"/>
        <v>58891.134377063456</v>
      </c>
      <c r="I20" s="717">
        <f t="shared" si="1"/>
        <v>14157.116975787276</v>
      </c>
      <c r="J20" s="717">
        <f t="shared" si="1"/>
        <v>0</v>
      </c>
      <c r="K20" s="717">
        <f t="shared" si="1"/>
        <v>0</v>
      </c>
      <c r="L20" s="717">
        <f t="shared" si="1"/>
        <v>0</v>
      </c>
      <c r="M20" s="717">
        <f t="shared" si="1"/>
        <v>0</v>
      </c>
      <c r="N20" s="717">
        <f t="shared" si="1"/>
        <v>3261.7741229943831</v>
      </c>
      <c r="O20" s="717">
        <f t="shared" si="1"/>
        <v>0</v>
      </c>
      <c r="P20" s="717">
        <f t="shared" si="1"/>
        <v>0</v>
      </c>
      <c r="Q20" s="718">
        <f t="shared" si="1"/>
        <v>0</v>
      </c>
      <c r="R20" s="719">
        <f t="shared" si="1"/>
        <v>76607.471149535049</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2766.7971098839266</v>
      </c>
      <c r="D22" s="713">
        <f>+landbouw!C8</f>
        <v>62.357142857142847</v>
      </c>
      <c r="E22" s="713">
        <f>+landbouw!D8</f>
        <v>1723.7781082091287</v>
      </c>
      <c r="F22" s="713">
        <f>+landbouw!E8</f>
        <v>34.865207943922613</v>
      </c>
      <c r="G22" s="713">
        <f>+landbouw!F8</f>
        <v>9546.1431531914368</v>
      </c>
      <c r="H22" s="713">
        <f>+landbouw!G8</f>
        <v>0</v>
      </c>
      <c r="I22" s="713">
        <f>+landbouw!H8</f>
        <v>0</v>
      </c>
      <c r="J22" s="713">
        <f>+landbouw!I8</f>
        <v>0</v>
      </c>
      <c r="K22" s="713">
        <f>+landbouw!J8</f>
        <v>416.09483348703617</v>
      </c>
      <c r="L22" s="713">
        <f>+landbouw!K8</f>
        <v>0</v>
      </c>
      <c r="M22" s="713">
        <f>+landbouw!L8</f>
        <v>0</v>
      </c>
      <c r="N22" s="713">
        <f>+landbouw!M8</f>
        <v>0</v>
      </c>
      <c r="O22" s="713">
        <f>+landbouw!N8</f>
        <v>0</v>
      </c>
      <c r="P22" s="713">
        <f>+landbouw!O8</f>
        <v>0</v>
      </c>
      <c r="Q22" s="714">
        <f>+landbouw!P8</f>
        <v>0</v>
      </c>
      <c r="R22" s="715">
        <f>SUM(C22:Q22)</f>
        <v>14550.035555572593</v>
      </c>
      <c r="S22" s="67"/>
    </row>
    <row r="23" spans="1:19" s="459" customFormat="1" ht="17.25" thickTop="1" thickBot="1">
      <c r="A23" s="720" t="s">
        <v>116</v>
      </c>
      <c r="B23" s="852"/>
      <c r="C23" s="721">
        <f ca="1">C20+C15+C22</f>
        <v>55674.437749424113</v>
      </c>
      <c r="D23" s="721">
        <f t="shared" ref="D23:Q23" ca="1" si="2">D20+D15+D22</f>
        <v>62.357142857142847</v>
      </c>
      <c r="E23" s="721">
        <f t="shared" ca="1" si="2"/>
        <v>75749.032847957962</v>
      </c>
      <c r="F23" s="721">
        <f t="shared" si="2"/>
        <v>2993.8015727000488</v>
      </c>
      <c r="G23" s="721">
        <f t="shared" ca="1" si="2"/>
        <v>51852.943875677294</v>
      </c>
      <c r="H23" s="721">
        <f t="shared" si="2"/>
        <v>58891.134377063456</v>
      </c>
      <c r="I23" s="721">
        <f t="shared" si="2"/>
        <v>14157.116975787276</v>
      </c>
      <c r="J23" s="721">
        <f t="shared" si="2"/>
        <v>0</v>
      </c>
      <c r="K23" s="721">
        <f t="shared" si="2"/>
        <v>421.36855188109098</v>
      </c>
      <c r="L23" s="721">
        <f t="shared" si="2"/>
        <v>0</v>
      </c>
      <c r="M23" s="721">
        <f t="shared" ca="1" si="2"/>
        <v>0</v>
      </c>
      <c r="N23" s="721">
        <f t="shared" si="2"/>
        <v>3261.7741229943831</v>
      </c>
      <c r="O23" s="721">
        <f t="shared" ca="1" si="2"/>
        <v>10765.106450123121</v>
      </c>
      <c r="P23" s="721">
        <f t="shared" si="2"/>
        <v>129.75666666666666</v>
      </c>
      <c r="Q23" s="722">
        <f t="shared" si="2"/>
        <v>591.06666666666672</v>
      </c>
      <c r="R23" s="723">
        <f ca="1">R20+R15+R22</f>
        <v>274549.89699979924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3359.0863240144795</v>
      </c>
      <c r="D36" s="704">
        <f ca="1">tertiair!C20</f>
        <v>0</v>
      </c>
      <c r="E36" s="704">
        <f ca="1">tertiair!D20</f>
        <v>4106.3429856458988</v>
      </c>
      <c r="F36" s="704">
        <f>tertiair!E20</f>
        <v>47.342349847863922</v>
      </c>
      <c r="G36" s="704">
        <f ca="1">tertiair!F20</f>
        <v>815.14215930066257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8327.9138188089055</v>
      </c>
    </row>
    <row r="37" spans="1:18">
      <c r="A37" s="873" t="s">
        <v>225</v>
      </c>
      <c r="B37" s="880"/>
      <c r="C37" s="704">
        <f ca="1">huishoudens!B12</f>
        <v>6807.2210797175685</v>
      </c>
      <c r="D37" s="704">
        <f ca="1">huishoudens!C12</f>
        <v>0</v>
      </c>
      <c r="E37" s="704">
        <f>huishoudens!D12</f>
        <v>10341.805062638003</v>
      </c>
      <c r="F37" s="704">
        <f>huishoudens!E12</f>
        <v>477.92743507703818</v>
      </c>
      <c r="G37" s="704">
        <f>huishoudens!F12</f>
        <v>9973.4587580503066</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27600.412335482917</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800.8595456919254</v>
      </c>
      <c r="D39" s="704">
        <f ca="1">industrie!C22</f>
        <v>0</v>
      </c>
      <c r="E39" s="704">
        <f>industrie!D22</f>
        <v>503.01800601411708</v>
      </c>
      <c r="F39" s="704">
        <f>industrie!E22</f>
        <v>82.099670511437424</v>
      </c>
      <c r="G39" s="704">
        <f>industrie!F22</f>
        <v>507.31487555275589</v>
      </c>
      <c r="H39" s="704">
        <f>industrie!G22</f>
        <v>0</v>
      </c>
      <c r="I39" s="704">
        <f>industrie!H22</f>
        <v>0</v>
      </c>
      <c r="J39" s="704">
        <f>industrie!I22</f>
        <v>0</v>
      </c>
      <c r="K39" s="704">
        <f>industrie!J22</f>
        <v>1.8668963114954014</v>
      </c>
      <c r="L39" s="704">
        <f>industrie!K22</f>
        <v>0</v>
      </c>
      <c r="M39" s="704">
        <f>industrie!L22</f>
        <v>0</v>
      </c>
      <c r="N39" s="704">
        <f>industrie!M22</f>
        <v>0</v>
      </c>
      <c r="O39" s="704">
        <f>industrie!N22</f>
        <v>0</v>
      </c>
      <c r="P39" s="704">
        <f>industrie!O22</f>
        <v>0</v>
      </c>
      <c r="Q39" s="814">
        <f>industrie!P22</f>
        <v>0</v>
      </c>
      <c r="R39" s="906">
        <f ca="1">SUM(C39:Q39)</f>
        <v>1895.1589940817312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10967.166949423972</v>
      </c>
      <c r="D41" s="749">
        <f t="shared" ref="D41:R41" ca="1" si="4">SUM(D35:D40)</f>
        <v>0</v>
      </c>
      <c r="E41" s="749">
        <f t="shared" ca="1" si="4"/>
        <v>14951.166054298019</v>
      </c>
      <c r="F41" s="749">
        <f t="shared" si="4"/>
        <v>607.36945543633954</v>
      </c>
      <c r="G41" s="749">
        <f t="shared" ca="1" si="4"/>
        <v>11295.915792903726</v>
      </c>
      <c r="H41" s="749">
        <f t="shared" si="4"/>
        <v>0</v>
      </c>
      <c r="I41" s="749">
        <f t="shared" si="4"/>
        <v>0</v>
      </c>
      <c r="J41" s="749">
        <f t="shared" si="4"/>
        <v>0</v>
      </c>
      <c r="K41" s="749">
        <f t="shared" si="4"/>
        <v>1.8668963114954014</v>
      </c>
      <c r="L41" s="749">
        <f t="shared" si="4"/>
        <v>0</v>
      </c>
      <c r="M41" s="749">
        <f t="shared" ca="1" si="4"/>
        <v>0</v>
      </c>
      <c r="N41" s="749">
        <f t="shared" si="4"/>
        <v>0</v>
      </c>
      <c r="O41" s="749">
        <f t="shared" ca="1" si="4"/>
        <v>0</v>
      </c>
      <c r="P41" s="749">
        <f t="shared" si="4"/>
        <v>0</v>
      </c>
      <c r="Q41" s="750">
        <f t="shared" si="4"/>
        <v>0</v>
      </c>
      <c r="R41" s="751">
        <f t="shared" ca="1" si="4"/>
        <v>37823.485148373547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409.78451475418831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409.78451475418831</v>
      </c>
    </row>
    <row r="45" spans="1:18" ht="15" thickBot="1">
      <c r="A45" s="876" t="s">
        <v>307</v>
      </c>
      <c r="B45" s="886"/>
      <c r="C45" s="713">
        <f ca="1">transport!B18</f>
        <v>0.94624622385927293</v>
      </c>
      <c r="D45" s="713">
        <f>transport!C18</f>
        <v>0</v>
      </c>
      <c r="E45" s="713">
        <f>transport!D18</f>
        <v>1.9354031312482822</v>
      </c>
      <c r="F45" s="713">
        <f>transport!E18</f>
        <v>64.309099363301172</v>
      </c>
      <c r="G45" s="713">
        <f>transport!F18</f>
        <v>0</v>
      </c>
      <c r="H45" s="713">
        <f>transport!G18</f>
        <v>15314.148363921757</v>
      </c>
      <c r="I45" s="713">
        <f>transport!H18</f>
        <v>3525.1221269710318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18906.461239611199</v>
      </c>
    </row>
    <row r="46" spans="1:18" ht="15.75" thickBot="1">
      <c r="A46" s="874" t="s">
        <v>230</v>
      </c>
      <c r="B46" s="887"/>
      <c r="C46" s="749">
        <f t="shared" ref="C46:R46" ca="1" si="5">SUM(C43:C45)</f>
        <v>0.94624622385927293</v>
      </c>
      <c r="D46" s="749">
        <f t="shared" ca="1" si="5"/>
        <v>0</v>
      </c>
      <c r="E46" s="749">
        <f t="shared" si="5"/>
        <v>1.9354031312482822</v>
      </c>
      <c r="F46" s="749">
        <f t="shared" si="5"/>
        <v>64.309099363301172</v>
      </c>
      <c r="G46" s="749">
        <f t="shared" si="5"/>
        <v>0</v>
      </c>
      <c r="H46" s="749">
        <f t="shared" si="5"/>
        <v>15723.932878675945</v>
      </c>
      <c r="I46" s="749">
        <f t="shared" si="5"/>
        <v>3525.1221269710318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19316.245754365387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573.57582995146618</v>
      </c>
      <c r="D48" s="704">
        <f ca="1">+landbouw!C12</f>
        <v>0</v>
      </c>
      <c r="E48" s="704">
        <f>+landbouw!D12</f>
        <v>348.20317785824403</v>
      </c>
      <c r="F48" s="704">
        <f>+landbouw!E12</f>
        <v>7.9144022032704333</v>
      </c>
      <c r="G48" s="704">
        <f>+landbouw!F12</f>
        <v>2548.8202219021136</v>
      </c>
      <c r="H48" s="704">
        <f>+landbouw!G12</f>
        <v>0</v>
      </c>
      <c r="I48" s="704">
        <f>+landbouw!H12</f>
        <v>0</v>
      </c>
      <c r="J48" s="704">
        <f>+landbouw!I12</f>
        <v>0</v>
      </c>
      <c r="K48" s="704">
        <f>+landbouw!J12</f>
        <v>147.29757105441081</v>
      </c>
      <c r="L48" s="704">
        <f>+landbouw!K12</f>
        <v>0</v>
      </c>
      <c r="M48" s="704">
        <f>+landbouw!L12</f>
        <v>0</v>
      </c>
      <c r="N48" s="704">
        <f>+landbouw!M12</f>
        <v>0</v>
      </c>
      <c r="O48" s="704">
        <f>+landbouw!N12</f>
        <v>0</v>
      </c>
      <c r="P48" s="704">
        <f>+landbouw!O12</f>
        <v>0</v>
      </c>
      <c r="Q48" s="705">
        <f>+landbouw!P12</f>
        <v>0</v>
      </c>
      <c r="R48" s="747">
        <f ca="1">SUM(C48:Q48)</f>
        <v>3625.8112029695048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11541.689025599297</v>
      </c>
      <c r="D53" s="759">
        <f t="shared" ref="D53:Q53" ca="1" si="6">D41+D46+D48</f>
        <v>0</v>
      </c>
      <c r="E53" s="759">
        <f t="shared" ca="1" si="6"/>
        <v>15301.304635287512</v>
      </c>
      <c r="F53" s="759">
        <f t="shared" si="6"/>
        <v>679.59295700291113</v>
      </c>
      <c r="G53" s="759">
        <f t="shared" ca="1" si="6"/>
        <v>13844.73601480584</v>
      </c>
      <c r="H53" s="759">
        <f t="shared" si="6"/>
        <v>15723.932878675945</v>
      </c>
      <c r="I53" s="759">
        <f t="shared" si="6"/>
        <v>3525.1221269710318</v>
      </c>
      <c r="J53" s="759">
        <f t="shared" si="6"/>
        <v>0</v>
      </c>
      <c r="K53" s="759">
        <f t="shared" si="6"/>
        <v>149.16446736590621</v>
      </c>
      <c r="L53" s="759">
        <f t="shared" si="6"/>
        <v>0</v>
      </c>
      <c r="M53" s="759">
        <f t="shared" ca="1" si="6"/>
        <v>0</v>
      </c>
      <c r="N53" s="759">
        <f t="shared" si="6"/>
        <v>0</v>
      </c>
      <c r="O53" s="759">
        <f t="shared" ca="1" si="6"/>
        <v>0</v>
      </c>
      <c r="P53" s="759">
        <f>P41+P46+P48</f>
        <v>0</v>
      </c>
      <c r="Q53" s="760">
        <f t="shared" si="6"/>
        <v>0</v>
      </c>
      <c r="R53" s="761">
        <f ca="1">R41+R46+R48</f>
        <v>60765.542105708439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0.20730679091085535</v>
      </c>
      <c r="D55" s="824">
        <f t="shared" ca="1" si="7"/>
        <v>0</v>
      </c>
      <c r="E55" s="824">
        <f t="shared" ca="1" si="7"/>
        <v>0.20200000000000004</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3405.9505295177814</v>
      </c>
      <c r="C66" s="781">
        <f>'lokale energieproductie'!B6</f>
        <v>3405.9505295177814</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43.649999999999991</v>
      </c>
      <c r="C67" s="780">
        <f>B67*IFERROR(SUM(J67:L67)/SUM(D67:M67),0)</f>
        <v>43.649999999999991</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51.35294117647058</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3449.6005295177815</v>
      </c>
      <c r="C69" s="789">
        <f>SUM(C64:C68)</f>
        <v>3449.6005295177815</v>
      </c>
      <c r="D69" s="790">
        <f t="shared" ref="D69:M69" si="8">SUM(D67:D68)</f>
        <v>0</v>
      </c>
      <c r="E69" s="790">
        <f t="shared" si="8"/>
        <v>0</v>
      </c>
      <c r="F69" s="790">
        <f t="shared" si="8"/>
        <v>0</v>
      </c>
      <c r="G69" s="790">
        <f t="shared" si="8"/>
        <v>0</v>
      </c>
      <c r="H69" s="790">
        <f t="shared" si="8"/>
        <v>0</v>
      </c>
      <c r="I69" s="790">
        <f t="shared" si="8"/>
        <v>0</v>
      </c>
      <c r="J69" s="790">
        <f t="shared" si="8"/>
        <v>0</v>
      </c>
      <c r="K69" s="790">
        <f t="shared" si="8"/>
        <v>51.35294117647058</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62.357142857142847</v>
      </c>
      <c r="C78" s="803">
        <f>B78*IFERROR(SUM(I78:L78)/SUM(D78:M78),0)</f>
        <v>62.357142857142847</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73.361344537815114</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62.357142857142847</v>
      </c>
      <c r="C81" s="789">
        <f>SUM(C78:C80)</f>
        <v>62.357142857142847</v>
      </c>
      <c r="D81" s="789">
        <f t="shared" ref="D81:P81" si="9">SUM(D78:D80)</f>
        <v>0</v>
      </c>
      <c r="E81" s="789">
        <f t="shared" si="9"/>
        <v>0</v>
      </c>
      <c r="F81" s="789">
        <f t="shared" si="9"/>
        <v>0</v>
      </c>
      <c r="G81" s="789">
        <f t="shared" si="9"/>
        <v>0</v>
      </c>
      <c r="H81" s="789">
        <f t="shared" si="9"/>
        <v>0</v>
      </c>
      <c r="I81" s="789">
        <f t="shared" si="9"/>
        <v>0</v>
      </c>
      <c r="J81" s="789">
        <f t="shared" si="9"/>
        <v>0</v>
      </c>
      <c r="K81" s="789">
        <f t="shared" si="9"/>
        <v>73.361344537815114</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32836.459673165082</v>
      </c>
      <c r="C4" s="463">
        <f>huishoudens!C8</f>
        <v>0</v>
      </c>
      <c r="D4" s="463">
        <f>huishoudens!D8</f>
        <v>51197.054765534667</v>
      </c>
      <c r="E4" s="463">
        <f>huishoudens!E8</f>
        <v>2105.407202982547</v>
      </c>
      <c r="F4" s="463">
        <f>huishoudens!F8</f>
        <v>37353.778120038602</v>
      </c>
      <c r="G4" s="463">
        <f>huishoudens!G8</f>
        <v>0</v>
      </c>
      <c r="H4" s="463">
        <f>huishoudens!H8</f>
        <v>0</v>
      </c>
      <c r="I4" s="463">
        <f>huishoudens!I8</f>
        <v>0</v>
      </c>
      <c r="J4" s="463">
        <f>huishoudens!J8</f>
        <v>0</v>
      </c>
      <c r="K4" s="463">
        <f>huishoudens!K8</f>
        <v>0</v>
      </c>
      <c r="L4" s="463">
        <f>huishoudens!L8</f>
        <v>0</v>
      </c>
      <c r="M4" s="463">
        <f>huishoudens!M8</f>
        <v>0</v>
      </c>
      <c r="N4" s="463">
        <f>huishoudens!N8</f>
        <v>7507.9933925404875</v>
      </c>
      <c r="O4" s="463">
        <f>huishoudens!O8</f>
        <v>126.63</v>
      </c>
      <c r="P4" s="464">
        <f>huishoudens!P8</f>
        <v>572</v>
      </c>
      <c r="Q4" s="465">
        <f>SUM(B4:P4)</f>
        <v>131699.32315426139</v>
      </c>
    </row>
    <row r="5" spans="1:17">
      <c r="A5" s="462" t="s">
        <v>156</v>
      </c>
      <c r="B5" s="463">
        <f ca="1">tertiair!B16</f>
        <v>15349.446319796689</v>
      </c>
      <c r="C5" s="463">
        <f ca="1">tertiair!C16</f>
        <v>0</v>
      </c>
      <c r="D5" s="463">
        <f ca="1">tertiair!D16</f>
        <v>20328.4306220094</v>
      </c>
      <c r="E5" s="463">
        <f>tertiair!E16</f>
        <v>208.55660725931241</v>
      </c>
      <c r="F5" s="463">
        <f ca="1">tertiair!F16</f>
        <v>3052.9668887665262</v>
      </c>
      <c r="G5" s="463">
        <f>tertiair!G16</f>
        <v>0</v>
      </c>
      <c r="H5" s="463">
        <f>tertiair!H16</f>
        <v>0</v>
      </c>
      <c r="I5" s="463">
        <f>tertiair!I16</f>
        <v>0</v>
      </c>
      <c r="J5" s="463">
        <f>tertiair!J16</f>
        <v>0</v>
      </c>
      <c r="K5" s="463">
        <f>tertiair!K16</f>
        <v>0</v>
      </c>
      <c r="L5" s="463">
        <f ca="1">tertiair!L16</f>
        <v>0</v>
      </c>
      <c r="M5" s="463">
        <f>tertiair!M16</f>
        <v>0</v>
      </c>
      <c r="N5" s="463">
        <f ca="1">tertiair!N16</f>
        <v>1457.9908446284437</v>
      </c>
      <c r="O5" s="463">
        <f>tertiair!O16</f>
        <v>3.1266666666666669</v>
      </c>
      <c r="P5" s="464">
        <f>tertiair!P16</f>
        <v>19.066666666666666</v>
      </c>
      <c r="Q5" s="462">
        <f t="shared" ref="Q5:Q13" ca="1" si="0">SUM(B5:P5)</f>
        <v>40419.584615793705</v>
      </c>
    </row>
    <row r="6" spans="1:17">
      <c r="A6" s="462" t="s">
        <v>194</v>
      </c>
      <c r="B6" s="463">
        <f>'openbare verlichting'!B8</f>
        <v>854.00900000000001</v>
      </c>
      <c r="C6" s="463"/>
      <c r="D6" s="463"/>
      <c r="E6" s="463"/>
      <c r="F6" s="463"/>
      <c r="G6" s="463"/>
      <c r="H6" s="463"/>
      <c r="I6" s="463"/>
      <c r="J6" s="463"/>
      <c r="K6" s="463"/>
      <c r="L6" s="463"/>
      <c r="M6" s="463"/>
      <c r="N6" s="463"/>
      <c r="O6" s="463"/>
      <c r="P6" s="464"/>
      <c r="Q6" s="462">
        <f t="shared" si="0"/>
        <v>854.00900000000001</v>
      </c>
    </row>
    <row r="7" spans="1:17">
      <c r="A7" s="462" t="s">
        <v>112</v>
      </c>
      <c r="B7" s="463">
        <f>landbouw!B8</f>
        <v>2766.7971098839266</v>
      </c>
      <c r="C7" s="463">
        <f>landbouw!C8</f>
        <v>62.357142857142847</v>
      </c>
      <c r="D7" s="463">
        <f>landbouw!D8</f>
        <v>1723.7781082091287</v>
      </c>
      <c r="E7" s="463">
        <f>landbouw!E8</f>
        <v>34.865207943922613</v>
      </c>
      <c r="F7" s="463">
        <f>landbouw!F8</f>
        <v>9546.1431531914368</v>
      </c>
      <c r="G7" s="463">
        <f>landbouw!G8</f>
        <v>0</v>
      </c>
      <c r="H7" s="463">
        <f>landbouw!H8</f>
        <v>0</v>
      </c>
      <c r="I7" s="463">
        <f>landbouw!I8</f>
        <v>0</v>
      </c>
      <c r="J7" s="463">
        <f>landbouw!J8</f>
        <v>416.09483348703617</v>
      </c>
      <c r="K7" s="463">
        <f>landbouw!K8</f>
        <v>0</v>
      </c>
      <c r="L7" s="463">
        <f>landbouw!L8</f>
        <v>0</v>
      </c>
      <c r="M7" s="463">
        <f>landbouw!M8</f>
        <v>0</v>
      </c>
      <c r="N7" s="463">
        <f>landbouw!N8</f>
        <v>0</v>
      </c>
      <c r="O7" s="463">
        <f>landbouw!O8</f>
        <v>0</v>
      </c>
      <c r="P7" s="464">
        <f>landbouw!P8</f>
        <v>0</v>
      </c>
      <c r="Q7" s="462">
        <f t="shared" si="0"/>
        <v>14550.035555572593</v>
      </c>
    </row>
    <row r="8" spans="1:17">
      <c r="A8" s="462" t="s">
        <v>657</v>
      </c>
      <c r="B8" s="463">
        <f>industrie!B18</f>
        <v>3863.1611737036892</v>
      </c>
      <c r="C8" s="463">
        <f>industrie!C18</f>
        <v>0</v>
      </c>
      <c r="D8" s="463">
        <f>industrie!D18</f>
        <v>2490.188148584738</v>
      </c>
      <c r="E8" s="463">
        <f>industrie!E18</f>
        <v>361.67255731910757</v>
      </c>
      <c r="F8" s="463">
        <f>industrie!F18</f>
        <v>1900.0557136807336</v>
      </c>
      <c r="G8" s="463">
        <f>industrie!G18</f>
        <v>0</v>
      </c>
      <c r="H8" s="463">
        <f>industrie!H18</f>
        <v>0</v>
      </c>
      <c r="I8" s="463">
        <f>industrie!I18</f>
        <v>0</v>
      </c>
      <c r="J8" s="463">
        <f>industrie!J18</f>
        <v>5.2737183940548062</v>
      </c>
      <c r="K8" s="463">
        <f>industrie!K18</f>
        <v>0</v>
      </c>
      <c r="L8" s="463">
        <f>industrie!L18</f>
        <v>0</v>
      </c>
      <c r="M8" s="463">
        <f>industrie!M18</f>
        <v>0</v>
      </c>
      <c r="N8" s="463">
        <f>industrie!N18</f>
        <v>1799.1222129541893</v>
      </c>
      <c r="O8" s="463">
        <f>industrie!O18</f>
        <v>0</v>
      </c>
      <c r="P8" s="464">
        <f>industrie!P18</f>
        <v>0</v>
      </c>
      <c r="Q8" s="462">
        <f t="shared" si="0"/>
        <v>10419.473524636513</v>
      </c>
    </row>
    <row r="9" spans="1:17" s="468" customFormat="1">
      <c r="A9" s="466" t="s">
        <v>574</v>
      </c>
      <c r="B9" s="467">
        <f>transport!B14</f>
        <v>4.5644728747268637</v>
      </c>
      <c r="C9" s="467">
        <f>transport!C14</f>
        <v>0</v>
      </c>
      <c r="D9" s="467">
        <f>transport!D14</f>
        <v>9.5812036200410002</v>
      </c>
      <c r="E9" s="467">
        <f>transport!E14</f>
        <v>283.29999719515934</v>
      </c>
      <c r="F9" s="467">
        <f>transport!F14</f>
        <v>0</v>
      </c>
      <c r="G9" s="467">
        <f>transport!G14</f>
        <v>57356.360913564626</v>
      </c>
      <c r="H9" s="467">
        <f>transport!H14</f>
        <v>14157.116975787276</v>
      </c>
      <c r="I9" s="467">
        <f>transport!I14</f>
        <v>0</v>
      </c>
      <c r="J9" s="467">
        <f>transport!J14</f>
        <v>0</v>
      </c>
      <c r="K9" s="467">
        <f>transport!K14</f>
        <v>0</v>
      </c>
      <c r="L9" s="467">
        <f>transport!L14</f>
        <v>0</v>
      </c>
      <c r="M9" s="467">
        <f>transport!M14</f>
        <v>3193.5189931450386</v>
      </c>
      <c r="N9" s="467">
        <f>transport!N14</f>
        <v>0</v>
      </c>
      <c r="O9" s="467">
        <f>transport!O14</f>
        <v>0</v>
      </c>
      <c r="P9" s="467">
        <f>transport!P14</f>
        <v>0</v>
      </c>
      <c r="Q9" s="466">
        <f>SUM(B9:P9)</f>
        <v>75004.44255618687</v>
      </c>
    </row>
    <row r="10" spans="1:17">
      <c r="A10" s="462" t="s">
        <v>564</v>
      </c>
      <c r="B10" s="463">
        <f>transport!B54</f>
        <v>0</v>
      </c>
      <c r="C10" s="463">
        <f>transport!C54</f>
        <v>0</v>
      </c>
      <c r="D10" s="463">
        <f>transport!D54</f>
        <v>0</v>
      </c>
      <c r="E10" s="463">
        <f>transport!E54</f>
        <v>0</v>
      </c>
      <c r="F10" s="463">
        <f>transport!F54</f>
        <v>0</v>
      </c>
      <c r="G10" s="463">
        <f>transport!G54</f>
        <v>1534.7734634988326</v>
      </c>
      <c r="H10" s="463">
        <f>transport!H54</f>
        <v>0</v>
      </c>
      <c r="I10" s="463">
        <f>transport!I54</f>
        <v>0</v>
      </c>
      <c r="J10" s="463">
        <f>transport!J54</f>
        <v>0</v>
      </c>
      <c r="K10" s="463">
        <f>transport!K54</f>
        <v>0</v>
      </c>
      <c r="L10" s="463">
        <f>transport!L54</f>
        <v>0</v>
      </c>
      <c r="M10" s="463">
        <f>transport!M54</f>
        <v>68.255129849344556</v>
      </c>
      <c r="N10" s="463">
        <f>transport!N54</f>
        <v>0</v>
      </c>
      <c r="O10" s="463">
        <f>transport!O54</f>
        <v>0</v>
      </c>
      <c r="P10" s="464">
        <f>transport!P54</f>
        <v>0</v>
      </c>
      <c r="Q10" s="462">
        <f t="shared" si="0"/>
        <v>1603.0285933481771</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55674.437749424113</v>
      </c>
      <c r="C14" s="473">
        <f t="shared" ref="C14:Q14" ca="1" si="1">SUM(C4:C13)</f>
        <v>62.357142857142847</v>
      </c>
      <c r="D14" s="473">
        <f t="shared" ca="1" si="1"/>
        <v>75749.032847957962</v>
      </c>
      <c r="E14" s="473">
        <f t="shared" si="1"/>
        <v>2993.8015727000488</v>
      </c>
      <c r="F14" s="473">
        <f t="shared" ca="1" si="1"/>
        <v>51852.943875677294</v>
      </c>
      <c r="G14" s="473">
        <f t="shared" si="1"/>
        <v>58891.134377063456</v>
      </c>
      <c r="H14" s="473">
        <f t="shared" si="1"/>
        <v>14157.116975787276</v>
      </c>
      <c r="I14" s="473">
        <f t="shared" si="1"/>
        <v>0</v>
      </c>
      <c r="J14" s="473">
        <f t="shared" si="1"/>
        <v>421.36855188109098</v>
      </c>
      <c r="K14" s="473">
        <f t="shared" si="1"/>
        <v>0</v>
      </c>
      <c r="L14" s="473">
        <f t="shared" ca="1" si="1"/>
        <v>0</v>
      </c>
      <c r="M14" s="473">
        <f t="shared" si="1"/>
        <v>3261.7741229943831</v>
      </c>
      <c r="N14" s="473">
        <f t="shared" ca="1" si="1"/>
        <v>10765.106450123121</v>
      </c>
      <c r="O14" s="473">
        <f t="shared" si="1"/>
        <v>129.75666666666666</v>
      </c>
      <c r="P14" s="474">
        <f t="shared" si="1"/>
        <v>591.06666666666672</v>
      </c>
      <c r="Q14" s="474">
        <f t="shared" ca="1" si="1"/>
        <v>274549.89699979924</v>
      </c>
    </row>
    <row r="16" spans="1:17">
      <c r="A16" s="476" t="s">
        <v>569</v>
      </c>
      <c r="B16" s="829">
        <f ca="1">huishoudens!B10</f>
        <v>0.20730679091085538</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6807.2210797175685</v>
      </c>
      <c r="C21" s="463">
        <f t="shared" ref="C21:C30" ca="1" si="3">C4*$C$16</f>
        <v>0</v>
      </c>
      <c r="D21" s="463">
        <f t="shared" ref="D21:D30" si="4">D4*$D$16</f>
        <v>10341.805062638003</v>
      </c>
      <c r="E21" s="463">
        <f t="shared" ref="E21:E30" si="5">E4*$E$16</f>
        <v>477.92743507703818</v>
      </c>
      <c r="F21" s="463">
        <f t="shared" ref="F21:F30" si="6">F4*$F$16</f>
        <v>9973.4587580503066</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27600.412335482917</v>
      </c>
    </row>
    <row r="22" spans="1:17">
      <c r="A22" s="462" t="s">
        <v>156</v>
      </c>
      <c r="B22" s="463">
        <f t="shared" ca="1" si="2"/>
        <v>3182.044458815491</v>
      </c>
      <c r="C22" s="463">
        <f t="shared" ca="1" si="3"/>
        <v>0</v>
      </c>
      <c r="D22" s="463">
        <f t="shared" ca="1" si="4"/>
        <v>4106.3429856458988</v>
      </c>
      <c r="E22" s="463">
        <f t="shared" si="5"/>
        <v>47.342349847863922</v>
      </c>
      <c r="F22" s="463">
        <f t="shared" ca="1" si="6"/>
        <v>815.14215930066257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8150.871953609917</v>
      </c>
    </row>
    <row r="23" spans="1:17">
      <c r="A23" s="462" t="s">
        <v>194</v>
      </c>
      <c r="B23" s="463">
        <f t="shared" ca="1" si="2"/>
        <v>177.04186519898869</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177.04186519898869</v>
      </c>
    </row>
    <row r="24" spans="1:17">
      <c r="A24" s="462" t="s">
        <v>112</v>
      </c>
      <c r="B24" s="463">
        <f t="shared" ca="1" si="2"/>
        <v>573.57582995146618</v>
      </c>
      <c r="C24" s="463">
        <f t="shared" ca="1" si="3"/>
        <v>0</v>
      </c>
      <c r="D24" s="463">
        <f t="shared" si="4"/>
        <v>348.20317785824403</v>
      </c>
      <c r="E24" s="463">
        <f t="shared" si="5"/>
        <v>7.9144022032704333</v>
      </c>
      <c r="F24" s="463">
        <f t="shared" si="6"/>
        <v>2548.8202219021136</v>
      </c>
      <c r="G24" s="463">
        <f t="shared" si="7"/>
        <v>0</v>
      </c>
      <c r="H24" s="463">
        <f t="shared" si="8"/>
        <v>0</v>
      </c>
      <c r="I24" s="463">
        <f t="shared" si="9"/>
        <v>0</v>
      </c>
      <c r="J24" s="463">
        <f t="shared" si="10"/>
        <v>147.29757105441081</v>
      </c>
      <c r="K24" s="463">
        <f t="shared" si="11"/>
        <v>0</v>
      </c>
      <c r="L24" s="463">
        <f t="shared" si="12"/>
        <v>0</v>
      </c>
      <c r="M24" s="463">
        <f t="shared" si="13"/>
        <v>0</v>
      </c>
      <c r="N24" s="463">
        <f t="shared" si="14"/>
        <v>0</v>
      </c>
      <c r="O24" s="463">
        <f t="shared" si="15"/>
        <v>0</v>
      </c>
      <c r="P24" s="464">
        <f t="shared" si="16"/>
        <v>0</v>
      </c>
      <c r="Q24" s="462">
        <f t="shared" ca="1" si="17"/>
        <v>3625.8112029695048</v>
      </c>
    </row>
    <row r="25" spans="1:17">
      <c r="A25" s="462" t="s">
        <v>657</v>
      </c>
      <c r="B25" s="463">
        <f t="shared" ca="1" si="2"/>
        <v>800.8595456919254</v>
      </c>
      <c r="C25" s="463">
        <f t="shared" ca="1" si="3"/>
        <v>0</v>
      </c>
      <c r="D25" s="463">
        <f t="shared" si="4"/>
        <v>503.01800601411708</v>
      </c>
      <c r="E25" s="463">
        <f t="shared" si="5"/>
        <v>82.099670511437424</v>
      </c>
      <c r="F25" s="463">
        <f t="shared" si="6"/>
        <v>507.31487555275589</v>
      </c>
      <c r="G25" s="463">
        <f t="shared" si="7"/>
        <v>0</v>
      </c>
      <c r="H25" s="463">
        <f t="shared" si="8"/>
        <v>0</v>
      </c>
      <c r="I25" s="463">
        <f t="shared" si="9"/>
        <v>0</v>
      </c>
      <c r="J25" s="463">
        <f t="shared" si="10"/>
        <v>1.8668963114954014</v>
      </c>
      <c r="K25" s="463">
        <f t="shared" si="11"/>
        <v>0</v>
      </c>
      <c r="L25" s="463">
        <f t="shared" si="12"/>
        <v>0</v>
      </c>
      <c r="M25" s="463">
        <f t="shared" si="13"/>
        <v>0</v>
      </c>
      <c r="N25" s="463">
        <f t="shared" si="14"/>
        <v>0</v>
      </c>
      <c r="O25" s="463">
        <f t="shared" si="15"/>
        <v>0</v>
      </c>
      <c r="P25" s="464">
        <f t="shared" si="16"/>
        <v>0</v>
      </c>
      <c r="Q25" s="462">
        <f t="shared" ca="1" si="17"/>
        <v>1895.1589940817312</v>
      </c>
    </row>
    <row r="26" spans="1:17" s="468" customFormat="1">
      <c r="A26" s="466" t="s">
        <v>574</v>
      </c>
      <c r="B26" s="823">
        <f t="shared" ca="1" si="2"/>
        <v>0.94624622385927293</v>
      </c>
      <c r="C26" s="467">
        <f t="shared" ca="1" si="3"/>
        <v>0</v>
      </c>
      <c r="D26" s="467">
        <f t="shared" si="4"/>
        <v>1.9354031312482822</v>
      </c>
      <c r="E26" s="467">
        <f t="shared" si="5"/>
        <v>64.309099363301172</v>
      </c>
      <c r="F26" s="467">
        <f t="shared" si="6"/>
        <v>0</v>
      </c>
      <c r="G26" s="467">
        <f t="shared" si="7"/>
        <v>15314.148363921757</v>
      </c>
      <c r="H26" s="467">
        <f t="shared" si="8"/>
        <v>3525.1221269710318</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18906.461239611199</v>
      </c>
    </row>
    <row r="27" spans="1:17">
      <c r="A27" s="462" t="s">
        <v>564</v>
      </c>
      <c r="B27" s="463">
        <f t="shared" ca="1" si="2"/>
        <v>0</v>
      </c>
      <c r="C27" s="463">
        <f t="shared" ca="1" si="3"/>
        <v>0</v>
      </c>
      <c r="D27" s="463">
        <f t="shared" si="4"/>
        <v>0</v>
      </c>
      <c r="E27" s="463">
        <f t="shared" si="5"/>
        <v>0</v>
      </c>
      <c r="F27" s="463">
        <f t="shared" si="6"/>
        <v>0</v>
      </c>
      <c r="G27" s="463">
        <f t="shared" si="7"/>
        <v>409.78451475418831</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409.78451475418831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11541.689025599298</v>
      </c>
      <c r="C31" s="473">
        <f t="shared" ca="1" si="18"/>
        <v>0</v>
      </c>
      <c r="D31" s="473">
        <f t="shared" ca="1" si="18"/>
        <v>15301.304635287512</v>
      </c>
      <c r="E31" s="473">
        <f t="shared" si="18"/>
        <v>679.59295700291113</v>
      </c>
      <c r="F31" s="473">
        <f t="shared" ca="1" si="18"/>
        <v>13844.73601480584</v>
      </c>
      <c r="G31" s="473">
        <f t="shared" si="18"/>
        <v>15723.932878675945</v>
      </c>
      <c r="H31" s="473">
        <f t="shared" si="18"/>
        <v>3525.1221269710318</v>
      </c>
      <c r="I31" s="473">
        <f t="shared" si="18"/>
        <v>0</v>
      </c>
      <c r="J31" s="473">
        <f t="shared" si="18"/>
        <v>149.16446736590621</v>
      </c>
      <c r="K31" s="473">
        <f t="shared" si="18"/>
        <v>0</v>
      </c>
      <c r="L31" s="473">
        <f t="shared" ca="1" si="18"/>
        <v>0</v>
      </c>
      <c r="M31" s="473">
        <f t="shared" si="18"/>
        <v>0</v>
      </c>
      <c r="N31" s="473">
        <f t="shared" ca="1" si="18"/>
        <v>0</v>
      </c>
      <c r="O31" s="473">
        <f t="shared" si="18"/>
        <v>0</v>
      </c>
      <c r="P31" s="474">
        <f t="shared" si="18"/>
        <v>0</v>
      </c>
      <c r="Q31" s="474">
        <f t="shared" ca="1" si="18"/>
        <v>60765.542105708446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0.20730679091085538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0.20730679091085538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0.20730679091085538</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2018-06-27T09:29:51Z</dcterms:modified>
</cp:coreProperties>
</file>