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L6" i="17"/>
  <c r="L5" s="1"/>
  <c r="B8" i="9"/>
  <c r="C16" i="15"/>
  <c r="D10" i="14" s="1"/>
  <c r="I14" i="15"/>
  <c r="I16" s="1"/>
  <c r="J10" i="14" s="1"/>
  <c r="B13" i="16"/>
  <c r="C35"/>
  <c r="E9" i="14"/>
  <c r="D14" i="15"/>
  <c r="P22" i="16"/>
  <c r="Q39" i="14" s="1"/>
  <c r="P18" i="16"/>
  <c r="L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12" i="17" l="1"/>
  <c r="F48" i="14" s="1"/>
  <c r="P15"/>
  <c r="P23" s="1"/>
  <c r="E7" i="48"/>
  <c r="E24" s="1"/>
  <c r="G14" i="22"/>
  <c r="G9" i="48" s="1"/>
  <c r="M22" i="14"/>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R18" i="14"/>
  <c r="R17"/>
  <c r="Q13" i="48"/>
  <c r="I19" i="14"/>
  <c r="I20" s="1"/>
  <c r="I23" s="1"/>
  <c r="M18" i="22"/>
  <c r="N45" i="14" s="1"/>
  <c r="N46" s="1"/>
  <c r="N53" s="1"/>
  <c r="M9" i="48"/>
  <c r="N19" i="14"/>
  <c r="P14" i="48"/>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J20" i="15"/>
  <c r="K36" i="14" s="1"/>
  <c r="M16" i="18"/>
  <c r="M19" s="1"/>
  <c r="E5" i="48"/>
  <c r="E22"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O13"/>
  <c r="O15" s="1"/>
  <c r="F22" i="16"/>
  <c r="G39" i="14" s="1"/>
  <c r="G41" s="1"/>
  <c r="N22" i="16"/>
  <c r="O39" i="14" s="1"/>
  <c r="O41" s="1"/>
  <c r="Q4" i="48"/>
  <c r="N22"/>
  <c r="R11" i="14"/>
  <c r="J21" i="48"/>
  <c r="R10" i="14"/>
  <c r="C29" i="20" l="1"/>
  <c r="C17" i="19"/>
  <c r="C19" s="1"/>
  <c r="D35" i="14" s="1"/>
  <c r="C20" i="16"/>
  <c r="C22" s="1"/>
  <c r="D39" i="14" s="1"/>
  <c r="C10" i="13"/>
  <c r="C16" i="48" s="1"/>
  <c r="C30" s="1"/>
  <c r="C16" i="22"/>
  <c r="C10" i="17"/>
  <c r="C12" s="1"/>
  <c r="D48" i="14" s="1"/>
  <c r="C56" i="22"/>
  <c r="C58" s="1"/>
  <c r="D44" i="14" s="1"/>
  <c r="D46" s="1"/>
  <c r="C18" i="15"/>
  <c r="C20" s="1"/>
  <c r="D36" i="14" s="1"/>
  <c r="C17" i="49"/>
  <c r="Q5" i="48"/>
  <c r="K13" i="14"/>
  <c r="K15" s="1"/>
  <c r="K23" s="1"/>
  <c r="F8" i="48"/>
  <c r="Q8" s="1"/>
  <c r="Q14" s="1"/>
  <c r="N25"/>
  <c r="N14"/>
  <c r="E25"/>
  <c r="E31" s="1"/>
  <c r="E14"/>
  <c r="N31"/>
  <c r="H55" i="14"/>
  <c r="E55"/>
  <c r="C78"/>
  <c r="C81" s="1"/>
  <c r="J14" i="48"/>
  <c r="J31"/>
  <c r="R19" i="14"/>
  <c r="R20" s="1"/>
  <c r="H14" i="48"/>
  <c r="G31"/>
  <c r="H26"/>
  <c r="H31" s="1"/>
  <c r="F55" i="14"/>
  <c r="O53"/>
  <c r="G53"/>
  <c r="G55" s="1"/>
  <c r="O69" s="1"/>
  <c r="B9" i="6" s="1"/>
  <c r="B12" s="1"/>
  <c r="M53" i="14"/>
  <c r="M55" s="1"/>
  <c r="C23" i="48"/>
  <c r="C24"/>
  <c r="C27"/>
  <c r="C28"/>
  <c r="C25"/>
  <c r="C26"/>
  <c r="K55" i="14"/>
  <c r="R13"/>
  <c r="R15" s="1"/>
  <c r="F25" i="48"/>
  <c r="F31" s="1"/>
  <c r="F14" l="1"/>
  <c r="C22"/>
  <c r="C29"/>
  <c r="C21"/>
  <c r="C12" i="13"/>
  <c r="D37" i="14" s="1"/>
  <c r="D41"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D53"/>
  <c r="D55" s="1"/>
  <c r="C31" i="48"/>
  <c r="O23" i="14"/>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<sst xmlns="http://schemas.openxmlformats.org/spreadsheetml/2006/main" count="1970" uniqueCount="845">
  <si>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</si>
  <si>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</si>
  <si>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</si>
  <si>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</si>
  <si>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</si>
  <si>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</si>
  <si>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</si>
  <si>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</si>
  <si>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</si>
  <si>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</si>
  <si>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</si>
  <si>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</si>
  <si>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</si>
  <si>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</si>
  <si>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</si>
  <si>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</si>
  <si>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</si>
  <si>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</si>
  <si>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</si>
  <si>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</si>
  <si>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</si>
  <si>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</si>
  <si>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</si>
  <si>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</si>
  <si>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</si>
  <si>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</si>
  <si>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</si>
  <si>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</si>
  <si>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</si>
  <si>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</si>
  <si>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</si>
  <si>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</si>
  <si>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</si>
  <si>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</si>
  <si>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</si>
  <si>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</si>
  <si>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</si>
  <si>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</si>
  <si>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</si>
  <si>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</si>
  <si>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</si>
  <si>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</si>
  <si>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</si>
  <si>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</si>
  <si>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</si>
  <si>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</si>
  <si>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</si>
  <si>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</si>
  <si>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</si>
  <si>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</si>
  <si>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</si>
  <si>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</si>
  <si>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</si>
  <si>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</si>
  <si>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</si>
  <si>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</si>
  <si>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</si>
  <si>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</si>
  <si>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</si>
  <si>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</si>
  <si>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</si>
  <si>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</si>
  <si>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</si>
  <si>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</si>
  <si>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</si>
  <si>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</si>
  <si>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</si>
  <si>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</si>
  <si>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</si>
  <si>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</si>
  <si>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</si>
  <si>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</si>
  <si>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</si>
  <si>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</si>
  <si>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</si>
  <si>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</si>
  <si>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</si>
  <si>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</si>
  <si>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</si>
  <si>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</si>
  <si>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</si>
  <si>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</si>
  <si>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</si>
  <si>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</si>
  <si>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</si>
  <si>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</si>
  <si>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</si>
  <si>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</si>
  <si>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</si>
  <si>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</si>
  <si>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</si>
  <si>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</si>
  <si>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</si>
  <si>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</si>
  <si>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</si>
  <si>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</si>
  <si>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</si>
  <si>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</si>
  <si>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</si>
  <si>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</si>
  <si>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</si>
  <si>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</si>
  <si>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</si>
  <si>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</si>
  <si>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</si>
  <si>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</si>
  <si>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</si>
  <si>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</si>
  <si>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</si>
  <si>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</si>
  <si>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</si>
  <si>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</si>
  <si>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</si>
  <si>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</si>
  <si>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</si>
  <si>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</si>
  <si>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</si>
  <si>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</si>
  <si>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</si>
  <si>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</si>
  <si>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</si>
  <si>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</si>
  <si>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</si>
  <si>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</si>
  <si>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</si>
  <si>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</si>
  <si>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</si>
  <si>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</si>
  <si>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</si>
  <si>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</si>
  <si>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</si>
  <si>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</si>
  <si>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</si>
  <si>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</si>
  <si>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</si>
  <si>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</si>
  <si>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</si>
  <si>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</si>
  <si>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</si>
  <si>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</si>
  <si>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</si>
  <si>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</si>
  <si>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</si>
  <si>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</si>
  <si>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</si>
  <si>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</si>
  <si>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</si>
  <si>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</si>
  <si>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</si>
  <si>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</si>
  <si>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</si>
  <si>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</si>
  <si>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</si>
  <si>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</si>
  <si>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</si>
  <si>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</si>
  <si>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</si>
  <si>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</si>
  <si>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</si>
  <si>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</si>
  <si>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</si>
  <si>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</si>
  <si>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</si>
  <si>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</si>
  <si>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</si>
  <si>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</si>
  <si>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</si>
  <si>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</si>
  <si>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</si>
  <si>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</si>
  <si>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</si>
  <si>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</si>
  <si>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</si>
  <si>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</si>
  <si>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</si>
  <si>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</si>
  <si>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</si>
  <si>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</si>
  <si>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</si>
  <si>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</si>
  <si>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</si>
  <si>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</si>
  <si>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</si>
  <si>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</si>
  <si>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</si>
  <si>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</si>
  <si>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</si>
  <si>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</si>
  <si>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</si>
  <si>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</si>
  <si>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</si>
  <si>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</si>
  <si>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</si>
  <si>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</si>
  <si>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</si>
  <si>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</si>
  <si>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</si>
  <si>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</si>
  <si>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</si>
  <si>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</si>
  <si>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</si>
  <si>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</si>
  <si>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</si>
  <si>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</si>
  <si>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</si>
  <si>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</si>
  <si>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</si>
  <si>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</si>
  <si>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</si>
  <si>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</si>
  <si>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</si>
  <si>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</si>
  <si>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</si>
  <si>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</si>
  <si>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</si>
  <si>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</si>
  <si>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</si>
  <si>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</si>
  <si>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</si>
  <si>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</si>
  <si>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</si>
  <si>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</si>
  <si>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</si>
  <si>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</si>
  <si>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</si>
  <si>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</si>
  <si>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</si>
  <si>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</si>
  <si>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</si>
  <si>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</si>
  <si>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</si>
  <si>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</si>
  <si>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</si>
  <si>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</si>
  <si>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</si>
  <si>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</si>
  <si>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</si>
  <si>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</si>
  <si>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</si>
  <si>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</si>
  <si>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</si>
  <si>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</si>
  <si>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</si>
  <si>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</si>
  <si>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</si>
  <si>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</si>
  <si>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</si>
  <si>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</si>
  <si>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</si>
  <si>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</si>
  <si>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</si>
  <si>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</si>
  <si>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</si>
  <si>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</si>
  <si>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</si>
  <si>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</si>
  <si>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</si>
  <si>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</si>
  <si>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</si>
  <si>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</si>
  <si>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</si>
  <si>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</si>
  <si>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</si>
  <si>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</si>
  <si>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</si>
  <si>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</si>
  <si>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</si>
  <si>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</si>
  <si>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</si>
  <si>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</si>
  <si>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</si>
  <si>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</si>
  <si>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</si>
  <si>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</si>
  <si>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</si>
  <si>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</si>
  <si>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</si>
  <si>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</si>
  <si>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</si>
  <si>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</si>
  <si>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</si>
  <si>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</si>
  <si>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</si>
  <si>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</si>
  <si>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</si>
  <si>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</si>
  <si>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</si>
  <si>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</si>
  <si>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</si>
  <si>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</si>
  <si>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</si>
  <si>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</si>
  <si>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</si>
  <si>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</si>
  <si>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</si>
  <si>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</si>
  <si>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</si>
  <si>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</si>
  <si>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</si>
  <si>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</si>
  <si>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</si>
  <si>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</si>
  <si>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</si>
  <si>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</si>
  <si>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</si>
  <si>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</si>
  <si>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</si>
  <si>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</si>
  <si>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</si>
  <si>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</si>
  <si>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</si>
  <si>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</si>
  <si>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</si>
  <si>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</si>
  <si>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</si>
  <si>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</si>
  <si>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</si>
  <si>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</si>
  <si>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</si>
  <si>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</si>
  <si>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</si>
  <si>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</si>
  <si>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</si>
  <si>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</si>
  <si>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</si>
  <si>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</si>
  <si>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</si>
  <si>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</si>
  <si>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</si>
  <si>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</si>
  <si>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</si>
  <si>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</si>
  <si>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</si>
  <si>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</si>
  <si>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</si>
  <si>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</si>
  <si>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</si>
  <si>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</si>
  <si>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</si>
  <si>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</si>
  <si>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</si>
  <si>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</si>
  <si>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</si>
  <si>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</si>
  <si>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</si>
  <si>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</si>
  <si>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</si>
  <si>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</si>
  <si>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</si>
  <si>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</si>
  <si>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</si>
  <si>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</si>
  <si>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</si>
  <si>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</si>
  <si>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</si>
  <si>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</si>
  <si>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</si>
  <si>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</si>
  <si>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</si>
  <si>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</si>
  <si>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</si>
  <si>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</si>
  <si>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</si>
  <si>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</si>
  <si>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</si>
  <si>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</si>
  <si>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</si>
  <si>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</si>
  <si>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</si>
  <si>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</si>
  <si>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</si>
  <si>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</si>
  <si>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</si>
  <si>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</si>
  <si>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</si>
  <si>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</si>
  <si>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</si>
  <si>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</si>
  <si>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</si>
  <si>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</si>
  <si>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</si>
  <si>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</si>
  <si>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</si>
  <si>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</si>
  <si>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</si>
  <si>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</si>
  <si>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</si>
  <si>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</si>
  <si>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</si>
  <si>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</si>
  <si>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</si>
  <si>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</si>
  <si>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</si>
  <si>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</si>
  <si>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</si>
  <si>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</si>
  <si>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</si>
  <si>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</si>
  <si>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</si>
  <si>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</si>
  <si>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</si>
  <si>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</si>
  <si>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</si>
  <si>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</si>
  <si>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</si>
  <si>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</si>
  <si>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</si>
  <si>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</si>
  <si>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</si>
  <si>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</si>
  <si>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</si>
  <si>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</si>
  <si>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</si>
  <si>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</si>
  <si>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</si>
  <si>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</si>
  <si>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</si>
  <si>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</si>
  <si>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</si>
  <si>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</si>
  <si>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</si>
  <si>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</si>
  <si>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</si>
  <si>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</si>
  <si>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</si>
  <si>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</si>
  <si>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</si>
  <si>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</si>
  <si>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</si>
  <si>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</si>
  <si>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</si>
  <si>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</si>
  <si>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</si>
  <si>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</si>
  <si>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</si>
  <si>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</si>
  <si>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</si>
  <si>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</si>
  <si>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</si>
  <si>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</si>
  <si>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</si>
  <si>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</si>
  <si>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</si>
  <si>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</si>
  <si>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</si>
  <si>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</si>
  <si>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</si>
  <si>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</si>
  <si>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</si>
  <si>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</si>
  <si>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</si>
  <si>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</si>
  <si>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</si>
  <si>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</si>
  <si>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</si>
  <si>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</si>
  <si>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</si>
  <si>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</si>
  <si>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</si>
  <si>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</si>
  <si>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</si>
  <si>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</si>
  <si>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</si>
  <si>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</si>
  <si>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</si>
  <si>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</si>
  <si>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</si>
  <si>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</si>
  <si>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</si>
  <si>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</si>
  <si>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</si>
  <si>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</si>
  <si>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</si>
  <si>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</si>
  <si>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</si>
  <si>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</si>
  <si>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</si>
  <si>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</si>
  <si>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</si>
  <si>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</si>
  <si>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</si>
  <si>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</si>
  <si>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</si>
  <si>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</si>
  <si>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</si>
  <si>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</si>
  <si>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</si>
  <si>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</si>
  <si>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</si>
  <si>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</si>
  <si>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</si>
  <si>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</si>
  <si>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</si>
  <si>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</si>
  <si>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</si>
  <si>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</si>
  <si>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</si>
  <si>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</si>
  <si>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</si>
  <si>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</si>
  <si>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</si>
  <si>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</si>
  <si>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</si>
  <si>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</si>
  <si>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</si>
  <si>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</si>
  <si>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</si>
  <si>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</si>
  <si>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</si>
  <si>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</si>
  <si>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</si>
  <si>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</si>
  <si>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</si>
  <si>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</si>
  <si>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</si>
  <si>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</si>
  <si>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</si>
  <si>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</si>
  <si>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</si>
  <si>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</si>
  <si>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</si>
  <si>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</si>
  <si>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</si>
  <si>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</si>
  <si>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</si>
  <si>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</si>
  <si>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</si>
  <si>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</si>
  <si>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</si>
  <si>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</si>
  <si>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</si>
  <si>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</si>
  <si>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</si>
  <si>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</si>
  <si>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</si>
  <si>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</si>
  <si>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</si>
  <si>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</si>
  <si>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</si>
  <si>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</si>
  <si>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</si>
  <si>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</si>
  <si>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</si>
  <si>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</si>
  <si>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</si>
  <si>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</si>
  <si>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</si>
  <si>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</si>
  <si>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</si>
  <si>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</si>
  <si>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</si>
  <si>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</si>
  <si>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</si>
  <si>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</si>
  <si>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</si>
  <si>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</si>
  <si>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</si>
  <si>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</si>
  <si>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</si>
  <si>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</si>
  <si>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</si>
  <si>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</si>
  <si>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</si>
  <si>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</si>
  <si>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</si>
  <si>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</si>
  <si>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</si>
  <si>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</si>
  <si>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</si>
  <si>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</si>
  <si>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</si>
  <si>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</si>
  <si>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</si>
  <si>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</si>
  <si>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</si>
  <si>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</si>
  <si>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</si>
  <si>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</si>
  <si>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</si>
  <si>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</si>
  <si>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</si>
  <si>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</si>
  <si>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</si>
  <si>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</si>
  <si>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</si>
  <si>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</si>
  <si>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</si>
  <si>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</si>
  <si>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</si>
  <si>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</si>
  <si>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</si>
  <si>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</si>
  <si>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</si>
  <si>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</si>
  <si>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</si>
  <si>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</si>
  <si>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</si>
  <si>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</si>
  <si>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</si>
  <si>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</si>
  <si>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</si>
  <si>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</si>
  <si>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</si>
  <si>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</si>
  <si>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</si>
  <si>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</si>
  <si>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</si>
  <si>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</si>
  <si>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</si>
  <si>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</si>
  <si>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</si>
  <si>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</si>
  <si>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</si>
  <si>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</si>
  <si>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</si>
  <si>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</si>
  <si>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</si>
  <si>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</si>
  <si>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</si>
  <si>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</si>
  <si>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</si>
  <si>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</si>
  <si>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</si>
  <si>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</si>
  <si>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</si>
  <si>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</si>
  <si>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</si>
  <si>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</si>
  <si>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</si>
  <si>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</si>
  <si>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</si>
  <si>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</si>
  <si>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</si>
  <si>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</si>
  <si>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</si>
  <si>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</si>
  <si>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</si>
  <si>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</si>
  <si>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</si>
  <si>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</si>
  <si>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</si>
  <si>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</si>
  <si>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</si>
  <si>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</si>
  <si>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</si>
  <si>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</si>
  <si>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</si>
  <si>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</si>
  <si>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</si>
  <si>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</si>
  <si>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</si>
  <si>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</si>
  <si>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</si>
  <si>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</si>
  <si>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</si>
  <si>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</si>
  <si>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</si>
  <si>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</si>
  <si>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</si>
  <si>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</si>
  <si>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</si>
  <si>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</si>
  <si>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</si>
  <si>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</si>
  <si>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</si>
  <si>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</si>
  <si>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</si>
  <si>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</si>
  <si>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</si>
  <si>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</si>
  <si>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</si>
  <si>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</si>
  <si>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</si>
  <si>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</si>
  <si>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</si>
  <si>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</si>
  <si>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</si>
  <si>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</si>
  <si>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</si>
  <si>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</si>
  <si>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</si>
  <si>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</si>
  <si>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</si>
  <si>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</si>
  <si>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</si>
  <si>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</si>
  <si>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</si>
  <si>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</si>
  <si>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</si>
  <si>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</si>
  <si>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</si>
  <si>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</si>
  <si>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</si>
  <si>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</si>
  <si>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</si>
  <si>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</si>
  <si>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</si>
  <si>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</si>
  <si>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</si>
  <si>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</si>
  <si>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</si>
  <si>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</si>
  <si>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</si>
  <si>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</si>
  <si>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</si>
  <si>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</si>
  <si>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</si>
  <si>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</si>
  <si>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</si>
  <si>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</si>
  <si>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</si>
  <si>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</si>
  <si>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</si>
  <si>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</si>
  <si>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</si>
  <si>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</si>
  <si>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</si>
  <si>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</si>
  <si>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</si>
  <si>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</si>
  <si>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</si>
  <si>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</si>
  <si>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</si>
  <si>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</si>
  <si>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</si>
  <si>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</si>
  <si>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</si>
  <si>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</si>
  <si>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</si>
  <si>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</si>
  <si>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</si>
  <si>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</si>
  <si>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</si>
  <si>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</si>
  <si>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</si>
  <si>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</si>
  <si>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</si>
  <si>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</si>
  <si>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</si>
  <si>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</si>
  <si>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</si>
  <si>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</si>
  <si>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</si>
  <si>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</si>
  <si>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</si>
  <si>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</si>
  <si>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</si>
  <si>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</si>
  <si>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</si>
  <si>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</si>
  <si>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</si>
  <si>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</si>
  <si>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</si>
  <si>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</si>
  <si>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</si>
  <si>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</si>
  <si>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</si>
  <si>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</si>
  <si>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</si>
  <si>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</si>
  <si>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</si>
  <si>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</si>
  <si>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</si>
  <si>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</si>
  <si>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</si>
  <si>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</si>
  <si>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</si>
  <si>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</si>
  <si>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</si>
  <si>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</si>
  <si>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</si>
  <si>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</si>
  <si>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</si>
  <si>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</si>
  <si>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</si>
  <si>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</si>
  <si>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</si>
  <si>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</si>
  <si>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</si>
  <si>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</si>
  <si>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</si>
  <si>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</si>
  <si>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</si>
  <si>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</si>
  <si>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</si>
  <si>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</si>
  <si>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</si>
  <si>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</si>
  <si>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</si>
  <si>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</si>
  <si>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</si>
  <si>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</si>
  <si>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</si>
  <si>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</si>
  <si>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</si>
  <si>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</si>
  <si>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</si>
  <si>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</si>
  <si>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</si>
  <si>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</si>
  <si>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</si>
  <si>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</si>
  <si>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</si>
  <si>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</si>
  <si>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</si>
  <si>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</si>
  <si>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</si>
  <si>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</si>
  <si>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</si>
  <si>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</si>
  <si>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</si>
  <si>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</si>
  <si>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</si>
  <si>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</si>
  <si>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</si>
  <si>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</si>
  <si>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</si>
  <si>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</si>
  <si>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</si>
  <si>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</si>
  <si>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</si>
  <si>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</si>
  <si>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</si>
  <si>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</si>
  <si>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</si>
  <si>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</si>
  <si>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</si>
  <si>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</si>
  <si>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</si>
  <si>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</si>
  <si>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</si>
  <si>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</si>
  <si>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</si>
  <si>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23025</t>
  </si>
  <si>
    <t>GRIMBERGEN</t>
  </si>
  <si>
    <t>Cultuurgrond (ha)</t>
  </si>
  <si>
    <t>Paarden&amp;pony's 200 - 600 kg</t>
  </si>
  <si>
    <t>Paarden&amp;pony's &lt; 200 kg</t>
  </si>
  <si>
    <t>op basis van VEA (maart 2018) en Inventaris Hernieuwbare Energiebronnen (juni 2018)</t>
  </si>
  <si>
    <t>VEA (juni 2018)</t>
  </si>
  <si>
    <t>Marc Depaepe</t>
  </si>
  <si>
    <t>Reinaardlaan 2 , 1850 Grimbergen</t>
  </si>
  <si>
    <t>WKK-0519 Marc Depaepe</t>
  </si>
  <si>
    <t>stirlingmotor</t>
  </si>
  <si>
    <t>SIBELGAS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</si>
</sst>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300040.70047268801</c:v>
                </c:pt>
                <c:pt idx="1">
                  <c:v>168879.84492298236</c:v>
                </c:pt>
                <c:pt idx="2">
                  <c:v>3371.0120000000002</c:v>
                </c:pt>
                <c:pt idx="3">
                  <c:v>11446.712204533449</c:v>
                </c:pt>
                <c:pt idx="4">
                  <c:v>83114.423191981376</c:v>
                </c:pt>
                <c:pt idx="5">
                  <c:v>372002.46357527311</c:v>
                </c:pt>
                <c:pt idx="6">
                  <c:v>4933.3420966448857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300040.70047268801</c:v>
                </c:pt>
                <c:pt idx="1">
                  <c:v>168879.84492298236</c:v>
                </c:pt>
                <c:pt idx="2">
                  <c:v>3371.0120000000002</c:v>
                </c:pt>
                <c:pt idx="3">
                  <c:v>11446.712204533449</c:v>
                </c:pt>
                <c:pt idx="4">
                  <c:v>83114.423191981376</c:v>
                </c:pt>
                <c:pt idx="5">
                  <c:v>372002.46357527311</c:v>
                </c:pt>
                <c:pt idx="6">
                  <c:v>4933.3420966448857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62192.198838372933</c:v>
                </c:pt>
                <c:pt idx="1">
                  <c:v>34504.092710734978</c:v>
                </c:pt>
                <c:pt idx="2">
                  <c:v>711.71532628843795</c:v>
                </c:pt>
                <c:pt idx="3">
                  <c:v>2438.2019044595722</c:v>
                </c:pt>
                <c:pt idx="4">
                  <c:v>16422.170105784317</c:v>
                </c:pt>
                <c:pt idx="5">
                  <c:v>94063.179194895696</c:v>
                </c:pt>
                <c:pt idx="6">
                  <c:v>1261.1173659526498</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99968"/>
        <c:axId val="182505856"/>
      </c:barChart>
      <c:catAx>
        <c:axId val="182499968"/>
        <c:scaling>
          <c:orientation val="minMax"/>
        </c:scaling>
        <c:axPos val="b"/>
        <c:numFmt formatCode="General" sourceLinked="0"/>
        <c:tickLblPos val="nextTo"/>
        <c:crossAx val="182505856"/>
        <c:crosses val="autoZero"/>
        <c:auto val="1"/>
        <c:lblAlgn val="ctr"/>
        <c:lblOffset val="100"/>
      </c:catAx>
      <c:valAx>
        <c:axId val="182505856"/>
        <c:scaling>
          <c:orientation val="minMax"/>
        </c:scaling>
        <c:axPos val="l"/>
        <c:majorGridlines/>
        <c:numFmt formatCode="#,##0" sourceLinked="1"/>
        <c:tickLblPos val="nextTo"/>
        <c:crossAx val="1824999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62192.198838372933</c:v>
                </c:pt>
                <c:pt idx="1">
                  <c:v>34504.092710734978</c:v>
                </c:pt>
                <c:pt idx="2">
                  <c:v>711.71532628843795</c:v>
                </c:pt>
                <c:pt idx="3">
                  <c:v>2438.2019044595722</c:v>
                </c:pt>
                <c:pt idx="4">
                  <c:v>16422.170105784317</c:v>
                </c:pt>
                <c:pt idx="5">
                  <c:v>94063.179194895696</c:v>
                </c:pt>
                <c:pt idx="6">
                  <c:v>1261.1173659526498</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23025</v>
      </c>
      <c r="B6" s="398"/>
      <c r="C6" s="399"/>
    </row>
    <row r="7" spans="1:7" s="396" customFormat="1" ht="15.75" customHeight="1">
      <c r="A7" s="400" t="str">
        <f>txtMunicipality</f>
        <v>GRIMBERGEN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23025</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15293</v>
      </c>
      <c r="C9" s="338">
        <v>16227</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1502</v>
      </c>
    </row>
    <row r="15" spans="1:6">
      <c r="A15" s="1212" t="s">
        <v>184</v>
      </c>
      <c r="B15" s="335">
        <v>397</v>
      </c>
    </row>
    <row r="16" spans="1:6">
      <c r="A16" s="1212" t="s">
        <v>6</v>
      </c>
      <c r="B16" s="335">
        <v>91</v>
      </c>
    </row>
    <row r="17" spans="1:6">
      <c r="A17" s="1212" t="s">
        <v>7</v>
      </c>
      <c r="B17" s="335">
        <v>148</v>
      </c>
    </row>
    <row r="18" spans="1:6">
      <c r="A18" s="1212" t="s">
        <v>8</v>
      </c>
      <c r="B18" s="335">
        <v>178</v>
      </c>
    </row>
    <row r="19" spans="1:6">
      <c r="A19" s="1212" t="s">
        <v>9</v>
      </c>
      <c r="B19" s="335">
        <v>129</v>
      </c>
    </row>
    <row r="20" spans="1:6">
      <c r="A20" s="1212" t="s">
        <v>10</v>
      </c>
      <c r="B20" s="335">
        <v>179</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102</v>
      </c>
    </row>
    <row r="27" spans="1:6">
      <c r="A27" s="1212" t="s">
        <v>17</v>
      </c>
      <c r="B27" s="335">
        <v>2</v>
      </c>
    </row>
    <row r="28" spans="1:6" s="341" customFormat="1">
      <c r="A28" s="1213" t="s">
        <v>18</v>
      </c>
      <c r="B28" s="1213">
        <v>0</v>
      </c>
    </row>
    <row r="29" spans="1:6">
      <c r="A29" s="1213" t="s">
        <v>836</v>
      </c>
      <c r="B29" s="1213">
        <v>195</v>
      </c>
      <c r="C29" s="341"/>
      <c r="D29" s="341"/>
      <c r="E29" s="341"/>
      <c r="F29" s="341"/>
    </row>
    <row r="30" spans="1:6">
      <c r="A30" s="1208" t="s">
        <v>837</v>
      </c>
      <c r="B30" s="1208">
        <v>43</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6</v>
      </c>
      <c r="F35" s="335">
        <v>62170.180245656498</v>
      </c>
    </row>
    <row r="36" spans="1:6">
      <c r="A36" s="1212" t="s">
        <v>25</v>
      </c>
      <c r="B36" s="1212" t="s">
        <v>27</v>
      </c>
      <c r="C36" s="335">
        <v>9</v>
      </c>
      <c r="D36" s="335">
        <v>143252.29030842101</v>
      </c>
      <c r="E36" s="335">
        <v>8</v>
      </c>
      <c r="F36" s="335">
        <v>48215.381565827003</v>
      </c>
    </row>
    <row r="37" spans="1:6">
      <c r="A37" s="1212" t="s">
        <v>25</v>
      </c>
      <c r="B37" s="1212" t="s">
        <v>28</v>
      </c>
      <c r="C37" s="335">
        <v>0</v>
      </c>
      <c r="D37" s="335">
        <v>0</v>
      </c>
      <c r="E37" s="335">
        <v>0</v>
      </c>
      <c r="F37" s="335">
        <v>0</v>
      </c>
    </row>
    <row r="38" spans="1:6">
      <c r="A38" s="1212" t="s">
        <v>25</v>
      </c>
      <c r="B38" s="1212" t="s">
        <v>29</v>
      </c>
      <c r="C38" s="335">
        <v>2</v>
      </c>
      <c r="D38" s="335">
        <v>1143817.74505337</v>
      </c>
      <c r="E38" s="335">
        <v>5</v>
      </c>
      <c r="F38" s="335">
        <v>19065.751553184</v>
      </c>
    </row>
    <row r="39" spans="1:6">
      <c r="A39" s="1212" t="s">
        <v>30</v>
      </c>
      <c r="B39" s="1212" t="s">
        <v>31</v>
      </c>
      <c r="C39" s="335">
        <v>10047</v>
      </c>
      <c r="D39" s="335">
        <v>189490804.79592901</v>
      </c>
      <c r="E39" s="335">
        <v>15499</v>
      </c>
      <c r="F39" s="335">
        <v>59150982.604149602</v>
      </c>
    </row>
    <row r="40" spans="1:6">
      <c r="A40" s="1212" t="s">
        <v>30</v>
      </c>
      <c r="B40" s="1212" t="s">
        <v>29</v>
      </c>
      <c r="C40" s="335">
        <v>0</v>
      </c>
      <c r="D40" s="335">
        <v>0</v>
      </c>
      <c r="E40" s="335">
        <v>0</v>
      </c>
      <c r="F40" s="335">
        <v>0</v>
      </c>
    </row>
    <row r="41" spans="1:6">
      <c r="A41" s="1212" t="s">
        <v>32</v>
      </c>
      <c r="B41" s="1212" t="s">
        <v>33</v>
      </c>
      <c r="C41" s="335">
        <v>24</v>
      </c>
      <c r="D41" s="335">
        <v>577005.70880968298</v>
      </c>
      <c r="E41" s="335">
        <v>110</v>
      </c>
      <c r="F41" s="335">
        <v>853626.31541103194</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12</v>
      </c>
      <c r="F44" s="335">
        <v>177198.291632198</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6</v>
      </c>
      <c r="F47" s="335">
        <v>159240.99626551699</v>
      </c>
    </row>
    <row r="48" spans="1:6">
      <c r="A48" s="1212" t="s">
        <v>32</v>
      </c>
      <c r="B48" s="1212" t="s">
        <v>29</v>
      </c>
      <c r="C48" s="335">
        <v>64</v>
      </c>
      <c r="D48" s="335">
        <v>47525359.823944099</v>
      </c>
      <c r="E48" s="335">
        <v>86</v>
      </c>
      <c r="F48" s="335">
        <v>23681342.299398199</v>
      </c>
    </row>
    <row r="49" spans="1:6">
      <c r="A49" s="1212" t="s">
        <v>32</v>
      </c>
      <c r="B49" s="1212" t="s">
        <v>40</v>
      </c>
      <c r="C49" s="335">
        <v>0</v>
      </c>
      <c r="D49" s="335">
        <v>0</v>
      </c>
      <c r="E49" s="335">
        <v>0</v>
      </c>
      <c r="F49" s="335">
        <v>0</v>
      </c>
    </row>
    <row r="50" spans="1:6">
      <c r="A50" s="1212" t="s">
        <v>32</v>
      </c>
      <c r="B50" s="1212" t="s">
        <v>41</v>
      </c>
      <c r="C50" s="335">
        <v>6</v>
      </c>
      <c r="D50" s="335">
        <v>652069.66591066495</v>
      </c>
      <c r="E50" s="335">
        <v>7</v>
      </c>
      <c r="F50" s="335">
        <v>412542.26381729898</v>
      </c>
    </row>
    <row r="51" spans="1:6">
      <c r="A51" s="1212" t="s">
        <v>42</v>
      </c>
      <c r="B51" s="1212" t="s">
        <v>43</v>
      </c>
      <c r="C51" s="335">
        <v>3</v>
      </c>
      <c r="D51" s="335">
        <v>96974.700508520793</v>
      </c>
      <c r="E51" s="335">
        <v>37</v>
      </c>
      <c r="F51" s="335">
        <v>254186.452342353</v>
      </c>
    </row>
    <row r="52" spans="1:6">
      <c r="A52" s="1212" t="s">
        <v>42</v>
      </c>
      <c r="B52" s="1212" t="s">
        <v>29</v>
      </c>
      <c r="C52" s="335">
        <v>2</v>
      </c>
      <c r="D52" s="335">
        <v>49998.360069166098</v>
      </c>
      <c r="E52" s="335">
        <v>15</v>
      </c>
      <c r="F52" s="335">
        <v>236614.11945752299</v>
      </c>
    </row>
    <row r="53" spans="1:6">
      <c r="A53" s="1212" t="s">
        <v>44</v>
      </c>
      <c r="B53" s="1212" t="s">
        <v>45</v>
      </c>
      <c r="C53" s="335">
        <v>277</v>
      </c>
      <c r="D53" s="335">
        <v>10033909.601146201</v>
      </c>
      <c r="E53" s="335">
        <v>533</v>
      </c>
      <c r="F53" s="335">
        <v>2431096.4700149498</v>
      </c>
    </row>
    <row r="54" spans="1:6">
      <c r="A54" s="1212" t="s">
        <v>46</v>
      </c>
      <c r="B54" s="1212" t="s">
        <v>47</v>
      </c>
      <c r="C54" s="335">
        <v>0</v>
      </c>
      <c r="D54" s="335">
        <v>0</v>
      </c>
      <c r="E54" s="335">
        <v>1</v>
      </c>
      <c r="F54" s="335">
        <v>3371012</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64</v>
      </c>
      <c r="D57" s="335">
        <v>5180408.86572331</v>
      </c>
      <c r="E57" s="335">
        <v>204</v>
      </c>
      <c r="F57" s="335">
        <v>6706825.35071621</v>
      </c>
    </row>
    <row r="58" spans="1:6">
      <c r="A58" s="1212" t="s">
        <v>49</v>
      </c>
      <c r="B58" s="1212" t="s">
        <v>51</v>
      </c>
      <c r="C58" s="335">
        <v>34</v>
      </c>
      <c r="D58" s="335">
        <v>1260558.41658558</v>
      </c>
      <c r="E58" s="335">
        <v>62</v>
      </c>
      <c r="F58" s="335">
        <v>493737.25599353597</v>
      </c>
    </row>
    <row r="59" spans="1:6">
      <c r="A59" s="1212" t="s">
        <v>49</v>
      </c>
      <c r="B59" s="1212" t="s">
        <v>52</v>
      </c>
      <c r="C59" s="335">
        <v>149</v>
      </c>
      <c r="D59" s="335">
        <v>23719354.809624299</v>
      </c>
      <c r="E59" s="335">
        <v>354</v>
      </c>
      <c r="F59" s="335">
        <v>20444348.2157217</v>
      </c>
    </row>
    <row r="60" spans="1:6">
      <c r="A60" s="1212" t="s">
        <v>49</v>
      </c>
      <c r="B60" s="1212" t="s">
        <v>53</v>
      </c>
      <c r="C60" s="335">
        <v>88</v>
      </c>
      <c r="D60" s="335">
        <v>6165163.1296919398</v>
      </c>
      <c r="E60" s="335">
        <v>113</v>
      </c>
      <c r="F60" s="335">
        <v>3205730.0278545199</v>
      </c>
    </row>
    <row r="61" spans="1:6">
      <c r="A61" s="1212" t="s">
        <v>49</v>
      </c>
      <c r="B61" s="1212" t="s">
        <v>54</v>
      </c>
      <c r="C61" s="335">
        <v>264</v>
      </c>
      <c r="D61" s="335">
        <v>26761035.065125398</v>
      </c>
      <c r="E61" s="335">
        <v>666</v>
      </c>
      <c r="F61" s="335">
        <v>27283849.426803902</v>
      </c>
    </row>
    <row r="62" spans="1:6">
      <c r="A62" s="1212" t="s">
        <v>49</v>
      </c>
      <c r="B62" s="1212" t="s">
        <v>55</v>
      </c>
      <c r="C62" s="335">
        <v>6</v>
      </c>
      <c r="D62" s="335">
        <v>211837.22178684</v>
      </c>
      <c r="E62" s="335">
        <v>18</v>
      </c>
      <c r="F62" s="335">
        <v>764631.29546075896</v>
      </c>
    </row>
    <row r="63" spans="1:6">
      <c r="A63" s="1212" t="s">
        <v>49</v>
      </c>
      <c r="B63" s="1212" t="s">
        <v>29</v>
      </c>
      <c r="C63" s="335">
        <v>254</v>
      </c>
      <c r="D63" s="335">
        <v>19674028.1210218</v>
      </c>
      <c r="E63" s="335">
        <v>286</v>
      </c>
      <c r="F63" s="335">
        <v>14542472.3339097</v>
      </c>
    </row>
    <row r="64" spans="1:6">
      <c r="A64" s="1212" t="s">
        <v>56</v>
      </c>
      <c r="B64" s="1212" t="s">
        <v>57</v>
      </c>
      <c r="C64" s="335">
        <v>0</v>
      </c>
      <c r="D64" s="335">
        <v>0</v>
      </c>
      <c r="E64" s="335">
        <v>0</v>
      </c>
      <c r="F64" s="335">
        <v>0</v>
      </c>
    </row>
    <row r="65" spans="1:6">
      <c r="A65" s="1212" t="s">
        <v>56</v>
      </c>
      <c r="B65" s="1212" t="s">
        <v>29</v>
      </c>
      <c r="C65" s="335">
        <v>4</v>
      </c>
      <c r="D65" s="335">
        <v>365741.85873773898</v>
      </c>
      <c r="E65" s="335">
        <v>8</v>
      </c>
      <c r="F65" s="335">
        <v>300303.16818113398</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3</v>
      </c>
      <c r="D68" s="335">
        <v>77155.796299176</v>
      </c>
      <c r="E68" s="335">
        <v>6</v>
      </c>
      <c r="F68" s="335">
        <v>122847.37299455699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67750392</v>
      </c>
      <c r="E73" s="335">
        <v>69977041.077977821</v>
      </c>
    </row>
    <row r="74" spans="1:6">
      <c r="A74" s="1212" t="s">
        <v>64</v>
      </c>
      <c r="B74" s="1212" t="s">
        <v>727</v>
      </c>
      <c r="C74" s="1212" t="s">
        <v>728</v>
      </c>
      <c r="D74" s="335">
        <v>2096431.9237914225</v>
      </c>
      <c r="E74" s="335">
        <v>2122601.8071545842</v>
      </c>
    </row>
    <row r="75" spans="1:6">
      <c r="A75" s="1212" t="s">
        <v>65</v>
      </c>
      <c r="B75" s="1212" t="s">
        <v>725</v>
      </c>
      <c r="C75" s="1212" t="s">
        <v>729</v>
      </c>
      <c r="D75" s="335">
        <v>60999131</v>
      </c>
      <c r="E75" s="335">
        <v>63069001.761864059</v>
      </c>
    </row>
    <row r="76" spans="1:6">
      <c r="A76" s="1212" t="s">
        <v>65</v>
      </c>
      <c r="B76" s="1212" t="s">
        <v>727</v>
      </c>
      <c r="C76" s="1212" t="s">
        <v>730</v>
      </c>
      <c r="D76" s="335">
        <v>2136714.9237914225</v>
      </c>
      <c r="E76" s="335">
        <v>2262733.0256998977</v>
      </c>
    </row>
    <row r="77" spans="1:6">
      <c r="A77" s="1212" t="s">
        <v>66</v>
      </c>
      <c r="B77" s="1212" t="s">
        <v>725</v>
      </c>
      <c r="C77" s="1212" t="s">
        <v>731</v>
      </c>
      <c r="D77" s="335">
        <v>262286966</v>
      </c>
      <c r="E77" s="335">
        <v>278738457.33410323</v>
      </c>
    </row>
    <row r="78" spans="1:6">
      <c r="A78" s="1208" t="s">
        <v>66</v>
      </c>
      <c r="B78" s="1208" t="s">
        <v>727</v>
      </c>
      <c r="C78" s="1208" t="s">
        <v>732</v>
      </c>
      <c r="D78" s="1208">
        <v>32935770</v>
      </c>
      <c r="E78" s="1208">
        <v>33034966.661157943</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1303330.1524171552</v>
      </c>
      <c r="C83" s="335">
        <v>1291913.8699152118</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2966.4309041538959</v>
      </c>
    </row>
    <row r="92" spans="1:6">
      <c r="A92" s="1208" t="s">
        <v>69</v>
      </c>
      <c r="B92" s="338">
        <v>4391.7712633731726</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6866</v>
      </c>
    </row>
    <row r="98" spans="1:6">
      <c r="A98" s="1212" t="s">
        <v>72</v>
      </c>
      <c r="B98" s="335">
        <v>3</v>
      </c>
    </row>
    <row r="99" spans="1:6">
      <c r="A99" s="1212" t="s">
        <v>73</v>
      </c>
      <c r="B99" s="335">
        <v>130</v>
      </c>
    </row>
    <row r="100" spans="1:6">
      <c r="A100" s="1212" t="s">
        <v>74</v>
      </c>
      <c r="B100" s="335">
        <v>1177</v>
      </c>
    </row>
    <row r="101" spans="1:6">
      <c r="A101" s="1212" t="s">
        <v>75</v>
      </c>
      <c r="B101" s="335">
        <v>56</v>
      </c>
    </row>
    <row r="102" spans="1:6">
      <c r="A102" s="1212" t="s">
        <v>76</v>
      </c>
      <c r="B102" s="335">
        <v>230</v>
      </c>
    </row>
    <row r="103" spans="1:6">
      <c r="A103" s="1212" t="s">
        <v>77</v>
      </c>
      <c r="B103" s="335">
        <v>159</v>
      </c>
    </row>
    <row r="104" spans="1:6">
      <c r="A104" s="1212" t="s">
        <v>78</v>
      </c>
      <c r="B104" s="335">
        <v>4800</v>
      </c>
    </row>
    <row r="105" spans="1:6">
      <c r="A105" s="1208" t="s">
        <v>79</v>
      </c>
      <c r="B105" s="1208">
        <v>11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32</v>
      </c>
      <c r="C123" s="335">
        <v>32</v>
      </c>
    </row>
    <row r="124" spans="1:6">
      <c r="A124" s="1208" t="s">
        <v>89</v>
      </c>
      <c r="B124" s="335">
        <v>4</v>
      </c>
      <c r="C124" s="335">
        <v>4</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100</v>
      </c>
    </row>
    <row r="130" spans="1:6">
      <c r="A130" s="1212" t="s">
        <v>295</v>
      </c>
      <c r="B130" s="335">
        <v>1</v>
      </c>
    </row>
    <row r="131" spans="1:6">
      <c r="A131" s="1212" t="s">
        <v>296</v>
      </c>
      <c r="B131" s="335">
        <v>2</v>
      </c>
    </row>
    <row r="132" spans="1:6">
      <c r="A132" s="1208" t="s">
        <v>297</v>
      </c>
      <c r="B132" s="338">
        <v>8</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164726.12228841483</v>
      </c>
      <c r="C3" s="43" t="s">
        <v>170</v>
      </c>
      <c r="D3" s="43"/>
      <c r="E3" s="156"/>
      <c r="F3" s="43"/>
      <c r="G3" s="43"/>
      <c r="H3" s="43"/>
      <c r="I3" s="43"/>
      <c r="J3" s="43"/>
      <c r="K3" s="96"/>
    </row>
    <row r="4" spans="1:11">
      <c r="A4" s="366" t="s">
        <v>171</v>
      </c>
      <c r="B4" s="49">
        <f>IF(ISERROR('SEAP template'!B69),0,'SEAP template'!B69)</f>
        <v>7358.577167527068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8.4166666666666667E-2</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0.21112809040384251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0.42083333333333339</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1.875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0.22444444444444447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3371.0120000000002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3371.0120000000002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0.21112809040384251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711.71532628843795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59150.982604149605</v>
      </c>
      <c r="C5" s="17">
        <f>IF(ISERROR('Eigen informatie GS &amp; warmtenet'!B57),0,'Eigen informatie GS &amp; warmtenet'!B57)</f>
        <v>0</v>
      </c>
      <c r="D5" s="30">
        <f>(SUM(HH_hh_gas_kWh,HH_rest_gas_kWh)/1000)*0.902</f>
        <v>170920.70592592799</v>
      </c>
      <c r="E5" s="17">
        <f>B46*B57</f>
        <v>6488.8424273114879</v>
      </c>
      <c r="F5" s="17">
        <f>B51*B62</f>
        <v>48983.213915737055</v>
      </c>
      <c r="G5" s="18"/>
      <c r="H5" s="17"/>
      <c r="I5" s="17"/>
      <c r="J5" s="17">
        <f>B50*B61+C50*C61</f>
        <v>0</v>
      </c>
      <c r="K5" s="17"/>
      <c r="L5" s="17"/>
      <c r="M5" s="17"/>
      <c r="N5" s="17">
        <f>B48*B59+C48*C59</f>
        <v>10478.978028741298</v>
      </c>
      <c r="O5" s="17">
        <f>B69*B70*B71</f>
        <v>212.61333333333334</v>
      </c>
      <c r="P5" s="17">
        <f>B77*B78*B79/1000-B77*B78*B79/1000/B80</f>
        <v>838.93333333333339</v>
      </c>
    </row>
    <row r="6" spans="1:16">
      <c r="A6" s="16" t="s">
        <v>634</v>
      </c>
      <c r="B6" s="831">
        <f>kWh_PV_kleiner_dan_10kW</f>
        <v>2966.4309041538959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62117.4135083035</v>
      </c>
      <c r="C8" s="21">
        <f>C5</f>
        <v>0</v>
      </c>
      <c r="D8" s="21">
        <f>D5</f>
        <v>170920.70592592799</v>
      </c>
      <c r="E8" s="21">
        <f>E5</f>
        <v>6488.8424273114879</v>
      </c>
      <c r="F8" s="21">
        <f>F5</f>
        <v>48983.213915737055</v>
      </c>
      <c r="G8" s="21"/>
      <c r="H8" s="21"/>
      <c r="I8" s="21"/>
      <c r="J8" s="21">
        <f>J5</f>
        <v>0</v>
      </c>
      <c r="K8" s="21"/>
      <c r="L8" s="21">
        <f>L5</f>
        <v>0</v>
      </c>
      <c r="M8" s="21">
        <f>M5</f>
        <v>0</v>
      </c>
      <c r="N8" s="21">
        <f>N5</f>
        <v>10478.978028741298</v>
      </c>
      <c r="O8" s="21">
        <f>O5</f>
        <v>212.61333333333334</v>
      </c>
      <c r="P8" s="21">
        <f>P5</f>
        <v>838.93333333333339</v>
      </c>
    </row>
    <row r="9" spans="1:16">
      <c r="B9" s="19"/>
      <c r="C9" s="19"/>
      <c r="D9" s="261"/>
      <c r="E9" s="19"/>
      <c r="F9" s="19"/>
      <c r="G9" s="19"/>
      <c r="H9" s="19"/>
      <c r="I9" s="19"/>
      <c r="J9" s="19"/>
      <c r="K9" s="19"/>
      <c r="L9" s="19"/>
      <c r="M9" s="19"/>
      <c r="N9" s="19"/>
      <c r="O9" s="19"/>
      <c r="P9" s="19"/>
    </row>
    <row r="10" spans="1:16">
      <c r="A10" s="24" t="s">
        <v>214</v>
      </c>
      <c r="B10" s="25">
        <f ca="1">'EF ele_warmte'!B12</f>
        <v>0.21112809040384251</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13114.730894833969</v>
      </c>
      <c r="C12" s="23">
        <f ca="1">C10*C8</f>
        <v>0</v>
      </c>
      <c r="D12" s="23">
        <f>D8*D10</f>
        <v>34525.982597037459</v>
      </c>
      <c r="E12" s="23">
        <f>E10*E8</f>
        <v>1472.9672309997079</v>
      </c>
      <c r="F12" s="23">
        <f>F10*F8</f>
        <v>13078.518115501794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6866</v>
      </c>
      <c r="C18" s="168" t="s">
        <v>111</v>
      </c>
      <c r="D18" s="230"/>
      <c r="E18" s="15"/>
    </row>
    <row r="19" spans="1:7">
      <c r="A19" s="173" t="s">
        <v>72</v>
      </c>
      <c r="B19" s="37">
        <f>aantalw2001_ander</f>
        <v>3</v>
      </c>
      <c r="C19" s="168" t="s">
        <v>111</v>
      </c>
      <c r="D19" s="231"/>
      <c r="E19" s="15"/>
    </row>
    <row r="20" spans="1:7">
      <c r="A20" s="173" t="s">
        <v>73</v>
      </c>
      <c r="B20" s="37">
        <f>aantalw2001_propaan</f>
        <v>130</v>
      </c>
      <c r="C20" s="169">
        <f>IF(ISERROR(B20/SUM($B$20,$B$21,$B$22)*100),0,B20/SUM($B$20,$B$21,$B$22)*100)</f>
        <v>9.5377842993396929</v>
      </c>
      <c r="D20" s="231"/>
      <c r="E20" s="15"/>
    </row>
    <row r="21" spans="1:7">
      <c r="A21" s="173" t="s">
        <v>74</v>
      </c>
      <c r="B21" s="37">
        <f>aantalw2001_elektriciteit</f>
        <v>1177</v>
      </c>
      <c r="C21" s="169">
        <f>IF(ISERROR(B21/SUM($B$20,$B$21,$B$22)*100),0,B21/SUM($B$20,$B$21,$B$22)*100)</f>
        <v>86.353631694790906</v>
      </c>
      <c r="D21" s="231"/>
      <c r="E21" s="15"/>
    </row>
    <row r="22" spans="1:7">
      <c r="A22" s="173" t="s">
        <v>75</v>
      </c>
      <c r="B22" s="37">
        <f>aantalw2001_hout</f>
        <v>56</v>
      </c>
      <c r="C22" s="169">
        <f>IF(ISERROR(B22/SUM($B$20,$B$21,$B$22)*100),0,B22/SUM($B$20,$B$21,$B$22)*100)</f>
        <v>4.1085840058694059</v>
      </c>
      <c r="D22" s="231"/>
      <c r="E22" s="15"/>
    </row>
    <row r="23" spans="1:7">
      <c r="A23" s="173" t="s">
        <v>76</v>
      </c>
      <c r="B23" s="37">
        <f>aantalw2001_niet_gespec</f>
        <v>230</v>
      </c>
      <c r="C23" s="168" t="s">
        <v>111</v>
      </c>
      <c r="D23" s="230"/>
      <c r="E23" s="15"/>
    </row>
    <row r="24" spans="1:7">
      <c r="A24" s="173" t="s">
        <v>77</v>
      </c>
      <c r="B24" s="37">
        <f>aantalw2001_steenkool</f>
        <v>159</v>
      </c>
      <c r="C24" s="168" t="s">
        <v>111</v>
      </c>
      <c r="D24" s="231"/>
      <c r="E24" s="15"/>
    </row>
    <row r="25" spans="1:7">
      <c r="A25" s="173" t="s">
        <v>78</v>
      </c>
      <c r="B25" s="37">
        <f>aantalw2001_stookolie</f>
        <v>4800</v>
      </c>
      <c r="C25" s="168" t="s">
        <v>111</v>
      </c>
      <c r="D25" s="230"/>
      <c r="E25" s="52"/>
    </row>
    <row r="26" spans="1:7">
      <c r="A26" s="173" t="s">
        <v>79</v>
      </c>
      <c r="B26" s="37">
        <f>aantalw2001_WP</f>
        <v>11</v>
      </c>
      <c r="C26" s="168" t="s">
        <v>111</v>
      </c>
      <c r="D26" s="230"/>
      <c r="E26" s="15"/>
    </row>
    <row r="27" spans="1:7" s="15" customFormat="1">
      <c r="A27" s="173"/>
      <c r="B27" s="29"/>
      <c r="C27" s="36"/>
      <c r="D27" s="230"/>
    </row>
    <row r="28" spans="1:7" s="15" customFormat="1">
      <c r="A28" s="232" t="s">
        <v>745</v>
      </c>
      <c r="B28" s="37">
        <f>aantalHuishoudens2011</f>
        <v>15293</v>
      </c>
      <c r="C28" s="36"/>
      <c r="D28" s="230"/>
    </row>
    <row r="29" spans="1:7" s="15" customFormat="1">
      <c r="A29" s="232" t="s">
        <v>746</v>
      </c>
      <c r="B29" s="37">
        <f>SUM(HH_hh_gas_aantal,HH_rest_gas_aantal)</f>
        <v>10047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10047</v>
      </c>
      <c r="C32" s="169">
        <f>IF(ISERROR(B32/SUM($B$32,$B$34,$B$35,$B$36,$B$38,$B$39)*100),0,B32/SUM($B$32,$B$34,$B$35,$B$36,$B$38,$B$39)*100)</f>
        <v>65.886287625418063</v>
      </c>
      <c r="D32" s="235"/>
      <c r="G32" s="15"/>
    </row>
    <row r="33" spans="1:7">
      <c r="A33" s="173" t="s">
        <v>72</v>
      </c>
      <c r="B33" s="34" t="s">
        <v>111</v>
      </c>
      <c r="C33" s="169"/>
      <c r="D33" s="235"/>
      <c r="G33" s="15"/>
    </row>
    <row r="34" spans="1:7">
      <c r="A34" s="173" t="s">
        <v>73</v>
      </c>
      <c r="B34" s="33">
        <f>IF((($B$28-$B$32-$B$39-$B$77-$B$38)*C20/100)&lt;0,0,($B$28-$B$32-$B$39-$B$77-$B$38)*C20/100)</f>
        <v>311.39911958914161</v>
      </c>
      <c r="C34" s="169">
        <f>IF(ISERROR(B34/SUM($B$32,$B$34,$B$35,$B$36,$B$38,$B$39)*100),0,B34/SUM($B$32,$B$34,$B$35,$B$36,$B$38,$B$39)*100)</f>
        <v>2.042095347820458</v>
      </c>
      <c r="D34" s="235"/>
      <c r="G34" s="15"/>
    </row>
    <row r="35" spans="1:7">
      <c r="A35" s="173" t="s">
        <v>74</v>
      </c>
      <c r="B35" s="33">
        <f>IF((($B$28-$B$32-$B$39-$B$77-$B$38)*C21/100)&lt;0,0,($B$28-$B$32-$B$39-$B$77-$B$38)*C21/100)</f>
        <v>2819.3597212032282</v>
      </c>
      <c r="C35" s="169">
        <f>IF(ISERROR(B35/SUM($B$32,$B$34,$B$35,$B$36,$B$38,$B$39)*100),0,B35/SUM($B$32,$B$34,$B$35,$B$36,$B$38,$B$39)*100)</f>
        <v>18.488817110651375</v>
      </c>
      <c r="D35" s="235"/>
      <c r="G35" s="15"/>
    </row>
    <row r="36" spans="1:7">
      <c r="A36" s="173" t="s">
        <v>75</v>
      </c>
      <c r="B36" s="33">
        <f>IF((($B$28-$B$32-$B$39-$B$77-$B$38)*C22/100)&lt;0,0,($B$28-$B$32-$B$39-$B$77-$B$38)*C22/100)</f>
        <v>134.14115920763024</v>
      </c>
      <c r="C36" s="169">
        <f>IF(ISERROR(B36/SUM($B$32,$B$34,$B$35,$B$36,$B$38,$B$39)*100),0,B36/SUM($B$32,$B$34,$B$35,$B$36,$B$38,$B$39)*100)</f>
        <v>0.87967184213804339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1937.1</v>
      </c>
      <c r="C39" s="169">
        <f>IF(ISERROR(B39/SUM($B$32,$B$34,$B$35,$B$36,$B$38,$B$39)*100),0,B39/SUM($B$32,$B$34,$B$35,$B$36,$B$38,$B$39)*100)</f>
        <v>12.703128073972064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10047</v>
      </c>
      <c r="C44" s="34" t="s">
        <v>111</v>
      </c>
      <c r="D44" s="176"/>
    </row>
    <row r="45" spans="1:7">
      <c r="A45" s="173" t="s">
        <v>72</v>
      </c>
      <c r="B45" s="33" t="str">
        <f t="shared" si="0"/>
        <v>-</v>
      </c>
      <c r="C45" s="34" t="s">
        <v>111</v>
      </c>
      <c r="D45" s="176"/>
    </row>
    <row r="46" spans="1:7">
      <c r="A46" s="173" t="s">
        <v>73</v>
      </c>
      <c r="B46" s="33">
        <f t="shared" si="0"/>
        <v>311.39911958914161</v>
      </c>
      <c r="C46" s="34" t="s">
        <v>111</v>
      </c>
      <c r="D46" s="176"/>
    </row>
    <row r="47" spans="1:7">
      <c r="A47" s="173" t="s">
        <v>74</v>
      </c>
      <c r="B47" s="33">
        <f t="shared" si="0"/>
        <v>2819.3597212032282</v>
      </c>
      <c r="C47" s="34" t="s">
        <v>111</v>
      </c>
      <c r="D47" s="176"/>
    </row>
    <row r="48" spans="1:7">
      <c r="A48" s="173" t="s">
        <v>75</v>
      </c>
      <c r="B48" s="33">
        <f t="shared" si="0"/>
        <v>134.14115920763024</v>
      </c>
      <c r="C48" s="33">
        <f>B48*10</f>
        <v>1341.4115920763024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1937.1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136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73441.59390646033</v>
      </c>
      <c r="C5" s="17">
        <f>IF(ISERROR('Eigen informatie GS &amp; warmtenet'!B58),0,'Eigen informatie GS &amp; warmtenet'!B58)</f>
        <v>0</v>
      </c>
      <c r="D5" s="30">
        <f>SUM(D6:D12)</f>
        <v>74841.091837862361</v>
      </c>
      <c r="E5" s="17">
        <f>SUM(E6:E12)</f>
        <v>789.72894419009867</v>
      </c>
      <c r="F5" s="17">
        <f>SUM(F6:F12)</f>
        <v>13862.697421236648</v>
      </c>
      <c r="G5" s="18"/>
      <c r="H5" s="17"/>
      <c r="I5" s="17"/>
      <c r="J5" s="17">
        <f>SUM(J6:J12)</f>
        <v>0</v>
      </c>
      <c r="K5" s="17"/>
      <c r="L5" s="17"/>
      <c r="M5" s="17"/>
      <c r="N5" s="17">
        <f>SUM(N6:N12)</f>
        <v>5905.0361465662354</v>
      </c>
      <c r="O5" s="17">
        <f>B38*B39*B40</f>
        <v>1.5633333333333335</v>
      </c>
      <c r="P5" s="17">
        <f>B46*B47*B48/1000-B46*B47*B48/1000/B49</f>
        <v>38.133333333333333</v>
      </c>
      <c r="R5" s="32"/>
    </row>
    <row r="6" spans="1:18">
      <c r="A6" s="32" t="s">
        <v>54</v>
      </c>
      <c r="B6" s="37">
        <f>B26</f>
        <v>27283.849426803903</v>
      </c>
      <c r="C6" s="33"/>
      <c r="D6" s="37">
        <f>IF(ISERROR(TER_kantoor_gas_kWh/1000),0,TER_kantoor_gas_kWh/1000)*0.902</f>
        <v>24138.453628743107</v>
      </c>
      <c r="E6" s="33">
        <f>$C$26*'E Balans VL '!I12/100/3.6*1000000</f>
        <v>106.00353135061366</v>
      </c>
      <c r="F6" s="33">
        <f>$C$26*('E Balans VL '!L12+'E Balans VL '!N12)/100/3.6*1000000</f>
        <v>4149.6252345803523</v>
      </c>
      <c r="G6" s="34"/>
      <c r="H6" s="33"/>
      <c r="I6" s="33"/>
      <c r="J6" s="33">
        <f>$C$26*('E Balans VL '!D12+'E Balans VL '!E12)/100/3.6*1000000</f>
        <v>0</v>
      </c>
      <c r="K6" s="33"/>
      <c r="L6" s="33"/>
      <c r="M6" s="33"/>
      <c r="N6" s="33">
        <f>$C$26*'E Balans VL '!Y12/100/3.6*1000000</f>
        <v>15.036669558836513</v>
      </c>
      <c r="O6" s="33"/>
      <c r="P6" s="33"/>
      <c r="R6" s="32"/>
    </row>
    <row r="7" spans="1:18">
      <c r="A7" s="32" t="s">
        <v>53</v>
      </c>
      <c r="B7" s="37">
        <f t="shared" ref="B7:B12" si="0">B27</f>
        <v>3205.7300278545199</v>
      </c>
      <c r="C7" s="33"/>
      <c r="D7" s="37">
        <f>IF(ISERROR(TER_horeca_gas_kWh/1000),0,TER_horeca_gas_kWh/1000)*0.902</f>
        <v>5560.9771429821294</v>
      </c>
      <c r="E7" s="33">
        <f>$C$27*'E Balans VL '!I9/100/3.6*1000000</f>
        <v>180.57962953925303</v>
      </c>
      <c r="F7" s="33">
        <f>$C$27*('E Balans VL '!L9+'E Balans VL '!N9)/100/3.6*1000000</f>
        <v>924.3406168943942</v>
      </c>
      <c r="G7" s="34"/>
      <c r="H7" s="33"/>
      <c r="I7" s="33"/>
      <c r="J7" s="33">
        <f>$C$27*('E Balans VL '!D9+'E Balans VL '!E9)/100/3.6*1000000</f>
        <v>0</v>
      </c>
      <c r="K7" s="33"/>
      <c r="L7" s="33"/>
      <c r="M7" s="33"/>
      <c r="N7" s="33">
        <f>$C$27*'E Balans VL '!Y9/100/3.6*1000000</f>
        <v>0.88508540215005727</v>
      </c>
      <c r="O7" s="33"/>
      <c r="P7" s="33"/>
      <c r="R7" s="32"/>
    </row>
    <row r="8" spans="1:18">
      <c r="A8" s="6" t="s">
        <v>52</v>
      </c>
      <c r="B8" s="37">
        <f t="shared" si="0"/>
        <v>20444.3482157217</v>
      </c>
      <c r="C8" s="33"/>
      <c r="D8" s="37">
        <f>IF(ISERROR(TER_handel_gas_kWh/1000),0,TER_handel_gas_kWh/1000)*0.902</f>
        <v>21394.85803828112</v>
      </c>
      <c r="E8" s="33">
        <f>$C$28*'E Balans VL '!I13/100/3.6*1000000</f>
        <v>294.67241856233579</v>
      </c>
      <c r="F8" s="33">
        <f>$C$28*('E Balans VL '!L13+'E Balans VL '!N13)/100/3.6*1000000</f>
        <v>3551.6594018129927</v>
      </c>
      <c r="G8" s="34"/>
      <c r="H8" s="33"/>
      <c r="I8" s="33"/>
      <c r="J8" s="33">
        <f>$C$28*('E Balans VL '!D13+'E Balans VL '!E13)/100/3.6*1000000</f>
        <v>0</v>
      </c>
      <c r="K8" s="33"/>
      <c r="L8" s="33"/>
      <c r="M8" s="33"/>
      <c r="N8" s="33">
        <f>$C$28*'E Balans VL '!Y13/100/3.6*1000000</f>
        <v>61.253543166029722</v>
      </c>
      <c r="O8" s="33"/>
      <c r="P8" s="33"/>
      <c r="R8" s="32"/>
    </row>
    <row r="9" spans="1:18">
      <c r="A9" s="32" t="s">
        <v>51</v>
      </c>
      <c r="B9" s="37">
        <f t="shared" si="0"/>
        <v>493.737255993536</v>
      </c>
      <c r="C9" s="33"/>
      <c r="D9" s="37">
        <f>IF(ISERROR(TER_gezond_gas_kWh/1000),0,TER_gezond_gas_kWh/1000)*0.902</f>
        <v>1137.0236917601933</v>
      </c>
      <c r="E9" s="33">
        <f>$C$29*'E Balans VL '!I10/100/3.6*1000000</f>
        <v>0.52743936139822734</v>
      </c>
      <c r="F9" s="33">
        <f>$C$29*('E Balans VL '!L10+'E Balans VL '!N10)/100/3.6*1000000</f>
        <v>80.543551690830526</v>
      </c>
      <c r="G9" s="34"/>
      <c r="H9" s="33"/>
      <c r="I9" s="33"/>
      <c r="J9" s="33">
        <f>$C$29*('E Balans VL '!D10+'E Balans VL '!E10)/100/3.6*1000000</f>
        <v>0</v>
      </c>
      <c r="K9" s="33"/>
      <c r="L9" s="33"/>
      <c r="M9" s="33"/>
      <c r="N9" s="33">
        <f>$C$29*'E Balans VL '!Y10/100/3.6*1000000</f>
        <v>5.0827433295956013</v>
      </c>
      <c r="O9" s="33"/>
      <c r="P9" s="33"/>
      <c r="R9" s="32"/>
    </row>
    <row r="10" spans="1:18">
      <c r="A10" s="32" t="s">
        <v>50</v>
      </c>
      <c r="B10" s="37">
        <f t="shared" si="0"/>
        <v>6706.8253507162099</v>
      </c>
      <c r="C10" s="33"/>
      <c r="D10" s="37">
        <f>IF(ISERROR(TER_ander_gas_kWh/1000),0,TER_ander_gas_kWh/1000)*0.902</f>
        <v>4672.7287968824257</v>
      </c>
      <c r="E10" s="33">
        <f>$C$30*'E Balans VL '!I14/100/3.6*1000000</f>
        <v>30.843669604076048</v>
      </c>
      <c r="F10" s="33">
        <f>$C$30*('E Balans VL '!L14+'E Balans VL '!N14)/100/3.6*1000000</f>
        <v>2010.2471098951687</v>
      </c>
      <c r="G10" s="34"/>
      <c r="H10" s="33"/>
      <c r="I10" s="33"/>
      <c r="J10" s="33">
        <f>$C$30*('E Balans VL '!D14+'E Balans VL '!E14)/100/3.6*1000000</f>
        <v>0</v>
      </c>
      <c r="K10" s="33"/>
      <c r="L10" s="33"/>
      <c r="M10" s="33"/>
      <c r="N10" s="33">
        <f>$C$30*'E Balans VL '!Y14/100/3.6*1000000</f>
        <v>4668.3931667953229</v>
      </c>
      <c r="O10" s="33"/>
      <c r="P10" s="33"/>
      <c r="R10" s="32"/>
    </row>
    <row r="11" spans="1:18">
      <c r="A11" s="32" t="s">
        <v>55</v>
      </c>
      <c r="B11" s="37">
        <f t="shared" si="0"/>
        <v>764.63129546075902</v>
      </c>
      <c r="C11" s="33"/>
      <c r="D11" s="37">
        <f>IF(ISERROR(TER_onderwijs_gas_kWh/1000),0,TER_onderwijs_gas_kWh/1000)*0.902</f>
        <v>191.07717405172968</v>
      </c>
      <c r="E11" s="33">
        <f>$C$31*'E Balans VL '!I11/100/3.6*1000000</f>
        <v>0.70929608226731156</v>
      </c>
      <c r="F11" s="33">
        <f>$C$31*('E Balans VL '!L11+'E Balans VL '!N11)/100/3.6*1000000</f>
        <v>268.59740030852726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14542.4723339097</v>
      </c>
      <c r="C12" s="33"/>
      <c r="D12" s="37">
        <f>IF(ISERROR(TER_rest_gas_kWh/1000),0,TER_rest_gas_kWh/1000)*0.902</f>
        <v>17745.973365161663</v>
      </c>
      <c r="E12" s="33">
        <f>$C$32*'E Balans VL '!I8/100/3.6*1000000</f>
        <v>176.39295969015458</v>
      </c>
      <c r="F12" s="33">
        <f>$C$32*('E Balans VL '!L8+'E Balans VL '!N8)/100/3.6*1000000</f>
        <v>2877.6841060543838</v>
      </c>
      <c r="G12" s="34"/>
      <c r="H12" s="33"/>
      <c r="I12" s="33"/>
      <c r="J12" s="33">
        <f>$C$32*('E Balans VL '!D8+'E Balans VL '!E8)/100/3.6*1000000</f>
        <v>0</v>
      </c>
      <c r="K12" s="33"/>
      <c r="L12" s="33"/>
      <c r="M12" s="33"/>
      <c r="N12" s="33">
        <f>$C$32*'E Balans VL '!Y8/100/3.6*1000000</f>
        <v>1154.3849383143001</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73441.59390646033</v>
      </c>
      <c r="C16" s="21">
        <f t="shared" ca="1" si="1"/>
        <v>0</v>
      </c>
      <c r="D16" s="21">
        <f t="shared" ca="1" si="1"/>
        <v>74841.091837862361</v>
      </c>
      <c r="E16" s="21">
        <f t="shared" si="1"/>
        <v>789.72894419009867</v>
      </c>
      <c r="F16" s="21">
        <f t="shared" ca="1" si="1"/>
        <v>13862.697421236648</v>
      </c>
      <c r="G16" s="21">
        <f t="shared" si="1"/>
        <v>0</v>
      </c>
      <c r="H16" s="21">
        <f t="shared" si="1"/>
        <v>0</v>
      </c>
      <c r="I16" s="21">
        <f t="shared" si="1"/>
        <v>0</v>
      </c>
      <c r="J16" s="21">
        <f t="shared" si="1"/>
        <v>0</v>
      </c>
      <c r="K16" s="21">
        <f t="shared" si="1"/>
        <v>0</v>
      </c>
      <c r="L16" s="21">
        <f t="shared" ca="1" si="1"/>
        <v>0</v>
      </c>
      <c r="M16" s="21">
        <f t="shared" si="1"/>
        <v>0</v>
      </c>
      <c r="N16" s="21">
        <f t="shared" ca="1" si="1"/>
        <v>5905.0361465662354</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0.21112809040384251</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15505.583477685446</v>
      </c>
      <c r="C20" s="23">
        <f t="shared" ref="C20:P20" ca="1" si="2">C16*C18</f>
        <v>0</v>
      </c>
      <c r="D20" s="23">
        <f t="shared" ca="1" si="2"/>
        <v>15117.900551248198</v>
      </c>
      <c r="E20" s="23">
        <f t="shared" si="2"/>
        <v>179.2684703311524</v>
      </c>
      <c r="F20" s="23">
        <f t="shared" ca="1" si="2"/>
        <v>3701.3402114701853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27283.849426803903</v>
      </c>
      <c r="C26" s="39">
        <f>IF(ISERROR(B26*3.6/1000000/'E Balans VL '!Z12*100),0,B26*3.6/1000000/'E Balans VL '!Z12*100)</f>
        <v>0.57952247648743893</v>
      </c>
      <c r="D26" s="239" t="s">
        <v>692</v>
      </c>
      <c r="F26" s="6"/>
    </row>
    <row r="27" spans="1:18">
      <c r="A27" s="233" t="s">
        <v>53</v>
      </c>
      <c r="B27" s="33">
        <f>IF(ISERROR(TER_horeca_ele_kWh/1000),0,TER_horeca_ele_kWh/1000)</f>
        <v>3205.7300278545199</v>
      </c>
      <c r="C27" s="39">
        <f>IF(ISERROR(B27*3.6/1000000/'E Balans VL '!Z9*100),0,B27*3.6/1000000/'E Balans VL '!Z9*100)</f>
        <v>0.24926503281255372</v>
      </c>
      <c r="D27" s="239" t="s">
        <v>692</v>
      </c>
      <c r="F27" s="6"/>
    </row>
    <row r="28" spans="1:18">
      <c r="A28" s="173" t="s">
        <v>52</v>
      </c>
      <c r="B28" s="33">
        <f>IF(ISERROR(TER_handel_ele_kWh/1000),0,TER_handel_ele_kWh/1000)</f>
        <v>20444.3482157217</v>
      </c>
      <c r="C28" s="39">
        <f>IF(ISERROR(B28*3.6/1000000/'E Balans VL '!Z13*100),0,B28*3.6/1000000/'E Balans VL '!Z13*100)</f>
        <v>0.58493686304274461</v>
      </c>
      <c r="D28" s="239" t="s">
        <v>692</v>
      </c>
      <c r="F28" s="6"/>
    </row>
    <row r="29" spans="1:18">
      <c r="A29" s="233" t="s">
        <v>51</v>
      </c>
      <c r="B29" s="33">
        <f>IF(ISERROR(TER_gezond_ele_kWh/1000),0,TER_gezond_ele_kWh/1000)</f>
        <v>493.737255993536</v>
      </c>
      <c r="C29" s="39">
        <f>IF(ISERROR(B29*3.6/1000000/'E Balans VL '!Z10*100),0,B29*3.6/1000000/'E Balans VL '!Z10*100)</f>
        <v>5.3828833981137539E-2</v>
      </c>
      <c r="D29" s="239" t="s">
        <v>692</v>
      </c>
      <c r="F29" s="6"/>
    </row>
    <row r="30" spans="1:18">
      <c r="A30" s="233" t="s">
        <v>50</v>
      </c>
      <c r="B30" s="33">
        <f>IF(ISERROR(TER_ander_ele_kWh/1000),0,TER_ander_ele_kWh/1000)</f>
        <v>6706.8253507162099</v>
      </c>
      <c r="C30" s="39">
        <f>IF(ISERROR(B30*3.6/1000000/'E Balans VL '!Z14*100),0,B30*3.6/1000000/'E Balans VL '!Z14*100)</f>
        <v>0.49079026509276047</v>
      </c>
      <c r="D30" s="239" t="s">
        <v>692</v>
      </c>
      <c r="F30" s="6"/>
    </row>
    <row r="31" spans="1:18">
      <c r="A31" s="233" t="s">
        <v>55</v>
      </c>
      <c r="B31" s="33">
        <f>IF(ISERROR(TER_onderwijs_ele_kWh/1000),0,TER_onderwijs_ele_kWh/1000)</f>
        <v>764.63129546075902</v>
      </c>
      <c r="C31" s="39">
        <f>IF(ISERROR(B31*3.6/1000000/'E Balans VL '!Z11*100),0,B31*3.6/1000000/'E Balans VL '!Z11*100)</f>
        <v>0.15357676349283647</v>
      </c>
      <c r="D31" s="239" t="s">
        <v>692</v>
      </c>
    </row>
    <row r="32" spans="1:18">
      <c r="A32" s="233" t="s">
        <v>260</v>
      </c>
      <c r="B32" s="33">
        <f>IF(ISERROR(TER_rest_ele_kWh/1000),0,TER_rest_ele_kWh/1000)</f>
        <v>14542.4723339097</v>
      </c>
      <c r="C32" s="39">
        <f>IF(ISERROR(B32*3.6/1000000/'E Balans VL '!Z8*100),0,B32*3.6/1000000/'E Balans VL '!Z8*100)</f>
        <v>0.11851232414331495</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25283.950166524246</v>
      </c>
      <c r="C5" s="17">
        <f>IF(ISERROR('Eigen informatie GS &amp; warmtenet'!B59),0,'Eigen informatie GS &amp; warmtenet'!B59)</f>
        <v>0</v>
      </c>
      <c r="D5" s="30">
        <f>SUM(D6:D15)</f>
        <v>43976.500549195327</v>
      </c>
      <c r="E5" s="17">
        <f>SUM(E6:E15)</f>
        <v>1592.6003237122256</v>
      </c>
      <c r="F5" s="17">
        <f>SUM(F6:F15)</f>
        <v>6808.0749681278248</v>
      </c>
      <c r="G5" s="18"/>
      <c r="H5" s="17"/>
      <c r="I5" s="17"/>
      <c r="J5" s="17">
        <f>SUM(J6:J15)</f>
        <v>60.702226977050287</v>
      </c>
      <c r="K5" s="17"/>
      <c r="L5" s="17"/>
      <c r="M5" s="17"/>
      <c r="N5" s="17">
        <f>SUM(N6:N15)</f>
        <v>5392.5949574447059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177.19829163219799</v>
      </c>
      <c r="C8" s="33"/>
      <c r="D8" s="37">
        <f>IF( ISERROR(IND_metaal_Gas_kWH/1000),0,IND_metaal_Gas_kWH/1000)*0.902</f>
        <v>0</v>
      </c>
      <c r="E8" s="33">
        <f>C30*'E Balans VL '!I18/100/3.6*1000000</f>
        <v>5.0898000564674541</v>
      </c>
      <c r="F8" s="33">
        <f>C30*'E Balans VL '!L18/100/3.6*1000000+C30*'E Balans VL '!N18/100/3.6*1000000</f>
        <v>45.447953790740776</v>
      </c>
      <c r="G8" s="34"/>
      <c r="H8" s="33"/>
      <c r="I8" s="33"/>
      <c r="J8" s="40">
        <f>C30*'E Balans VL '!D18/100/3.6*1000000+C30*'E Balans VL '!E18/100/3.6*1000000</f>
        <v>0</v>
      </c>
      <c r="K8" s="33"/>
      <c r="L8" s="33"/>
      <c r="M8" s="33"/>
      <c r="N8" s="33">
        <f>C30*'E Balans VL '!Y18/100/3.6*1000000</f>
        <v>4.8112953307740653</v>
      </c>
      <c r="O8" s="33"/>
      <c r="P8" s="33"/>
      <c r="R8" s="32"/>
    </row>
    <row r="9" spans="1:18">
      <c r="A9" s="6" t="s">
        <v>33</v>
      </c>
      <c r="B9" s="37">
        <f t="shared" si="0"/>
        <v>853.6263154110319</v>
      </c>
      <c r="C9" s="33"/>
      <c r="D9" s="37">
        <f>IF( ISERROR(IND_andere_gas_kWh/1000),0,IND_andere_gas_kWh/1000)*0.902</f>
        <v>520.45914934633413</v>
      </c>
      <c r="E9" s="33">
        <f>C31*'E Balans VL '!I19/100/3.6*1000000</f>
        <v>231.05565543702374</v>
      </c>
      <c r="F9" s="33">
        <f>C31*'E Balans VL '!L19/100/3.6*1000000+C31*'E Balans VL '!N19/100/3.6*1000000</f>
        <v>568.60545859750334</v>
      </c>
      <c r="G9" s="34"/>
      <c r="H9" s="33"/>
      <c r="I9" s="33"/>
      <c r="J9" s="40">
        <f>C31*'E Balans VL '!D19/100/3.6*1000000+C31*'E Balans VL '!E19/100/3.6*1000000</f>
        <v>0</v>
      </c>
      <c r="K9" s="33"/>
      <c r="L9" s="33"/>
      <c r="M9" s="33"/>
      <c r="N9" s="33">
        <f>C31*'E Balans VL '!Y19/100/3.6*1000000</f>
        <v>278.69481203464346</v>
      </c>
      <c r="O9" s="33"/>
      <c r="P9" s="33"/>
      <c r="R9" s="32"/>
    </row>
    <row r="10" spans="1:18">
      <c r="A10" s="6" t="s">
        <v>41</v>
      </c>
      <c r="B10" s="37">
        <f t="shared" si="0"/>
        <v>412.54226381729899</v>
      </c>
      <c r="C10" s="33"/>
      <c r="D10" s="37">
        <f>IF( ISERROR(IND_voed_gas_kWh/1000),0,IND_voed_gas_kWh/1000)*0.902</f>
        <v>588.16683865141988</v>
      </c>
      <c r="E10" s="33">
        <f>C32*'E Balans VL '!I20/100/3.6*1000000</f>
        <v>33.647894828127214</v>
      </c>
      <c r="F10" s="33">
        <f>C32*'E Balans VL '!L20/100/3.6*1000000+C32*'E Balans VL '!N20/100/3.6*1000000</f>
        <v>615.1379444653536</v>
      </c>
      <c r="G10" s="34"/>
      <c r="H10" s="33"/>
      <c r="I10" s="33"/>
      <c r="J10" s="40">
        <f>C32*'E Balans VL '!D20/100/3.6*1000000+C32*'E Balans VL '!E20/100/3.6*1000000</f>
        <v>5.457433391171735E-3</v>
      </c>
      <c r="K10" s="33"/>
      <c r="L10" s="33"/>
      <c r="M10" s="33"/>
      <c r="N10" s="33">
        <f>C32*'E Balans VL '!Y20/100/3.6*1000000</f>
        <v>121.19036006268752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159.240996265517</v>
      </c>
      <c r="C13" s="33"/>
      <c r="D13" s="37">
        <f>IF( ISERROR(IND_papier_gas_kWh/1000),0,IND_papier_gas_kWh/1000)*0.902</f>
        <v>0</v>
      </c>
      <c r="E13" s="33">
        <f>C35*'E Balans VL '!I23/100/3.6*1000000</f>
        <v>1.6683395375724022</v>
      </c>
      <c r="F13" s="33">
        <f>C35*'E Balans VL '!L23/100/3.6*1000000+C35*'E Balans VL '!N23/100/3.6*1000000</f>
        <v>11.882591366167757</v>
      </c>
      <c r="G13" s="34"/>
      <c r="H13" s="33"/>
      <c r="I13" s="33"/>
      <c r="J13" s="40">
        <f>C35*'E Balans VL '!D23/100/3.6*1000000+C35*'E Balans VL '!E23/100/3.6*1000000</f>
        <v>0</v>
      </c>
      <c r="K13" s="33"/>
      <c r="L13" s="33"/>
      <c r="M13" s="33"/>
      <c r="N13" s="33">
        <f>C35*'E Balans VL '!Y23/100/3.6*1000000</f>
        <v>340.3610084473662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23681.342299398199</v>
      </c>
      <c r="C15" s="33"/>
      <c r="D15" s="37">
        <f>IF( ISERROR(IND_rest_gas_kWh/1000),0,IND_rest_gas_kWh/1000)*0.902</f>
        <v>42867.874561197576</v>
      </c>
      <c r="E15" s="33">
        <f>C37*'E Balans VL '!I15/100/3.6*1000000</f>
        <v>1321.1386338530349</v>
      </c>
      <c r="F15" s="33">
        <f>C37*'E Balans VL '!L15/100/3.6*1000000+C37*'E Balans VL '!N15/100/3.6*1000000</f>
        <v>5567.0010199080589</v>
      </c>
      <c r="G15" s="34"/>
      <c r="H15" s="33"/>
      <c r="I15" s="33"/>
      <c r="J15" s="40">
        <f>C37*'E Balans VL '!D15/100/3.6*1000000+C37*'E Balans VL '!E15/100/3.6*1000000</f>
        <v>60.696769543659116</v>
      </c>
      <c r="K15" s="33"/>
      <c r="L15" s="33"/>
      <c r="M15" s="33"/>
      <c r="N15" s="33">
        <f>C37*'E Balans VL '!Y15/100/3.6*1000000</f>
        <v>4647.5374815692348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25283.950166524246</v>
      </c>
      <c r="C18" s="21">
        <f>C5+C16</f>
        <v>0</v>
      </c>
      <c r="D18" s="21">
        <f>MAX((D5+D16),0)</f>
        <v>43976.500549195327</v>
      </c>
      <c r="E18" s="21">
        <f>MAX((E5+E16),0)</f>
        <v>1592.6003237122256</v>
      </c>
      <c r="F18" s="21">
        <f>MAX((F5+F16),0)</f>
        <v>6808.0749681278248</v>
      </c>
      <c r="G18" s="21"/>
      <c r="H18" s="21"/>
      <c r="I18" s="21"/>
      <c r="J18" s="21">
        <f>MAX((J5+J16),0)</f>
        <v>60.702226977050287</v>
      </c>
      <c r="K18" s="21"/>
      <c r="L18" s="21">
        <f>MAX((L5+L16),0)</f>
        <v>0</v>
      </c>
      <c r="M18" s="21"/>
      <c r="N18" s="21">
        <f>MAX((N5+N16),0)</f>
        <v>5392.5949574447059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0.21112809040384251</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5338.1521165241802</v>
      </c>
      <c r="C22" s="23">
        <f ca="1">C18*C20</f>
        <v>0</v>
      </c>
      <c r="D22" s="23">
        <f>D18*D20</f>
        <v>8883.2531109374559</v>
      </c>
      <c r="E22" s="23">
        <f>E18*E20</f>
        <v>361.52027348267524</v>
      </c>
      <c r="F22" s="23">
        <f>F18*F20</f>
        <v>1817.7560164901292</v>
      </c>
      <c r="G22" s="23"/>
      <c r="H22" s="23"/>
      <c r="I22" s="23"/>
      <c r="J22" s="23">
        <f>J18*J20</f>
        <v>21.488588349875801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177.19829163219799</v>
      </c>
      <c r="C30" s="39">
        <f>IF(ISERROR(B30*3.6/1000000/'E Balans VL '!Z18*100),0,B30*3.6/1000000/'E Balans VL '!Z18*100)</f>
        <v>1.7435859557555188E-2</v>
      </c>
      <c r="D30" s="239" t="s">
        <v>692</v>
      </c>
    </row>
    <row r="31" spans="1:18">
      <c r="A31" s="6" t="s">
        <v>33</v>
      </c>
      <c r="B31" s="37">
        <f>IF( ISERROR(IND_ander_ele_kWh/1000),0,IND_ander_ele_kWh/1000)</f>
        <v>853.6263154110319</v>
      </c>
      <c r="C31" s="39">
        <f>IF(ISERROR(B31*3.6/1000000/'E Balans VL '!Z19*100),0,B31*3.6/1000000/'E Balans VL '!Z19*100)</f>
        <v>3.7174745105146248E-2</v>
      </c>
      <c r="D31" s="239" t="s">
        <v>692</v>
      </c>
    </row>
    <row r="32" spans="1:18">
      <c r="A32" s="173" t="s">
        <v>41</v>
      </c>
      <c r="B32" s="37">
        <f>IF( ISERROR(IND_voed_ele_kWh/1000),0,IND_voed_ele_kWh/1000)</f>
        <v>412.54226381729899</v>
      </c>
      <c r="C32" s="39">
        <f>IF(ISERROR(B32*3.6/1000000/'E Balans VL '!Z20*100),0,B32*3.6/1000000/'E Balans VL '!Z20*100)</f>
        <v>7.827394505265925E-2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159.240996265517</v>
      </c>
      <c r="C35" s="39">
        <f>IF(ISERROR(B35*3.6/1000000/'E Balans VL '!Z22*100),0,B35*3.6/1000000/'E Balans VL '!Z22*100)</f>
        <v>2.2390883123174443E-2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23681.342299398199</v>
      </c>
      <c r="C37" s="39">
        <f>IF(ISERROR(B37*3.6/1000000/'E Balans VL '!Z15*100),0,B37*3.6/1000000/'E Balans VL '!Z15*100)</f>
        <v>0.18249382910080264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490.80057179987597</v>
      </c>
      <c r="C5" s="17">
        <f>'Eigen informatie GS &amp; warmtenet'!B60</f>
        <v>0</v>
      </c>
      <c r="D5" s="30">
        <f>IF(ISERROR(SUM(LB_lb_gas_kWh,LB_rest_gas_kWh,onbekend_gas_kWh)/1000),0,SUM(LB_lb_gas_kWh,LB_rest_gas_kWh,onbekend_gas_kWh)/1000)*0.902</f>
        <v>9183.1561608749471</v>
      </c>
      <c r="E5" s="17">
        <f>B17*'E Balans VL '!I25/3.6*1000000/100</f>
        <v>6.1847194843703859</v>
      </c>
      <c r="F5" s="17">
        <f>B17*('E Balans VL '!L25/3.6*1000000+'E Balans VL '!N25/3.6*1000000)/100</f>
        <v>1693.3849255995444</v>
      </c>
      <c r="G5" s="18"/>
      <c r="H5" s="17"/>
      <c r="I5" s="17"/>
      <c r="J5" s="17">
        <f>('E Balans VL '!D25+'E Balans VL '!E25)/3.6*1000000*landbouw!B17/100</f>
        <v>73.810826774710264</v>
      </c>
      <c r="K5" s="17"/>
      <c r="L5" s="17">
        <f>L6*(-1)</f>
        <v>0</v>
      </c>
      <c r="M5" s="17"/>
      <c r="N5" s="17">
        <f>N6*(-1)</f>
        <v>0</v>
      </c>
      <c r="O5" s="17"/>
      <c r="P5" s="17"/>
      <c r="R5" s="32"/>
    </row>
    <row r="6" spans="1:18">
      <c r="A6" s="16" t="s">
        <v>497</v>
      </c>
      <c r="B6" s="17" t="s">
        <v>211</v>
      </c>
      <c r="C6" s="17">
        <f>'lokale energieproductie'!O91+'lokale energieproductie'!O60</f>
        <v>1.875</v>
      </c>
      <c r="D6" s="312">
        <f>('lokale energieproductie'!P60+'lokale energieproductie'!P91)*(-1)</f>
        <v>-2.5</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490.80057179987597</v>
      </c>
      <c r="C8" s="21">
        <f>C5+C6</f>
        <v>1.875</v>
      </c>
      <c r="D8" s="21">
        <f>MAX((D5+D6),0)</f>
        <v>9180.6561608749471</v>
      </c>
      <c r="E8" s="21">
        <f>MAX((E5+E6),0)</f>
        <v>6.1847194843703859</v>
      </c>
      <c r="F8" s="21">
        <f>MAX((F5+F6),0)</f>
        <v>1693.3849255995444</v>
      </c>
      <c r="G8" s="21"/>
      <c r="H8" s="21"/>
      <c r="I8" s="21"/>
      <c r="J8" s="21">
        <f>MAX((J5+J6),0)</f>
        <v>73.810826774710264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0.21112809040384251</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103.6217874932218</v>
      </c>
      <c r="C12" s="23">
        <f ca="1">C8*C10</f>
        <v>0.42083333333333339</v>
      </c>
      <c r="D12" s="23">
        <f>D8*D10</f>
        <v>1854.4925444967394</v>
      </c>
      <c r="E12" s="23">
        <f>E8*E10</f>
        <v>1.4039313229520776</v>
      </c>
      <c r="F12" s="23">
        <f>F8*F10</f>
        <v>452.13377513507839</v>
      </c>
      <c r="G12" s="23"/>
      <c r="H12" s="23"/>
      <c r="I12" s="23"/>
      <c r="J12" s="23">
        <f>J8*J10</f>
        <v>26.129032678247434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6.8451210629985673E-2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53.354689641493721</v>
      </c>
      <c r="C26" s="249">
        <f>B26*'GWP N2O_CH4'!B5</f>
        <v>1120.4484824713682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7.9006780765748559</v>
      </c>
      <c r="C27" s="249">
        <f>B27*'GWP N2O_CH4'!B5</f>
        <v>165.91423960807197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1.0498499338191272</v>
      </c>
      <c r="C28" s="249">
        <f>B28*'GWP N2O_CH4'!B4</f>
        <v>325.45347948392941</v>
      </c>
      <c r="D28" s="50"/>
    </row>
    <row r="29" spans="1:4">
      <c r="A29" s="41" t="s">
        <v>277</v>
      </c>
      <c r="B29" s="249">
        <f>B34*'ha_N2O bodem landbouw'!B4</f>
        <v>8.9468494818290889</v>
      </c>
      <c r="C29" s="249">
        <f>B29*'GWP N2O_CH4'!B4</f>
        <v>2773.5233393670173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2.2339389161975445E-3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7.6867687176735837E-5</v>
      </c>
      <c r="C5" s="448" t="s">
        <v>211</v>
      </c>
      <c r="D5" s="433">
        <f>SUM(D6:D11)</f>
        <v>1.2535393469848658E-4</v>
      </c>
      <c r="E5" s="433">
        <f>SUM(E6:E11)</f>
        <v>4.4580818703305247E-3</v>
      </c>
      <c r="F5" s="446" t="s">
        <v>211</v>
      </c>
      <c r="G5" s="433">
        <f>SUM(G6:G11)</f>
        <v>1.0838221582843113</v>
      </c>
      <c r="H5" s="433">
        <f>SUM(H6:H11)</f>
        <v>0.19354776639490695</v>
      </c>
      <c r="I5" s="448" t="s">
        <v>211</v>
      </c>
      <c r="J5" s="448" t="s">
        <v>211</v>
      </c>
      <c r="K5" s="448" t="s">
        <v>211</v>
      </c>
      <c r="L5" s="448" t="s">
        <v>211</v>
      </c>
      <c r="M5" s="433">
        <f>SUM(M6:M11)</f>
        <v>5.7178640699559281E-2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1.3317979484920205E-5</v>
      </c>
      <c r="C6" s="949"/>
      <c r="D6" s="949">
        <f>vkm_2011_GW_PW*SUMIFS(TableVerdeelsleutelVkm[CNG],TableVerdeelsleutelVkm[Voertuigtype],"Lichte voertuigen")*SUMIFS(TableECFTransport[EnergieConsumptieFactor (PJ per km)],TableECFTransport[Index],CONCATENATE($A6,"_CNG_CNG"))</f>
        <v>1.8860863689257851E-5</v>
      </c>
      <c r="E6" s="949">
        <f>vkm_2011_GW_PW*SUMIFS(TableVerdeelsleutelVkm[LPG],TableVerdeelsleutelVkm[Voertuigtype],"Lichte voertuigen")*SUMIFS(TableECFTransport[EnergieConsumptieFactor (PJ per km)],TableECFTransport[Index],CONCATENATE($A6,"_LPG_LPG"))</f>
        <v>5.9235763687709312E-4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0.10646288730686849</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2.8607546362917926E-2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6.0274413591830927E-3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1.9789789828289023E-2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7.0508144310151787E-6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8.9303087732467965E-4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1.1990855717203233E-5</v>
      </c>
      <c r="C8" s="949"/>
      <c r="D8" s="436">
        <f>vkm_2011_NGW_PW*SUMIFS(TableVerdeelsleutelVkm[CNG],TableVerdeelsleutelVkm[Voertuigtype],"Lichte voertuigen")*SUMIFS(TableECFTransport[EnergieConsumptieFactor (PJ per km)],TableECFTransport[Index],CONCATENATE($A8,"_CNG_CNG"))</f>
        <v>3.0252648083717542E-5</v>
      </c>
      <c r="E8" s="436">
        <f>vkm_2011_NGW_PW*SUMIFS(TableVerdeelsleutelVkm[LPG],TableVerdeelsleutelVkm[Voertuigtype],"Lichte voertuigen")*SUMIFS(TableECFTransport[EnergieConsumptieFactor (PJ per km)],TableECFTransport[Index],CONCATENATE($A8,"_LPG_LPG"))</f>
        <v>8.7514108630112138E-4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0.14834490036817571</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4.4275703595550102E-2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8.5875989818907077E-3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2.5729617174418535E-2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8.6747332493360442E-6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1.1610494918432872E-3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5.1558851974612397E-5</v>
      </c>
      <c r="C10" s="949"/>
      <c r="D10" s="436">
        <f>vkm_2011_SW_PW*SUMIFS(TableVerdeelsleutelVkm[CNG],TableVerdeelsleutelVkm[Voertuigtype],"Lichte voertuigen")*SUMIFS(TableECFTransport[EnergieConsumptieFactor (PJ per km)],TableECFTransport[Index],CONCATENATE($A10,"_CNG_CNG"))</f>
        <v>7.6240422925511197E-5</v>
      </c>
      <c r="E10" s="436">
        <f>vkm_2011_SW_PW*SUMIFS(TableVerdeelsleutelVkm[LPG],TableVerdeelsleutelVkm[Voertuigtype],"Lichte voertuigen")*SUMIFS(TableECFTransport[EnergieConsumptieFactor (PJ per km)],TableECFTransport[Index],CONCATENATE($A10,"_LPG_LPG"))</f>
        <v>2.9905831471523101E-3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0.4867790186000352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0.12053478732850043</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2.7119609059182877E-2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0.29671594500652437</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1.1400356025814181E-4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1.3389910930134632E-2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21.352135326871068</v>
      </c>
      <c r="C14" s="21"/>
      <c r="D14" s="21">
        <f t="shared" ref="D14:M14" si="0">((D5)*10^9/3600)+D12</f>
        <v>34.820537416246275</v>
      </c>
      <c r="E14" s="21">
        <f t="shared" si="0"/>
        <v>1238.3560750918125</v>
      </c>
      <c r="F14" s="21"/>
      <c r="G14" s="21">
        <f t="shared" si="0"/>
        <v>301061.71063453093</v>
      </c>
      <c r="H14" s="21">
        <f t="shared" si="0"/>
        <v>53763.268443029709</v>
      </c>
      <c r="I14" s="21"/>
      <c r="J14" s="21"/>
      <c r="K14" s="21"/>
      <c r="L14" s="21"/>
      <c r="M14" s="21">
        <f t="shared" si="0"/>
        <v>15882.955749877578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0.21112809040384251</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4.5080355576067141</v>
      </c>
      <c r="C18" s="23"/>
      <c r="D18" s="23">
        <f t="shared" ref="D18:M18" si="1">D14*D16</f>
        <v>7.033748558081748</v>
      </c>
      <c r="E18" s="23">
        <f t="shared" si="1"/>
        <v>281.10682904584144</v>
      </c>
      <c r="F18" s="23"/>
      <c r="G18" s="23">
        <f t="shared" si="1"/>
        <v>80383.47673941977</v>
      </c>
      <c r="H18" s="23">
        <f t="shared" si="1"/>
        <v>13387.053842314397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1.7003829653294153E-2</v>
      </c>
      <c r="H50" s="323">
        <f t="shared" si="2"/>
        <v>0</v>
      </c>
      <c r="I50" s="323">
        <f t="shared" si="2"/>
        <v>0</v>
      </c>
      <c r="J50" s="323">
        <f t="shared" si="2"/>
        <v>0</v>
      </c>
      <c r="K50" s="323">
        <f t="shared" si="2"/>
        <v>0</v>
      </c>
      <c r="L50" s="323">
        <f t="shared" si="2"/>
        <v>0</v>
      </c>
      <c r="M50" s="323">
        <f t="shared" si="2"/>
        <v>7.5620189462743536E-4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1.7003829653294153E-2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7.5620189462743536E-4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4723.2860148039317</v>
      </c>
      <c r="H54" s="21">
        <f t="shared" si="3"/>
        <v>0</v>
      </c>
      <c r="I54" s="21">
        <f t="shared" si="3"/>
        <v>0</v>
      </c>
      <c r="J54" s="21">
        <f t="shared" si="3"/>
        <v>0</v>
      </c>
      <c r="K54" s="21">
        <f t="shared" si="3"/>
        <v>0</v>
      </c>
      <c r="L54" s="21">
        <f t="shared" si="3"/>
        <v>0</v>
      </c>
      <c r="M54" s="21">
        <f t="shared" si="3"/>
        <v>210.05608184095428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0.21112809040384251</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1261.1173659526498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7358.202167527068</v>
      </c>
      <c r="C6" s="1142"/>
      <c r="D6" s="1145"/>
      <c r="E6" s="1145"/>
      <c r="F6" s="1148"/>
      <c r="G6" s="1151"/>
      <c r="H6" s="1139"/>
      <c r="I6" s="1145"/>
      <c r="J6" s="1145"/>
      <c r="K6" s="1145"/>
      <c r="L6" s="1175"/>
      <c r="M6" s="561"/>
      <c r="N6" s="1187"/>
      <c r="O6" s="1188"/>
      <c r="Q6" s="559"/>
      <c r="R6" s="1172"/>
      <c r="S6" s="1172"/>
    </row>
    <row r="7" spans="1:19" s="549" customFormat="1">
      <c r="A7" s="562" t="s">
        <v>252</v>
      </c>
      <c r="B7" s="563">
        <f>N57</f>
        <v>0.375</v>
      </c>
      <c r="C7" s="564">
        <f>B100</f>
        <v>0.41666666666666663</v>
      </c>
      <c r="D7" s="565"/>
      <c r="E7" s="565">
        <f>E100</f>
        <v>0</v>
      </c>
      <c r="F7" s="566"/>
      <c r="G7" s="567"/>
      <c r="H7" s="565">
        <f>I100</f>
        <v>0</v>
      </c>
      <c r="I7" s="565">
        <f>G100+F100</f>
        <v>0</v>
      </c>
      <c r="J7" s="565">
        <f>H100+D100+C100</f>
        <v>0</v>
      </c>
      <c r="K7" s="565"/>
      <c r="L7" s="568"/>
      <c r="M7" s="569">
        <f>C7*$C$11+D7*$D$11+E7*$E$11+F7*$F$11+G7*$G$11+H7*$H$11+I7*$I$11+J7*$J$11</f>
        <v>8.4166666666666667E-2</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7358.577167527068</v>
      </c>
      <c r="C9" s="580">
        <f t="shared" ref="C9:L9" si="0">SUM(C7:C8)</f>
        <v>0.41666666666666663</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8.4166666666666667E-2</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1.875</v>
      </c>
      <c r="C16" s="596">
        <f>B101</f>
        <v>2.0833333333333335</v>
      </c>
      <c r="D16" s="597"/>
      <c r="E16" s="597">
        <f>E101</f>
        <v>0</v>
      </c>
      <c r="F16" s="598"/>
      <c r="G16" s="599"/>
      <c r="H16" s="596">
        <f>I101</f>
        <v>0</v>
      </c>
      <c r="I16" s="597">
        <f>G101+F101</f>
        <v>0</v>
      </c>
      <c r="J16" s="597">
        <f>H101+D101+C101</f>
        <v>0</v>
      </c>
      <c r="K16" s="597"/>
      <c r="L16" s="600"/>
      <c r="M16" s="601">
        <f>C16*$C$21+E16*$E$21+H16*$H$21+I16*$I$21+J16*$J$21+D16*$D$21+F16*$F$21+G16*$G$21+K16*$K$21+L16*$L$21</f>
        <v>0.42083333333333339</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1.875</v>
      </c>
      <c r="C19" s="579">
        <f>SUM(C16:C18)</f>
        <v>2.0833333333333335</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0.42083333333333339</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23025</v>
      </c>
      <c r="C27" s="839">
        <v>1850</v>
      </c>
      <c r="D27" s="658" t="s">
        <v>840</v>
      </c>
      <c r="E27" s="657" t="s">
        <v>841</v>
      </c>
      <c r="F27" s="657" t="s">
        <v>842</v>
      </c>
      <c r="G27" s="657" t="s">
        <v>843</v>
      </c>
      <c r="H27" s="657" t="s">
        <v>843</v>
      </c>
      <c r="I27" s="657" t="s">
        <v>841</v>
      </c>
      <c r="J27" s="838">
        <v>41051</v>
      </c>
      <c r="K27" s="838">
        <v>41579</v>
      </c>
      <c r="L27" s="657" t="s">
        <v>844</v>
      </c>
      <c r="M27" s="657">
        <v>1</v>
      </c>
      <c r="N27" s="657">
        <v>0.375</v>
      </c>
      <c r="O27" s="657">
        <v>1.875</v>
      </c>
      <c r="P27" s="657">
        <v>2.5</v>
      </c>
      <c r="Q27" s="657">
        <v>0</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v>
      </c>
      <c r="N57" s="615">
        <f>SUM(N27:N56)</f>
        <v>0.375</v>
      </c>
      <c r="O57" s="615">
        <f t="shared" ref="O57:W57" si="2">SUM(O27:O56)</f>
        <v>1.875</v>
      </c>
      <c r="P57" s="615">
        <f t="shared" si="2"/>
        <v>2.5</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v>
      </c>
      <c r="N60" s="620">
        <f t="shared" ref="N60:W60" si="4">SUMIF($Z$27:$Z$56,"landbouw",N27:N56)</f>
        <v>0.375</v>
      </c>
      <c r="O60" s="620">
        <f t="shared" si="4"/>
        <v>1.875</v>
      </c>
      <c r="P60" s="620">
        <f t="shared" si="4"/>
        <v>2.5</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0.83333333333333337</v>
      </c>
      <c r="C97" s="640">
        <f>IF(ISERROR(N57/(O57+N57)),0,N57/(N57+O57))</f>
        <v>0.16666666666666666</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0.41666666666666663</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2.0833333333333335</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76812.605906460332</v>
      </c>
      <c r="D10" s="704">
        <f ca="1">tertiair!C16</f>
        <v>0</v>
      </c>
      <c r="E10" s="704">
        <f ca="1">tertiair!D16</f>
        <v>74841.091837862361</v>
      </c>
      <c r="F10" s="704">
        <f>tertiair!E16</f>
        <v>789.72894419009867</v>
      </c>
      <c r="G10" s="704">
        <f ca="1">tertiair!F16</f>
        <v>13862.697421236648</v>
      </c>
      <c r="H10" s="704">
        <f>tertiair!G16</f>
        <v>0</v>
      </c>
      <c r="I10" s="704">
        <f>tertiair!H16</f>
        <v>0</v>
      </c>
      <c r="J10" s="704">
        <f>tertiair!I16</f>
        <v>0</v>
      </c>
      <c r="K10" s="704">
        <f>tertiair!J16</f>
        <v>0</v>
      </c>
      <c r="L10" s="704">
        <f>tertiair!K16</f>
        <v>0</v>
      </c>
      <c r="M10" s="704">
        <f ca="1">tertiair!L16</f>
        <v>0</v>
      </c>
      <c r="N10" s="704">
        <f>tertiair!M16</f>
        <v>0</v>
      </c>
      <c r="O10" s="704">
        <f ca="1">tertiair!N16</f>
        <v>5905.0361465662354</v>
      </c>
      <c r="P10" s="704">
        <f>tertiair!O16</f>
        <v>1.5633333333333335</v>
      </c>
      <c r="Q10" s="705">
        <f>tertiair!P16</f>
        <v>38.133333333333333</v>
      </c>
      <c r="R10" s="707">
        <f ca="1">SUM(C10:Q10)</f>
        <v>172250.85692298235</v>
      </c>
      <c r="S10" s="67"/>
    </row>
    <row r="11" spans="1:19" s="459" customFormat="1">
      <c r="A11" s="858" t="s">
        <v>225</v>
      </c>
      <c r="B11" s="863"/>
      <c r="C11" s="704">
        <f>huishoudens!B8</f>
        <v>62117.4135083035</v>
      </c>
      <c r="D11" s="704">
        <f>huishoudens!C8</f>
        <v>0</v>
      </c>
      <c r="E11" s="704">
        <f>huishoudens!D8</f>
        <v>170920.70592592799</v>
      </c>
      <c r="F11" s="704">
        <f>huishoudens!E8</f>
        <v>6488.8424273114879</v>
      </c>
      <c r="G11" s="704">
        <f>huishoudens!F8</f>
        <v>48983.213915737055</v>
      </c>
      <c r="H11" s="704">
        <f>huishoudens!G8</f>
        <v>0</v>
      </c>
      <c r="I11" s="704">
        <f>huishoudens!H8</f>
        <v>0</v>
      </c>
      <c r="J11" s="704">
        <f>huishoudens!I8</f>
        <v>0</v>
      </c>
      <c r="K11" s="704">
        <f>huishoudens!J8</f>
        <v>0</v>
      </c>
      <c r="L11" s="704">
        <f>huishoudens!K8</f>
        <v>0</v>
      </c>
      <c r="M11" s="704">
        <f>huishoudens!L8</f>
        <v>0</v>
      </c>
      <c r="N11" s="704">
        <f>huishoudens!M8</f>
        <v>0</v>
      </c>
      <c r="O11" s="704">
        <f>huishoudens!N8</f>
        <v>10478.978028741298</v>
      </c>
      <c r="P11" s="704">
        <f>huishoudens!O8</f>
        <v>212.61333333333334</v>
      </c>
      <c r="Q11" s="705">
        <f>huishoudens!P8</f>
        <v>838.93333333333339</v>
      </c>
      <c r="R11" s="707">
        <f>SUM(C11:Q11)</f>
        <v>300040.70047268801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25283.950166524246</v>
      </c>
      <c r="D13" s="704">
        <f>industrie!C18</f>
        <v>0</v>
      </c>
      <c r="E13" s="704">
        <f>industrie!D18</f>
        <v>43976.500549195327</v>
      </c>
      <c r="F13" s="704">
        <f>industrie!E18</f>
        <v>1592.6003237122256</v>
      </c>
      <c r="G13" s="704">
        <f>industrie!F18</f>
        <v>6808.0749681278248</v>
      </c>
      <c r="H13" s="704">
        <f>industrie!G18</f>
        <v>0</v>
      </c>
      <c r="I13" s="704">
        <f>industrie!H18</f>
        <v>0</v>
      </c>
      <c r="J13" s="704">
        <f>industrie!I18</f>
        <v>0</v>
      </c>
      <c r="K13" s="704">
        <f>industrie!J18</f>
        <v>60.702226977050287</v>
      </c>
      <c r="L13" s="704">
        <f>industrie!K18</f>
        <v>0</v>
      </c>
      <c r="M13" s="704">
        <f>industrie!L18</f>
        <v>0</v>
      </c>
      <c r="N13" s="704">
        <f>industrie!M18</f>
        <v>0</v>
      </c>
      <c r="O13" s="704">
        <f>industrie!N18</f>
        <v>5392.5949574447059</v>
      </c>
      <c r="P13" s="704">
        <f>industrie!O18</f>
        <v>0</v>
      </c>
      <c r="Q13" s="705">
        <f>industrie!P18</f>
        <v>0</v>
      </c>
      <c r="R13" s="707">
        <f>SUM(C13:Q13)</f>
        <v>83114.423191981376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164213.96958128808</v>
      </c>
      <c r="D15" s="709">
        <f t="shared" ref="D15:Q15" ca="1" si="0">SUM(D9:D14)</f>
        <v>0</v>
      </c>
      <c r="E15" s="709">
        <f t="shared" ca="1" si="0"/>
        <v>289738.29831298569</v>
      </c>
      <c r="F15" s="709">
        <f t="shared" si="0"/>
        <v>8871.1716952138122</v>
      </c>
      <c r="G15" s="709">
        <f t="shared" ca="1" si="0"/>
        <v>69653.986305101527</v>
      </c>
      <c r="H15" s="709">
        <f t="shared" si="0"/>
        <v>0</v>
      </c>
      <c r="I15" s="709">
        <f t="shared" si="0"/>
        <v>0</v>
      </c>
      <c r="J15" s="709">
        <f t="shared" si="0"/>
        <v>0</v>
      </c>
      <c r="K15" s="709">
        <f t="shared" si="0"/>
        <v>60.702226977050287</v>
      </c>
      <c r="L15" s="709">
        <f t="shared" si="0"/>
        <v>0</v>
      </c>
      <c r="M15" s="709">
        <f t="shared" ca="1" si="0"/>
        <v>0</v>
      </c>
      <c r="N15" s="709">
        <f t="shared" si="0"/>
        <v>0</v>
      </c>
      <c r="O15" s="709">
        <f t="shared" ca="1" si="0"/>
        <v>21776.609132752237</v>
      </c>
      <c r="P15" s="709">
        <f t="shared" si="0"/>
        <v>214.17666666666668</v>
      </c>
      <c r="Q15" s="710">
        <f t="shared" si="0"/>
        <v>877.06666666666672</v>
      </c>
      <c r="R15" s="711">
        <f ca="1">SUM(R9:R14)</f>
        <v>555405.98058765172</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4723.2860148039317</v>
      </c>
      <c r="I18" s="704">
        <f>transport!H54</f>
        <v>0</v>
      </c>
      <c r="J18" s="704">
        <f>transport!I54</f>
        <v>0</v>
      </c>
      <c r="K18" s="704">
        <f>transport!J54</f>
        <v>0</v>
      </c>
      <c r="L18" s="704">
        <f>transport!K54</f>
        <v>0</v>
      </c>
      <c r="M18" s="704">
        <f>transport!L54</f>
        <v>0</v>
      </c>
      <c r="N18" s="704">
        <f>transport!M54</f>
        <v>210.05608184095428</v>
      </c>
      <c r="O18" s="704">
        <f>transport!N54</f>
        <v>0</v>
      </c>
      <c r="P18" s="704">
        <f>transport!O54</f>
        <v>0</v>
      </c>
      <c r="Q18" s="705">
        <f>transport!P54</f>
        <v>0</v>
      </c>
      <c r="R18" s="707">
        <f>SUM(C18:Q18)</f>
        <v>4933.3420966448857</v>
      </c>
      <c r="S18" s="67"/>
    </row>
    <row r="19" spans="1:19" s="459" customFormat="1" ht="15" thickBot="1">
      <c r="A19" s="858" t="s">
        <v>307</v>
      </c>
      <c r="B19" s="863"/>
      <c r="C19" s="713">
        <f>transport!B14</f>
        <v>21.352135326871068</v>
      </c>
      <c r="D19" s="713">
        <f>transport!C14</f>
        <v>0</v>
      </c>
      <c r="E19" s="713">
        <f>transport!D14</f>
        <v>34.820537416246275</v>
      </c>
      <c r="F19" s="713">
        <f>transport!E14</f>
        <v>1238.3560750918125</v>
      </c>
      <c r="G19" s="713">
        <f>transport!F14</f>
        <v>0</v>
      </c>
      <c r="H19" s="713">
        <f>transport!G14</f>
        <v>301061.71063453093</v>
      </c>
      <c r="I19" s="713">
        <f>transport!H14</f>
        <v>53763.268443029709</v>
      </c>
      <c r="J19" s="713">
        <f>transport!I14</f>
        <v>0</v>
      </c>
      <c r="K19" s="713">
        <f>transport!J14</f>
        <v>0</v>
      </c>
      <c r="L19" s="713">
        <f>transport!K14</f>
        <v>0</v>
      </c>
      <c r="M19" s="713">
        <f>transport!L14</f>
        <v>0</v>
      </c>
      <c r="N19" s="713">
        <f>transport!M14</f>
        <v>15882.955749877578</v>
      </c>
      <c r="O19" s="713">
        <f>transport!N14</f>
        <v>0</v>
      </c>
      <c r="P19" s="713">
        <f>transport!O14</f>
        <v>0</v>
      </c>
      <c r="Q19" s="714">
        <f>transport!P14</f>
        <v>0</v>
      </c>
      <c r="R19" s="715">
        <f>SUM(C19:Q19)</f>
        <v>372002.46357527311</v>
      </c>
      <c r="S19" s="67"/>
    </row>
    <row r="20" spans="1:19" s="459" customFormat="1" ht="15.75" thickBot="1">
      <c r="A20" s="716" t="s">
        <v>230</v>
      </c>
      <c r="B20" s="866"/>
      <c r="C20" s="861">
        <f>SUM(C17:C19)</f>
        <v>21.352135326871068</v>
      </c>
      <c r="D20" s="717">
        <f t="shared" ref="D20:R20" si="1">SUM(D17:D19)</f>
        <v>0</v>
      </c>
      <c r="E20" s="717">
        <f t="shared" si="1"/>
        <v>34.820537416246275</v>
      </c>
      <c r="F20" s="717">
        <f t="shared" si="1"/>
        <v>1238.3560750918125</v>
      </c>
      <c r="G20" s="717">
        <f t="shared" si="1"/>
        <v>0</v>
      </c>
      <c r="H20" s="717">
        <f t="shared" si="1"/>
        <v>305784.99664933485</v>
      </c>
      <c r="I20" s="717">
        <f t="shared" si="1"/>
        <v>53763.268443029709</v>
      </c>
      <c r="J20" s="717">
        <f t="shared" si="1"/>
        <v>0</v>
      </c>
      <c r="K20" s="717">
        <f t="shared" si="1"/>
        <v>0</v>
      </c>
      <c r="L20" s="717">
        <f t="shared" si="1"/>
        <v>0</v>
      </c>
      <c r="M20" s="717">
        <f t="shared" si="1"/>
        <v>0</v>
      </c>
      <c r="N20" s="717">
        <f t="shared" si="1"/>
        <v>16093.011831718532</v>
      </c>
      <c r="O20" s="717">
        <f t="shared" si="1"/>
        <v>0</v>
      </c>
      <c r="P20" s="717">
        <f t="shared" si="1"/>
        <v>0</v>
      </c>
      <c r="Q20" s="718">
        <f t="shared" si="1"/>
        <v>0</v>
      </c>
      <c r="R20" s="719">
        <f t="shared" si="1"/>
        <v>376935.80567191797</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490.80057179987597</v>
      </c>
      <c r="D22" s="713">
        <f>+landbouw!C8</f>
        <v>1.875</v>
      </c>
      <c r="E22" s="713">
        <f>+landbouw!D8</f>
        <v>9180.6561608749471</v>
      </c>
      <c r="F22" s="713">
        <f>+landbouw!E8</f>
        <v>6.1847194843703859</v>
      </c>
      <c r="G22" s="713">
        <f>+landbouw!F8</f>
        <v>1693.3849255995444</v>
      </c>
      <c r="H22" s="713">
        <f>+landbouw!G8</f>
        <v>0</v>
      </c>
      <c r="I22" s="713">
        <f>+landbouw!H8</f>
        <v>0</v>
      </c>
      <c r="J22" s="713">
        <f>+landbouw!I8</f>
        <v>0</v>
      </c>
      <c r="K22" s="713">
        <f>+landbouw!J8</f>
        <v>73.810826774710264</v>
      </c>
      <c r="L22" s="713">
        <f>+landbouw!K8</f>
        <v>0</v>
      </c>
      <c r="M22" s="713">
        <f>+landbouw!L8</f>
        <v>0</v>
      </c>
      <c r="N22" s="713">
        <f>+landbouw!M8</f>
        <v>0</v>
      </c>
      <c r="O22" s="713">
        <f>+landbouw!N8</f>
        <v>0</v>
      </c>
      <c r="P22" s="713">
        <f>+landbouw!O8</f>
        <v>0</v>
      </c>
      <c r="Q22" s="714">
        <f>+landbouw!P8</f>
        <v>0</v>
      </c>
      <c r="R22" s="715">
        <f>SUM(C22:Q22)</f>
        <v>11446.712204533449</v>
      </c>
      <c r="S22" s="67"/>
    </row>
    <row r="23" spans="1:19" s="459" customFormat="1" ht="17.25" thickTop="1" thickBot="1">
      <c r="A23" s="720" t="s">
        <v>116</v>
      </c>
      <c r="B23" s="852"/>
      <c r="C23" s="721">
        <f ca="1">C20+C15+C22</f>
        <v>164726.12228841483</v>
      </c>
      <c r="D23" s="721">
        <f t="shared" ref="D23:Q23" ca="1" si="2">D20+D15+D22</f>
        <v>1.875</v>
      </c>
      <c r="E23" s="721">
        <f t="shared" ca="1" si="2"/>
        <v>298953.77501127688</v>
      </c>
      <c r="F23" s="721">
        <f t="shared" si="2"/>
        <v>10115.712489789996</v>
      </c>
      <c r="G23" s="721">
        <f t="shared" ca="1" si="2"/>
        <v>71347.371230701072</v>
      </c>
      <c r="H23" s="721">
        <f t="shared" si="2"/>
        <v>305784.99664933485</v>
      </c>
      <c r="I23" s="721">
        <f t="shared" si="2"/>
        <v>53763.268443029709</v>
      </c>
      <c r="J23" s="721">
        <f t="shared" si="2"/>
        <v>0</v>
      </c>
      <c r="K23" s="721">
        <f t="shared" si="2"/>
        <v>134.51305375176054</v>
      </c>
      <c r="L23" s="721">
        <f t="shared" si="2"/>
        <v>0</v>
      </c>
      <c r="M23" s="721">
        <f t="shared" ca="1" si="2"/>
        <v>0</v>
      </c>
      <c r="N23" s="721">
        <f t="shared" si="2"/>
        <v>16093.011831718532</v>
      </c>
      <c r="O23" s="721">
        <f t="shared" ca="1" si="2"/>
        <v>21776.609132752237</v>
      </c>
      <c r="P23" s="721">
        <f t="shared" si="2"/>
        <v>214.17666666666668</v>
      </c>
      <c r="Q23" s="722">
        <f t="shared" si="2"/>
        <v>877.06666666666672</v>
      </c>
      <c r="R23" s="723">
        <f ca="1">R20+R15+R22</f>
        <v>943788.49846410309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16217.298803973885</v>
      </c>
      <c r="D36" s="704">
        <f ca="1">tertiair!C20</f>
        <v>0</v>
      </c>
      <c r="E36" s="704">
        <f ca="1">tertiair!D20</f>
        <v>15117.900551248198</v>
      </c>
      <c r="F36" s="704">
        <f>tertiair!E20</f>
        <v>179.2684703311524</v>
      </c>
      <c r="G36" s="704">
        <f ca="1">tertiair!F20</f>
        <v>3701.3402114701853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35215.808037023417</v>
      </c>
    </row>
    <row r="37" spans="1:18">
      <c r="A37" s="873" t="s">
        <v>225</v>
      </c>
      <c r="B37" s="880"/>
      <c r="C37" s="704">
        <f ca="1">huishoudens!B12</f>
        <v>13114.730894833969</v>
      </c>
      <c r="D37" s="704">
        <f ca="1">huishoudens!C12</f>
        <v>0</v>
      </c>
      <c r="E37" s="704">
        <f>huishoudens!D12</f>
        <v>34525.982597037459</v>
      </c>
      <c r="F37" s="704">
        <f>huishoudens!E12</f>
        <v>1472.9672309997079</v>
      </c>
      <c r="G37" s="704">
        <f>huishoudens!F12</f>
        <v>13078.518115501794</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62192.198838372933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5338.1521165241802</v>
      </c>
      <c r="D39" s="704">
        <f ca="1">industrie!C22</f>
        <v>0</v>
      </c>
      <c r="E39" s="704">
        <f>industrie!D22</f>
        <v>8883.2531109374559</v>
      </c>
      <c r="F39" s="704">
        <f>industrie!E22</f>
        <v>361.52027348267524</v>
      </c>
      <c r="G39" s="704">
        <f>industrie!F22</f>
        <v>1817.7560164901292</v>
      </c>
      <c r="H39" s="704">
        <f>industrie!G22</f>
        <v>0</v>
      </c>
      <c r="I39" s="704">
        <f>industrie!H22</f>
        <v>0</v>
      </c>
      <c r="J39" s="704">
        <f>industrie!I22</f>
        <v>0</v>
      </c>
      <c r="K39" s="704">
        <f>industrie!J22</f>
        <v>21.488588349875801</v>
      </c>
      <c r="L39" s="704">
        <f>industrie!K22</f>
        <v>0</v>
      </c>
      <c r="M39" s="704">
        <f>industrie!L22</f>
        <v>0</v>
      </c>
      <c r="N39" s="704">
        <f>industrie!M22</f>
        <v>0</v>
      </c>
      <c r="O39" s="704">
        <f>industrie!N22</f>
        <v>0</v>
      </c>
      <c r="P39" s="704">
        <f>industrie!O22</f>
        <v>0</v>
      </c>
      <c r="Q39" s="814">
        <f>industrie!P22</f>
        <v>0</v>
      </c>
      <c r="R39" s="906">
        <f ca="1">SUM(C39:Q39)</f>
        <v>16422.170105784317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34670.181815332035</v>
      </c>
      <c r="D41" s="749">
        <f t="shared" ref="D41:R41" ca="1" si="4">SUM(D35:D40)</f>
        <v>0</v>
      </c>
      <c r="E41" s="749">
        <f t="shared" ca="1" si="4"/>
        <v>58527.136259223109</v>
      </c>
      <c r="F41" s="749">
        <f t="shared" si="4"/>
        <v>2013.7559748135357</v>
      </c>
      <c r="G41" s="749">
        <f t="shared" ca="1" si="4"/>
        <v>18597.614343462108</v>
      </c>
      <c r="H41" s="749">
        <f t="shared" si="4"/>
        <v>0</v>
      </c>
      <c r="I41" s="749">
        <f t="shared" si="4"/>
        <v>0</v>
      </c>
      <c r="J41" s="749">
        <f t="shared" si="4"/>
        <v>0</v>
      </c>
      <c r="K41" s="749">
        <f t="shared" si="4"/>
        <v>21.488588349875801</v>
      </c>
      <c r="L41" s="749">
        <f t="shared" si="4"/>
        <v>0</v>
      </c>
      <c r="M41" s="749">
        <f t="shared" ca="1" si="4"/>
        <v>0</v>
      </c>
      <c r="N41" s="749">
        <f t="shared" si="4"/>
        <v>0</v>
      </c>
      <c r="O41" s="749">
        <f t="shared" ca="1" si="4"/>
        <v>0</v>
      </c>
      <c r="P41" s="749">
        <f t="shared" si="4"/>
        <v>0</v>
      </c>
      <c r="Q41" s="750">
        <f t="shared" si="4"/>
        <v>0</v>
      </c>
      <c r="R41" s="751">
        <f t="shared" ca="1" si="4"/>
        <v>113830.17698118067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1261.1173659526498</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1261.1173659526498</v>
      </c>
    </row>
    <row r="45" spans="1:18" ht="15" thickBot="1">
      <c r="A45" s="876" t="s">
        <v>307</v>
      </c>
      <c r="B45" s="886"/>
      <c r="C45" s="713">
        <f ca="1">transport!B18</f>
        <v>4.5080355576067141</v>
      </c>
      <c r="D45" s="713">
        <f>transport!C18</f>
        <v>0</v>
      </c>
      <c r="E45" s="713">
        <f>transport!D18</f>
        <v>7.033748558081748</v>
      </c>
      <c r="F45" s="713">
        <f>transport!E18</f>
        <v>281.10682904584144</v>
      </c>
      <c r="G45" s="713">
        <f>transport!F18</f>
        <v>0</v>
      </c>
      <c r="H45" s="713">
        <f>transport!G18</f>
        <v>80383.47673941977</v>
      </c>
      <c r="I45" s="713">
        <f>transport!H18</f>
        <v>13387.053842314397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94063.179194895696</v>
      </c>
    </row>
    <row r="46" spans="1:18" ht="15.75" thickBot="1">
      <c r="A46" s="874" t="s">
        <v>230</v>
      </c>
      <c r="B46" s="887"/>
      <c r="C46" s="749">
        <f t="shared" ref="C46:R46" ca="1" si="5">SUM(C43:C45)</f>
        <v>4.5080355576067141</v>
      </c>
      <c r="D46" s="749">
        <f t="shared" ca="1" si="5"/>
        <v>0</v>
      </c>
      <c r="E46" s="749">
        <f t="shared" si="5"/>
        <v>7.033748558081748</v>
      </c>
      <c r="F46" s="749">
        <f t="shared" si="5"/>
        <v>281.10682904584144</v>
      </c>
      <c r="G46" s="749">
        <f t="shared" si="5"/>
        <v>0</v>
      </c>
      <c r="H46" s="749">
        <f t="shared" si="5"/>
        <v>81644.594105372424</v>
      </c>
      <c r="I46" s="749">
        <f t="shared" si="5"/>
        <v>13387.053842314397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95324.29656084835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103.6217874932218</v>
      </c>
      <c r="D48" s="704">
        <f ca="1">+landbouw!C12</f>
        <v>0.42083333333333339</v>
      </c>
      <c r="E48" s="704">
        <f>+landbouw!D12</f>
        <v>1854.4925444967394</v>
      </c>
      <c r="F48" s="704">
        <f>+landbouw!E12</f>
        <v>1.4039313229520776</v>
      </c>
      <c r="G48" s="704">
        <f>+landbouw!F12</f>
        <v>452.13377513507839</v>
      </c>
      <c r="H48" s="704">
        <f>+landbouw!G12</f>
        <v>0</v>
      </c>
      <c r="I48" s="704">
        <f>+landbouw!H12</f>
        <v>0</v>
      </c>
      <c r="J48" s="704">
        <f>+landbouw!I12</f>
        <v>0</v>
      </c>
      <c r="K48" s="704">
        <f>+landbouw!J12</f>
        <v>26.129032678247434</v>
      </c>
      <c r="L48" s="704">
        <f>+landbouw!K12</f>
        <v>0</v>
      </c>
      <c r="M48" s="704">
        <f>+landbouw!L12</f>
        <v>0</v>
      </c>
      <c r="N48" s="704">
        <f>+landbouw!M12</f>
        <v>0</v>
      </c>
      <c r="O48" s="704">
        <f>+landbouw!N12</f>
        <v>0</v>
      </c>
      <c r="P48" s="704">
        <f>+landbouw!O12</f>
        <v>0</v>
      </c>
      <c r="Q48" s="705">
        <f>+landbouw!P12</f>
        <v>0</v>
      </c>
      <c r="R48" s="747">
        <f ca="1">SUM(C48:Q48)</f>
        <v>2438.2019044595722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34778.31163838286</v>
      </c>
      <c r="D53" s="759">
        <f t="shared" ref="D53:Q53" ca="1" si="6">D41+D46+D48</f>
        <v>0.42083333333333339</v>
      </c>
      <c r="E53" s="759">
        <f t="shared" ca="1" si="6"/>
        <v>60388.662552277929</v>
      </c>
      <c r="F53" s="759">
        <f t="shared" si="6"/>
        <v>2296.2667351823293</v>
      </c>
      <c r="G53" s="759">
        <f t="shared" ca="1" si="6"/>
        <v>19049.748118597185</v>
      </c>
      <c r="H53" s="759">
        <f t="shared" si="6"/>
        <v>81644.594105372424</v>
      </c>
      <c r="I53" s="759">
        <f t="shared" si="6"/>
        <v>13387.053842314397</v>
      </c>
      <c r="J53" s="759">
        <f t="shared" si="6"/>
        <v>0</v>
      </c>
      <c r="K53" s="759">
        <f t="shared" si="6"/>
        <v>47.617621028123239</v>
      </c>
      <c r="L53" s="759">
        <f t="shared" si="6"/>
        <v>0</v>
      </c>
      <c r="M53" s="759">
        <f t="shared" ca="1" si="6"/>
        <v>0</v>
      </c>
      <c r="N53" s="759">
        <f t="shared" si="6"/>
        <v>0</v>
      </c>
      <c r="O53" s="759">
        <f t="shared" ca="1" si="6"/>
        <v>0</v>
      </c>
      <c r="P53" s="759">
        <f>P41+P46+P48</f>
        <v>0</v>
      </c>
      <c r="Q53" s="760">
        <f t="shared" si="6"/>
        <v>0</v>
      </c>
      <c r="R53" s="761">
        <f ca="1">R41+R46+R48</f>
        <v>211592.6754464886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0.21112809040384251</v>
      </c>
      <c r="D55" s="824">
        <f t="shared" ca="1" si="7"/>
        <v>0.22444444444444447</v>
      </c>
      <c r="E55" s="824">
        <f t="shared" ca="1" si="7"/>
        <v>0.20199999999999999</v>
      </c>
      <c r="F55" s="824">
        <f t="shared" si="7"/>
        <v>0.22700000000000004</v>
      </c>
      <c r="G55" s="824">
        <f t="shared" ca="1" si="7"/>
        <v>0.26699999999999996</v>
      </c>
      <c r="H55" s="824">
        <f t="shared" si="7"/>
        <v>0.26700000000000007</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7358.202167527068</v>
      </c>
      <c r="C66" s="781">
        <f>'lokale energieproductie'!B6</f>
        <v>7358.202167527068</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0.375</v>
      </c>
      <c r="C67" s="780">
        <f>B67*IFERROR(SUM(J67:L67)/SUM(D67:M67),0)</f>
        <v>0</v>
      </c>
      <c r="D67" s="812">
        <f>'lokale energieproductie'!C7</f>
        <v>0.41666666666666663</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8.4166666666666667E-2</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7358.577167527068</v>
      </c>
      <c r="C69" s="789">
        <f>SUM(C64:C68)</f>
        <v>7358.202167527068</v>
      </c>
      <c r="D69" s="790">
        <f t="shared" ref="D69:M69" si="8">SUM(D67:D68)</f>
        <v>0.41666666666666663</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8.4166666666666667E-2</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1.875</v>
      </c>
      <c r="C78" s="803">
        <f>B78*IFERROR(SUM(I78:L78)/SUM(D78:M78),0)</f>
        <v>0</v>
      </c>
      <c r="D78" s="818">
        <f>'lokale energieproductie'!C16</f>
        <v>2.0833333333333335</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0.42083333333333339</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1.875</v>
      </c>
      <c r="C81" s="789">
        <f>SUM(C78:C80)</f>
        <v>0</v>
      </c>
      <c r="D81" s="789">
        <f t="shared" ref="D81:P81" si="9">SUM(D78:D80)</f>
        <v>2.0833333333333335</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0.42083333333333339</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62117.4135083035</v>
      </c>
      <c r="C4" s="463">
        <f>huishoudens!C8</f>
        <v>0</v>
      </c>
      <c r="D4" s="463">
        <f>huishoudens!D8</f>
        <v>170920.70592592799</v>
      </c>
      <c r="E4" s="463">
        <f>huishoudens!E8</f>
        <v>6488.8424273114879</v>
      </c>
      <c r="F4" s="463">
        <f>huishoudens!F8</f>
        <v>48983.213915737055</v>
      </c>
      <c r="G4" s="463">
        <f>huishoudens!G8</f>
        <v>0</v>
      </c>
      <c r="H4" s="463">
        <f>huishoudens!H8</f>
        <v>0</v>
      </c>
      <c r="I4" s="463">
        <f>huishoudens!I8</f>
        <v>0</v>
      </c>
      <c r="J4" s="463">
        <f>huishoudens!J8</f>
        <v>0</v>
      </c>
      <c r="K4" s="463">
        <f>huishoudens!K8</f>
        <v>0</v>
      </c>
      <c r="L4" s="463">
        <f>huishoudens!L8</f>
        <v>0</v>
      </c>
      <c r="M4" s="463">
        <f>huishoudens!M8</f>
        <v>0</v>
      </c>
      <c r="N4" s="463">
        <f>huishoudens!N8</f>
        <v>10478.978028741298</v>
      </c>
      <c r="O4" s="463">
        <f>huishoudens!O8</f>
        <v>212.61333333333334</v>
      </c>
      <c r="P4" s="464">
        <f>huishoudens!P8</f>
        <v>838.93333333333339</v>
      </c>
      <c r="Q4" s="465">
        <f>SUM(B4:P4)</f>
        <v>300040.70047268801</v>
      </c>
    </row>
    <row r="5" spans="1:17">
      <c r="A5" s="462" t="s">
        <v>156</v>
      </c>
      <c r="B5" s="463">
        <f ca="1">tertiair!B16</f>
        <v>73441.59390646033</v>
      </c>
      <c r="C5" s="463">
        <f ca="1">tertiair!C16</f>
        <v>0</v>
      </c>
      <c r="D5" s="463">
        <f ca="1">tertiair!D16</f>
        <v>74841.091837862361</v>
      </c>
      <c r="E5" s="463">
        <f>tertiair!E16</f>
        <v>789.72894419009867</v>
      </c>
      <c r="F5" s="463">
        <f ca="1">tertiair!F16</f>
        <v>13862.697421236648</v>
      </c>
      <c r="G5" s="463">
        <f>tertiair!G16</f>
        <v>0</v>
      </c>
      <c r="H5" s="463">
        <f>tertiair!H16</f>
        <v>0</v>
      </c>
      <c r="I5" s="463">
        <f>tertiair!I16</f>
        <v>0</v>
      </c>
      <c r="J5" s="463">
        <f>tertiair!J16</f>
        <v>0</v>
      </c>
      <c r="K5" s="463">
        <f>tertiair!K16</f>
        <v>0</v>
      </c>
      <c r="L5" s="463">
        <f ca="1">tertiair!L16</f>
        <v>0</v>
      </c>
      <c r="M5" s="463">
        <f>tertiair!M16</f>
        <v>0</v>
      </c>
      <c r="N5" s="463">
        <f ca="1">tertiair!N16</f>
        <v>5905.0361465662354</v>
      </c>
      <c r="O5" s="463">
        <f>tertiair!O16</f>
        <v>1.5633333333333335</v>
      </c>
      <c r="P5" s="464">
        <f>tertiair!P16</f>
        <v>38.133333333333333</v>
      </c>
      <c r="Q5" s="462">
        <f t="shared" ref="Q5:Q13" ca="1" si="0">SUM(B5:P5)</f>
        <v>168879.84492298236</v>
      </c>
    </row>
    <row r="6" spans="1:17">
      <c r="A6" s="462" t="s">
        <v>194</v>
      </c>
      <c r="B6" s="463">
        <f>'openbare verlichting'!B8</f>
        <v>3371.0120000000002</v>
      </c>
      <c r="C6" s="463"/>
      <c r="D6" s="463"/>
      <c r="E6" s="463"/>
      <c r="F6" s="463"/>
      <c r="G6" s="463"/>
      <c r="H6" s="463"/>
      <c r="I6" s="463"/>
      <c r="J6" s="463"/>
      <c r="K6" s="463"/>
      <c r="L6" s="463"/>
      <c r="M6" s="463"/>
      <c r="N6" s="463"/>
      <c r="O6" s="463"/>
      <c r="P6" s="464"/>
      <c r="Q6" s="462">
        <f t="shared" si="0"/>
        <v>3371.0120000000002</v>
      </c>
    </row>
    <row r="7" spans="1:17">
      <c r="A7" s="462" t="s">
        <v>112</v>
      </c>
      <c r="B7" s="463">
        <f>landbouw!B8</f>
        <v>490.80057179987597</v>
      </c>
      <c r="C7" s="463">
        <f>landbouw!C8</f>
        <v>1.875</v>
      </c>
      <c r="D7" s="463">
        <f>landbouw!D8</f>
        <v>9180.6561608749471</v>
      </c>
      <c r="E7" s="463">
        <f>landbouw!E8</f>
        <v>6.1847194843703859</v>
      </c>
      <c r="F7" s="463">
        <f>landbouw!F8</f>
        <v>1693.3849255995444</v>
      </c>
      <c r="G7" s="463">
        <f>landbouw!G8</f>
        <v>0</v>
      </c>
      <c r="H7" s="463">
        <f>landbouw!H8</f>
        <v>0</v>
      </c>
      <c r="I7" s="463">
        <f>landbouw!I8</f>
        <v>0</v>
      </c>
      <c r="J7" s="463">
        <f>landbouw!J8</f>
        <v>73.810826774710264</v>
      </c>
      <c r="K7" s="463">
        <f>landbouw!K8</f>
        <v>0</v>
      </c>
      <c r="L7" s="463">
        <f>landbouw!L8</f>
        <v>0</v>
      </c>
      <c r="M7" s="463">
        <f>landbouw!M8</f>
        <v>0</v>
      </c>
      <c r="N7" s="463">
        <f>landbouw!N8</f>
        <v>0</v>
      </c>
      <c r="O7" s="463">
        <f>landbouw!O8</f>
        <v>0</v>
      </c>
      <c r="P7" s="464">
        <f>landbouw!P8</f>
        <v>0</v>
      </c>
      <c r="Q7" s="462">
        <f t="shared" si="0"/>
        <v>11446.712204533449</v>
      </c>
    </row>
    <row r="8" spans="1:17">
      <c r="A8" s="462" t="s">
        <v>657</v>
      </c>
      <c r="B8" s="463">
        <f>industrie!B18</f>
        <v>25283.950166524246</v>
      </c>
      <c r="C8" s="463">
        <f>industrie!C18</f>
        <v>0</v>
      </c>
      <c r="D8" s="463">
        <f>industrie!D18</f>
        <v>43976.500549195327</v>
      </c>
      <c r="E8" s="463">
        <f>industrie!E18</f>
        <v>1592.6003237122256</v>
      </c>
      <c r="F8" s="463">
        <f>industrie!F18</f>
        <v>6808.0749681278248</v>
      </c>
      <c r="G8" s="463">
        <f>industrie!G18</f>
        <v>0</v>
      </c>
      <c r="H8" s="463">
        <f>industrie!H18</f>
        <v>0</v>
      </c>
      <c r="I8" s="463">
        <f>industrie!I18</f>
        <v>0</v>
      </c>
      <c r="J8" s="463">
        <f>industrie!J18</f>
        <v>60.702226977050287</v>
      </c>
      <c r="K8" s="463">
        <f>industrie!K18</f>
        <v>0</v>
      </c>
      <c r="L8" s="463">
        <f>industrie!L18</f>
        <v>0</v>
      </c>
      <c r="M8" s="463">
        <f>industrie!M18</f>
        <v>0</v>
      </c>
      <c r="N8" s="463">
        <f>industrie!N18</f>
        <v>5392.5949574447059</v>
      </c>
      <c r="O8" s="463">
        <f>industrie!O18</f>
        <v>0</v>
      </c>
      <c r="P8" s="464">
        <f>industrie!P18</f>
        <v>0</v>
      </c>
      <c r="Q8" s="462">
        <f t="shared" si="0"/>
        <v>83114.423191981376</v>
      </c>
    </row>
    <row r="9" spans="1:17" s="468" customFormat="1">
      <c r="A9" s="466" t="s">
        <v>574</v>
      </c>
      <c r="B9" s="467">
        <f>transport!B14</f>
        <v>21.352135326871068</v>
      </c>
      <c r="C9" s="467">
        <f>transport!C14</f>
        <v>0</v>
      </c>
      <c r="D9" s="467">
        <f>transport!D14</f>
        <v>34.820537416246275</v>
      </c>
      <c r="E9" s="467">
        <f>transport!E14</f>
        <v>1238.3560750918125</v>
      </c>
      <c r="F9" s="467">
        <f>transport!F14</f>
        <v>0</v>
      </c>
      <c r="G9" s="467">
        <f>transport!G14</f>
        <v>301061.71063453093</v>
      </c>
      <c r="H9" s="467">
        <f>transport!H14</f>
        <v>53763.268443029709</v>
      </c>
      <c r="I9" s="467">
        <f>transport!I14</f>
        <v>0</v>
      </c>
      <c r="J9" s="467">
        <f>transport!J14</f>
        <v>0</v>
      </c>
      <c r="K9" s="467">
        <f>transport!K14</f>
        <v>0</v>
      </c>
      <c r="L9" s="467">
        <f>transport!L14</f>
        <v>0</v>
      </c>
      <c r="M9" s="467">
        <f>transport!M14</f>
        <v>15882.955749877578</v>
      </c>
      <c r="N9" s="467">
        <f>transport!N14</f>
        <v>0</v>
      </c>
      <c r="O9" s="467">
        <f>transport!O14</f>
        <v>0</v>
      </c>
      <c r="P9" s="467">
        <f>transport!P14</f>
        <v>0</v>
      </c>
      <c r="Q9" s="466">
        <f>SUM(B9:P9)</f>
        <v>372002.46357527311</v>
      </c>
    </row>
    <row r="10" spans="1:17">
      <c r="A10" s="462" t="s">
        <v>564</v>
      </c>
      <c r="B10" s="463">
        <f>transport!B54</f>
        <v>0</v>
      </c>
      <c r="C10" s="463">
        <f>transport!C54</f>
        <v>0</v>
      </c>
      <c r="D10" s="463">
        <f>transport!D54</f>
        <v>0</v>
      </c>
      <c r="E10" s="463">
        <f>transport!E54</f>
        <v>0</v>
      </c>
      <c r="F10" s="463">
        <f>transport!F54</f>
        <v>0</v>
      </c>
      <c r="G10" s="463">
        <f>transport!G54</f>
        <v>4723.2860148039317</v>
      </c>
      <c r="H10" s="463">
        <f>transport!H54</f>
        <v>0</v>
      </c>
      <c r="I10" s="463">
        <f>transport!I54</f>
        <v>0</v>
      </c>
      <c r="J10" s="463">
        <f>transport!J54</f>
        <v>0</v>
      </c>
      <c r="K10" s="463">
        <f>transport!K54</f>
        <v>0</v>
      </c>
      <c r="L10" s="463">
        <f>transport!L54</f>
        <v>0</v>
      </c>
      <c r="M10" s="463">
        <f>transport!M54</f>
        <v>210.05608184095428</v>
      </c>
      <c r="N10" s="463">
        <f>transport!N54</f>
        <v>0</v>
      </c>
      <c r="O10" s="463">
        <f>transport!O54</f>
        <v>0</v>
      </c>
      <c r="P10" s="464">
        <f>transport!P54</f>
        <v>0</v>
      </c>
      <c r="Q10" s="462">
        <f t="shared" si="0"/>
        <v>4933.3420966448857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164726.1222884148</v>
      </c>
      <c r="C14" s="473">
        <f t="shared" ref="C14:Q14" ca="1" si="1">SUM(C4:C13)</f>
        <v>1.875</v>
      </c>
      <c r="D14" s="473">
        <f t="shared" ca="1" si="1"/>
        <v>298953.77501127688</v>
      </c>
      <c r="E14" s="473">
        <f t="shared" si="1"/>
        <v>10115.712489789996</v>
      </c>
      <c r="F14" s="473">
        <f t="shared" ca="1" si="1"/>
        <v>71347.371230701072</v>
      </c>
      <c r="G14" s="473">
        <f t="shared" si="1"/>
        <v>305784.99664933485</v>
      </c>
      <c r="H14" s="473">
        <f t="shared" si="1"/>
        <v>53763.268443029709</v>
      </c>
      <c r="I14" s="473">
        <f t="shared" si="1"/>
        <v>0</v>
      </c>
      <c r="J14" s="473">
        <f t="shared" si="1"/>
        <v>134.51305375176054</v>
      </c>
      <c r="K14" s="473">
        <f t="shared" si="1"/>
        <v>0</v>
      </c>
      <c r="L14" s="473">
        <f t="shared" ca="1" si="1"/>
        <v>0</v>
      </c>
      <c r="M14" s="473">
        <f t="shared" si="1"/>
        <v>16093.011831718532</v>
      </c>
      <c r="N14" s="473">
        <f t="shared" ca="1" si="1"/>
        <v>21776.609132752237</v>
      </c>
      <c r="O14" s="473">
        <f t="shared" si="1"/>
        <v>214.17666666666668</v>
      </c>
      <c r="P14" s="474">
        <f t="shared" si="1"/>
        <v>877.06666666666672</v>
      </c>
      <c r="Q14" s="474">
        <f t="shared" ca="1" si="1"/>
        <v>943788.49846410309</v>
      </c>
    </row>
    <row r="16" spans="1:17">
      <c r="A16" s="476" t="s">
        <v>569</v>
      </c>
      <c r="B16" s="829">
        <f ca="1">huishoudens!B10</f>
        <v>0.21112809040384251</v>
      </c>
      <c r="C16" s="829">
        <f ca="1">huishoudens!C10</f>
        <v>0.22444444444444447</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13114.730894833969</v>
      </c>
      <c r="C21" s="463">
        <f t="shared" ref="C21:C30" ca="1" si="3">C4*$C$16</f>
        <v>0</v>
      </c>
      <c r="D21" s="463">
        <f t="shared" ref="D21:D30" si="4">D4*$D$16</f>
        <v>34525.982597037459</v>
      </c>
      <c r="E21" s="463">
        <f t="shared" ref="E21:E30" si="5">E4*$E$16</f>
        <v>1472.9672309997079</v>
      </c>
      <c r="F21" s="463">
        <f t="shared" ref="F21:F30" si="6">F4*$F$16</f>
        <v>13078.518115501794</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62192.198838372933</v>
      </c>
    </row>
    <row r="22" spans="1:17">
      <c r="A22" s="462" t="s">
        <v>156</v>
      </c>
      <c r="B22" s="463">
        <f t="shared" ca="1" si="2"/>
        <v>15505.583477685446</v>
      </c>
      <c r="C22" s="463">
        <f t="shared" ca="1" si="3"/>
        <v>0</v>
      </c>
      <c r="D22" s="463">
        <f t="shared" ca="1" si="4"/>
        <v>15117.900551248198</v>
      </c>
      <c r="E22" s="463">
        <f t="shared" si="5"/>
        <v>179.2684703311524</v>
      </c>
      <c r="F22" s="463">
        <f t="shared" ca="1" si="6"/>
        <v>3701.3402114701853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34504.092710734978</v>
      </c>
    </row>
    <row r="23" spans="1:17">
      <c r="A23" s="462" t="s">
        <v>194</v>
      </c>
      <c r="B23" s="463">
        <f t="shared" ca="1" si="2"/>
        <v>711.71532628843795</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711.71532628843795</v>
      </c>
    </row>
    <row r="24" spans="1:17">
      <c r="A24" s="462" t="s">
        <v>112</v>
      </c>
      <c r="B24" s="463">
        <f t="shared" ca="1" si="2"/>
        <v>103.6217874932218</v>
      </c>
      <c r="C24" s="463">
        <f t="shared" ca="1" si="3"/>
        <v>0.42083333333333339</v>
      </c>
      <c r="D24" s="463">
        <f t="shared" si="4"/>
        <v>1854.4925444967394</v>
      </c>
      <c r="E24" s="463">
        <f t="shared" si="5"/>
        <v>1.4039313229520776</v>
      </c>
      <c r="F24" s="463">
        <f t="shared" si="6"/>
        <v>452.13377513507839</v>
      </c>
      <c r="G24" s="463">
        <f t="shared" si="7"/>
        <v>0</v>
      </c>
      <c r="H24" s="463">
        <f t="shared" si="8"/>
        <v>0</v>
      </c>
      <c r="I24" s="463">
        <f t="shared" si="9"/>
        <v>0</v>
      </c>
      <c r="J24" s="463">
        <f t="shared" si="10"/>
        <v>26.129032678247434</v>
      </c>
      <c r="K24" s="463">
        <f t="shared" si="11"/>
        <v>0</v>
      </c>
      <c r="L24" s="463">
        <f t="shared" si="12"/>
        <v>0</v>
      </c>
      <c r="M24" s="463">
        <f t="shared" si="13"/>
        <v>0</v>
      </c>
      <c r="N24" s="463">
        <f t="shared" si="14"/>
        <v>0</v>
      </c>
      <c r="O24" s="463">
        <f t="shared" si="15"/>
        <v>0</v>
      </c>
      <c r="P24" s="464">
        <f t="shared" si="16"/>
        <v>0</v>
      </c>
      <c r="Q24" s="462">
        <f t="shared" ca="1" si="17"/>
        <v>2438.2019044595722</v>
      </c>
    </row>
    <row r="25" spans="1:17">
      <c r="A25" s="462" t="s">
        <v>657</v>
      </c>
      <c r="B25" s="463">
        <f t="shared" ca="1" si="2"/>
        <v>5338.1521165241802</v>
      </c>
      <c r="C25" s="463">
        <f t="shared" ca="1" si="3"/>
        <v>0</v>
      </c>
      <c r="D25" s="463">
        <f t="shared" si="4"/>
        <v>8883.2531109374559</v>
      </c>
      <c r="E25" s="463">
        <f t="shared" si="5"/>
        <v>361.52027348267524</v>
      </c>
      <c r="F25" s="463">
        <f t="shared" si="6"/>
        <v>1817.7560164901292</v>
      </c>
      <c r="G25" s="463">
        <f t="shared" si="7"/>
        <v>0</v>
      </c>
      <c r="H25" s="463">
        <f t="shared" si="8"/>
        <v>0</v>
      </c>
      <c r="I25" s="463">
        <f t="shared" si="9"/>
        <v>0</v>
      </c>
      <c r="J25" s="463">
        <f t="shared" si="10"/>
        <v>21.488588349875801</v>
      </c>
      <c r="K25" s="463">
        <f t="shared" si="11"/>
        <v>0</v>
      </c>
      <c r="L25" s="463">
        <f t="shared" si="12"/>
        <v>0</v>
      </c>
      <c r="M25" s="463">
        <f t="shared" si="13"/>
        <v>0</v>
      </c>
      <c r="N25" s="463">
        <f t="shared" si="14"/>
        <v>0</v>
      </c>
      <c r="O25" s="463">
        <f t="shared" si="15"/>
        <v>0</v>
      </c>
      <c r="P25" s="464">
        <f t="shared" si="16"/>
        <v>0</v>
      </c>
      <c r="Q25" s="462">
        <f t="shared" ca="1" si="17"/>
        <v>16422.170105784317</v>
      </c>
    </row>
    <row r="26" spans="1:17" s="468" customFormat="1">
      <c r="A26" s="466" t="s">
        <v>574</v>
      </c>
      <c r="B26" s="823">
        <f t="shared" ca="1" si="2"/>
        <v>4.5080355576067141</v>
      </c>
      <c r="C26" s="467">
        <f t="shared" ca="1" si="3"/>
        <v>0</v>
      </c>
      <c r="D26" s="467">
        <f t="shared" si="4"/>
        <v>7.033748558081748</v>
      </c>
      <c r="E26" s="467">
        <f t="shared" si="5"/>
        <v>281.10682904584144</v>
      </c>
      <c r="F26" s="467">
        <f t="shared" si="6"/>
        <v>0</v>
      </c>
      <c r="G26" s="467">
        <f t="shared" si="7"/>
        <v>80383.47673941977</v>
      </c>
      <c r="H26" s="467">
        <f t="shared" si="8"/>
        <v>13387.053842314397</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94063.179194895696</v>
      </c>
    </row>
    <row r="27" spans="1:17">
      <c r="A27" s="462" t="s">
        <v>564</v>
      </c>
      <c r="B27" s="463">
        <f t="shared" ca="1" si="2"/>
        <v>0</v>
      </c>
      <c r="C27" s="463">
        <f t="shared" ca="1" si="3"/>
        <v>0</v>
      </c>
      <c r="D27" s="463">
        <f t="shared" si="4"/>
        <v>0</v>
      </c>
      <c r="E27" s="463">
        <f t="shared" si="5"/>
        <v>0</v>
      </c>
      <c r="F27" s="463">
        <f t="shared" si="6"/>
        <v>0</v>
      </c>
      <c r="G27" s="463">
        <f t="shared" si="7"/>
        <v>1261.1173659526498</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1261.1173659526498</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34778.311638382867</v>
      </c>
      <c r="C31" s="473">
        <f t="shared" ca="1" si="18"/>
        <v>0.42083333333333339</v>
      </c>
      <c r="D31" s="473">
        <f t="shared" ca="1" si="18"/>
        <v>60388.662552277929</v>
      </c>
      <c r="E31" s="473">
        <f t="shared" si="18"/>
        <v>2296.2667351823293</v>
      </c>
      <c r="F31" s="473">
        <f t="shared" ca="1" si="18"/>
        <v>19049.748118597185</v>
      </c>
      <c r="G31" s="473">
        <f t="shared" si="18"/>
        <v>81644.594105372424</v>
      </c>
      <c r="H31" s="473">
        <f t="shared" si="18"/>
        <v>13387.053842314397</v>
      </c>
      <c r="I31" s="473">
        <f t="shared" si="18"/>
        <v>0</v>
      </c>
      <c r="J31" s="473">
        <f t="shared" si="18"/>
        <v>47.617621028123239</v>
      </c>
      <c r="K31" s="473">
        <f t="shared" si="18"/>
        <v>0</v>
      </c>
      <c r="L31" s="473">
        <f t="shared" ca="1" si="18"/>
        <v>0</v>
      </c>
      <c r="M31" s="473">
        <f t="shared" si="18"/>
        <v>0</v>
      </c>
      <c r="N31" s="473">
        <f t="shared" ca="1" si="18"/>
        <v>0</v>
      </c>
      <c r="O31" s="473">
        <f t="shared" si="18"/>
        <v>0</v>
      </c>
      <c r="P31" s="474">
        <f t="shared" si="18"/>
        <v>0</v>
      </c>
      <c r="Q31" s="474">
        <f t="shared" ca="1" si="18"/>
        <v>211592.67544648855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0.21112809040384251</v>
      </c>
      <c r="C17" s="513">
        <f ca="1">'EF ele_warmte'!B22</f>
        <v>0.22444444444444447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0.21112809040384251</v>
      </c>
      <c r="C17" s="513">
        <f ca="1">'EF ele_warmte'!B22</f>
        <v>0.22444444444444447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0.21112809040384251</v>
      </c>
      <c r="C29" s="514">
        <f ca="1">'EF ele_warmte'!B22</f>
        <v>0.22444444444444447</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2018-06-27T09:29:43Z</dcterms:modified>
</cp:coreProperties>
</file>