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20" i="15"/>
  <c r="K36" i="14" s="1"/>
  <c r="J5" i="48"/>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0" i="13" l="1"/>
  <c r="C16" i="48" s="1"/>
  <c r="C30" s="1"/>
  <c r="C20" i="16"/>
  <c r="C22" s="1"/>
  <c r="D39" i="14" s="1"/>
  <c r="F8" i="48"/>
  <c r="C17" i="19"/>
  <c r="C19" s="1"/>
  <c r="D35" i="14" s="1"/>
  <c r="C29" i="20"/>
  <c r="C16" i="22"/>
  <c r="C18" i="15"/>
  <c r="C20" s="1"/>
  <c r="D36" i="14" s="1"/>
  <c r="K41"/>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R13" i="14"/>
  <c r="R15" s="1"/>
  <c r="F25" i="48"/>
  <c r="F31" s="1"/>
  <c r="F14"/>
  <c r="C21" l="1"/>
  <c r="C31" s="1"/>
  <c r="C12" i="13"/>
  <c r="D37" i="14" s="1"/>
  <c r="D41" s="1"/>
  <c r="D53" s="1"/>
  <c r="D55" s="1"/>
  <c r="C26" i="48"/>
  <c r="C23"/>
  <c r="C24"/>
  <c r="C27"/>
  <c r="C25"/>
  <c r="C29"/>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<sst xmlns="http://schemas.openxmlformats.org/spreadsheetml/2006/main" count="2069" uniqueCount="884">
  <si>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</si>
  <si>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</si>
  <si>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</si>
  <si>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</si>
  <si>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</si>
  <si>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</si>
  <si>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</si>
  <si>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</si>
  <si>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</si>
  <si>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</si>
  <si>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</si>
  <si>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</si>
  <si>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</si>
  <si>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</si>
  <si>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</si>
  <si>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</si>
  <si>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</si>
  <si>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</si>
  <si>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</si>
  <si>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</si>
  <si>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</si>
  <si>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</si>
  <si>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</si>
  <si>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</si>
  <si>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</si>
  <si>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</si>
  <si>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</si>
  <si>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</si>
  <si>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</si>
  <si>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</si>
  <si>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</si>
  <si>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</si>
  <si>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</si>
  <si>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</si>
  <si>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</si>
  <si>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</si>
  <si>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</si>
  <si>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</si>
  <si>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</si>
  <si>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</si>
  <si>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</si>
  <si>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</si>
  <si>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</si>
  <si>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</si>
  <si>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</si>
  <si>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</si>
  <si>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</si>
  <si>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</si>
  <si>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</si>
  <si>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</si>
  <si>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</si>
  <si>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</si>
  <si>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</si>
  <si>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</si>
  <si>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</si>
  <si>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</si>
  <si>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</si>
  <si>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</si>
  <si>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</si>
  <si>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</si>
  <si>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</si>
  <si>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</si>
  <si>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</si>
  <si>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</si>
  <si>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</si>
  <si>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</si>
  <si>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</si>
  <si>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</si>
  <si>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</si>
  <si>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</si>
  <si>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</si>
  <si>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</si>
  <si>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</si>
  <si>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</si>
  <si>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</si>
  <si>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</si>
  <si>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</si>
  <si>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</si>
  <si>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</si>
  <si>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</si>
  <si>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</si>
  <si>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</si>
  <si>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</si>
  <si>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</si>
  <si>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</si>
  <si>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</si>
  <si>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</si>
  <si>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</si>
  <si>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</si>
  <si>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</si>
  <si>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</si>
  <si>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</si>
  <si>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</si>
  <si>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</si>
  <si>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</si>
  <si>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</si>
  <si>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</si>
  <si>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</si>
  <si>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</si>
  <si>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</si>
  <si>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</si>
  <si>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</si>
  <si>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</si>
  <si>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</si>
  <si>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</si>
  <si>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</si>
  <si>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</si>
  <si>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</si>
  <si>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</si>
  <si>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</si>
  <si>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</si>
  <si>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</si>
  <si>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</si>
  <si>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</si>
  <si>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</si>
  <si>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</si>
  <si>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</si>
  <si>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</si>
  <si>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</si>
  <si>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</si>
  <si>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</si>
  <si>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</si>
  <si>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</si>
  <si>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</si>
  <si>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</si>
  <si>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</si>
  <si>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</si>
  <si>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</si>
  <si>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</si>
  <si>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</si>
  <si>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</si>
  <si>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</si>
  <si>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</si>
  <si>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</si>
  <si>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</si>
  <si>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</si>
  <si>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</si>
  <si>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</si>
  <si>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</si>
  <si>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</si>
  <si>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</si>
  <si>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</si>
  <si>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</si>
  <si>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</si>
  <si>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</si>
  <si>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</si>
  <si>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</si>
  <si>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</si>
  <si>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</si>
  <si>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</si>
  <si>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</si>
  <si>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</si>
  <si>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</si>
  <si>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</si>
  <si>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</si>
  <si>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</si>
  <si>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</si>
  <si>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</si>
  <si>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</si>
  <si>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</si>
  <si>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</si>
  <si>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</si>
  <si>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</si>
  <si>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</si>
  <si>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</si>
  <si>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</si>
  <si>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</si>
  <si>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</si>
  <si>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</si>
  <si>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</si>
  <si>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</si>
  <si>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</si>
  <si>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</si>
  <si>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</si>
  <si>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</si>
  <si>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</si>
  <si>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</si>
  <si>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</si>
  <si>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</si>
  <si>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</si>
  <si>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</si>
  <si>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</si>
  <si>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</si>
  <si>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</si>
  <si>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</si>
  <si>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</si>
  <si>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</si>
  <si>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</si>
  <si>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</si>
  <si>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</si>
  <si>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</si>
  <si>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</si>
  <si>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</si>
  <si>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</si>
  <si>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</si>
  <si>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</si>
  <si>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</si>
  <si>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</si>
  <si>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</si>
  <si>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</si>
  <si>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</si>
  <si>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</si>
  <si>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</si>
  <si>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</si>
  <si>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</si>
  <si>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</si>
  <si>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</si>
  <si>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</si>
  <si>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</si>
  <si>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</si>
  <si>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</si>
  <si>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</si>
  <si>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</si>
  <si>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</si>
  <si>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</si>
  <si>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</si>
  <si>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</si>
  <si>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</si>
  <si>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</si>
  <si>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</si>
  <si>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</si>
  <si>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</si>
  <si>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</si>
  <si>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</si>
  <si>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</si>
  <si>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</si>
  <si>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</si>
  <si>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</si>
  <si>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</si>
  <si>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</si>
  <si>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</si>
  <si>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</si>
  <si>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</si>
  <si>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</si>
  <si>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</si>
  <si>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</si>
  <si>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</si>
  <si>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</si>
  <si>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</si>
  <si>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</si>
  <si>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</si>
  <si>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</si>
  <si>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</si>
  <si>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</si>
  <si>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</si>
  <si>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</si>
  <si>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</si>
  <si>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</si>
  <si>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</si>
  <si>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</si>
  <si>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</si>
  <si>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</si>
  <si>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</si>
  <si>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</si>
  <si>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</si>
  <si>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</si>
  <si>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</si>
  <si>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</si>
  <si>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</si>
  <si>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</si>
  <si>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</si>
  <si>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</si>
  <si>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</si>
  <si>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</si>
  <si>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</si>
  <si>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</si>
  <si>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</si>
  <si>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</si>
  <si>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</si>
  <si>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</si>
  <si>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</si>
  <si>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</si>
  <si>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</si>
  <si>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</si>
  <si>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</si>
  <si>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</si>
  <si>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</si>
  <si>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</si>
  <si>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</si>
  <si>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</si>
  <si>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</si>
  <si>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</si>
  <si>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</si>
  <si>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</si>
  <si>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</si>
  <si>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</si>
  <si>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</si>
  <si>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</si>
  <si>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</si>
  <si>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</si>
  <si>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</si>
  <si>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</si>
  <si>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</si>
  <si>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</si>
  <si>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</si>
  <si>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</si>
  <si>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</si>
  <si>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</si>
  <si>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</si>
  <si>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</si>
  <si>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</si>
  <si>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</si>
  <si>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</si>
  <si>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</si>
  <si>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</si>
  <si>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</si>
  <si>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</si>
  <si>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</si>
  <si>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</si>
  <si>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</si>
  <si>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</si>
  <si>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</si>
  <si>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</si>
  <si>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</si>
  <si>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</si>
  <si>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</si>
  <si>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</si>
  <si>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</si>
  <si>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</si>
  <si>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</si>
  <si>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</si>
  <si>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</si>
  <si>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</si>
  <si>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</si>
  <si>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</si>
  <si>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</si>
  <si>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</si>
  <si>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</si>
  <si>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</si>
  <si>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</si>
  <si>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</si>
  <si>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</si>
  <si>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</si>
  <si>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</si>
  <si>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</si>
  <si>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</si>
  <si>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</si>
  <si>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</si>
  <si>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</si>
  <si>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</si>
  <si>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</si>
  <si>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</si>
  <si>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</si>
  <si>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</si>
  <si>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</si>
  <si>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</si>
  <si>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</si>
  <si>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</si>
  <si>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</si>
  <si>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</si>
  <si>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</si>
  <si>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</si>
  <si>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</si>
  <si>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</si>
  <si>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</si>
  <si>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</si>
  <si>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</si>
  <si>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</si>
  <si>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</si>
  <si>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</si>
  <si>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</si>
  <si>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</si>
  <si>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</si>
  <si>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</si>
  <si>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</si>
  <si>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</si>
  <si>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</si>
  <si>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</si>
  <si>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</si>
  <si>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</si>
  <si>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</si>
  <si>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</si>
  <si>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</si>
  <si>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</si>
  <si>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</si>
  <si>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</si>
  <si>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</si>
  <si>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</si>
  <si>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</si>
  <si>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</si>
  <si>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</si>
  <si>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</si>
  <si>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</si>
  <si>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</si>
  <si>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</si>
  <si>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</si>
  <si>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</si>
  <si>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</si>
  <si>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</si>
  <si>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</si>
  <si>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</si>
  <si>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</si>
  <si>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</si>
  <si>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</si>
  <si>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</si>
  <si>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</si>
  <si>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</si>
  <si>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</si>
  <si>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</si>
  <si>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</si>
  <si>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</si>
  <si>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</si>
  <si>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</si>
  <si>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</si>
  <si>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</si>
  <si>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</si>
  <si>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</si>
  <si>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</si>
  <si>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</si>
  <si>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</si>
  <si>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</si>
  <si>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</si>
  <si>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</si>
  <si>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</si>
  <si>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</si>
  <si>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</si>
  <si>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</si>
  <si>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</si>
  <si>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</si>
  <si>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</si>
  <si>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</si>
  <si>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</si>
  <si>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</si>
  <si>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</si>
  <si>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</si>
  <si>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</si>
  <si>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</si>
  <si>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</si>
  <si>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</si>
  <si>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</si>
  <si>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</si>
  <si>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</si>
  <si>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</si>
  <si>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</si>
  <si>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</si>
  <si>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</si>
  <si>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</si>
  <si>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</si>
  <si>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</si>
  <si>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</si>
  <si>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</si>
  <si>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</si>
  <si>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</si>
  <si>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</si>
  <si>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</si>
  <si>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</si>
  <si>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</si>
  <si>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</si>
  <si>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</si>
  <si>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</si>
  <si>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</si>
  <si>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</si>
  <si>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</si>
  <si>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</si>
  <si>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</si>
  <si>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</si>
  <si>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</si>
  <si>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</si>
  <si>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</si>
  <si>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</si>
  <si>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</si>
  <si>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</si>
  <si>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</si>
  <si>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</si>
  <si>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</si>
  <si>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</si>
  <si>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</si>
  <si>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</si>
  <si>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</si>
  <si>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</si>
  <si>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</si>
  <si>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</si>
  <si>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</si>
  <si>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</si>
  <si>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</si>
  <si>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</si>
  <si>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</si>
  <si>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</si>
  <si>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</si>
  <si>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</si>
  <si>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</si>
  <si>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</si>
  <si>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</si>
  <si>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</si>
  <si>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</si>
  <si>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</si>
  <si>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</si>
  <si>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</si>
  <si>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</si>
  <si>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</si>
  <si>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</si>
  <si>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</si>
  <si>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</si>
  <si>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</si>
  <si>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</si>
  <si>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</si>
  <si>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</si>
  <si>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</si>
  <si>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</si>
  <si>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</si>
  <si>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</si>
  <si>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</si>
  <si>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</si>
  <si>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</si>
  <si>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</si>
  <si>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</si>
  <si>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</si>
  <si>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</si>
  <si>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</si>
  <si>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</si>
  <si>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</si>
  <si>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</si>
  <si>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</si>
  <si>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</si>
  <si>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</si>
  <si>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</si>
  <si>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</si>
  <si>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</si>
  <si>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</si>
  <si>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</si>
  <si>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</si>
  <si>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</si>
  <si>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</si>
  <si>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</si>
  <si>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</si>
  <si>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</si>
  <si>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</si>
  <si>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</si>
  <si>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</si>
  <si>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</si>
  <si>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</si>
  <si>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</si>
  <si>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</si>
  <si>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</si>
  <si>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</si>
  <si>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</si>
  <si>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</si>
  <si>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</si>
  <si>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</si>
  <si>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</si>
  <si>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</si>
  <si>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</si>
  <si>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</si>
  <si>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</si>
  <si>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</si>
  <si>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</si>
  <si>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</si>
  <si>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</si>
  <si>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</si>
  <si>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</si>
  <si>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</si>
  <si>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</si>
  <si>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</si>
  <si>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</si>
  <si>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</si>
  <si>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</si>
  <si>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</si>
  <si>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</si>
  <si>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</si>
  <si>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</si>
  <si>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</si>
  <si>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</si>
  <si>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</si>
  <si>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</si>
  <si>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</si>
  <si>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</si>
  <si>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</si>
  <si>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</si>
  <si>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</si>
  <si>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</si>
  <si>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</si>
  <si>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</si>
  <si>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</si>
  <si>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</si>
  <si>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</si>
  <si>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</si>
  <si>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</si>
  <si>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</si>
  <si>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</si>
  <si>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</si>
  <si>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</si>
  <si>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</si>
  <si>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</si>
  <si>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</si>
  <si>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</si>
  <si>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</si>
  <si>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</si>
  <si>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</si>
  <si>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</si>
  <si>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</si>
  <si>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</si>
  <si>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</si>
  <si>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</si>
  <si>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</si>
  <si>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</si>
  <si>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</si>
  <si>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</si>
  <si>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</si>
  <si>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</si>
  <si>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</si>
  <si>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</si>
  <si>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</si>
  <si>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</si>
  <si>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</si>
  <si>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</si>
  <si>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</si>
  <si>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</si>
  <si>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</si>
  <si>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</si>
  <si>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</si>
  <si>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</si>
  <si>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</si>
  <si>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</si>
  <si>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</si>
  <si>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</si>
  <si>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</si>
  <si>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</si>
  <si>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</si>
  <si>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</si>
  <si>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</si>
  <si>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</si>
  <si>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</si>
  <si>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</si>
  <si>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</si>
  <si>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</si>
  <si>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</si>
  <si>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</si>
  <si>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</si>
  <si>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</si>
  <si>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</si>
  <si>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</si>
  <si>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</si>
  <si>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</si>
  <si>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</si>
  <si>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</si>
  <si>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</si>
  <si>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</si>
  <si>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</si>
  <si>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</si>
  <si>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</si>
  <si>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</si>
  <si>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</si>
  <si>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</si>
  <si>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</si>
  <si>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</si>
  <si>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</si>
  <si>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</si>
  <si>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</si>
  <si>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</si>
  <si>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</si>
  <si>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</si>
  <si>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</si>
  <si>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</si>
  <si>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</si>
  <si>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</si>
  <si>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</si>
  <si>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</si>
  <si>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</si>
  <si>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</si>
  <si>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</si>
  <si>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</si>
  <si>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</si>
  <si>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</si>
  <si>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</si>
  <si>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</si>
  <si>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</si>
  <si>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</si>
  <si>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</si>
  <si>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</si>
  <si>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</si>
  <si>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</si>
  <si>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</si>
  <si>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</si>
  <si>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</si>
  <si>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</si>
  <si>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</si>
  <si>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</si>
  <si>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</si>
  <si>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</si>
  <si>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</si>
  <si>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</si>
  <si>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</si>
  <si>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</si>
  <si>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</si>
  <si>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</si>
  <si>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</si>
  <si>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</si>
  <si>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</si>
  <si>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</si>
  <si>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</si>
  <si>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</si>
  <si>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</si>
  <si>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</si>
  <si>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</si>
  <si>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</si>
  <si>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</si>
  <si>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</si>
  <si>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</si>
  <si>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</si>
  <si>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</si>
  <si>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</si>
  <si>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</si>
  <si>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</si>
  <si>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</si>
  <si>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</si>
  <si>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</si>
  <si>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</si>
  <si>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</si>
  <si>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</si>
  <si>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</si>
  <si>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</si>
  <si>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</si>
  <si>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</si>
  <si>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</si>
  <si>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</si>
  <si>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</si>
  <si>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</si>
  <si>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</si>
  <si>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</si>
  <si>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</si>
  <si>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</si>
  <si>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</si>
  <si>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</si>
  <si>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</si>
  <si>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</si>
  <si>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</si>
  <si>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</si>
  <si>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</si>
  <si>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</si>
  <si>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</si>
  <si>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</si>
  <si>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</si>
  <si>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</si>
  <si>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</si>
  <si>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</si>
  <si>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</si>
  <si>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</si>
  <si>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</si>
  <si>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</si>
  <si>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</si>
  <si>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</si>
  <si>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</si>
  <si>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</si>
  <si>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</si>
  <si>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</si>
  <si>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</si>
  <si>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</si>
  <si>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</si>
  <si>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</si>
  <si>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</si>
  <si>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</si>
  <si>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</si>
  <si>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</si>
  <si>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</si>
  <si>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</si>
  <si>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</si>
  <si>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</si>
  <si>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</si>
  <si>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</si>
  <si>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</si>
  <si>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</si>
  <si>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</si>
  <si>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</si>
  <si>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</si>
  <si>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</si>
  <si>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</si>
  <si>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</si>
  <si>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</si>
  <si>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</si>
  <si>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</si>
  <si>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</si>
  <si>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</si>
  <si>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</si>
  <si>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</si>
  <si>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</si>
  <si>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</si>
  <si>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</si>
  <si>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</si>
  <si>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</si>
  <si>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</si>
  <si>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</si>
  <si>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</si>
  <si>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</si>
  <si>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</si>
  <si>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</si>
  <si>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</si>
  <si>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</si>
  <si>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</si>
  <si>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</si>
  <si>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</si>
  <si>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</si>
  <si>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</si>
  <si>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</si>
  <si>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</si>
  <si>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</si>
  <si>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</si>
  <si>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</si>
  <si>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</si>
  <si>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</si>
  <si>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</si>
  <si>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</si>
  <si>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</si>
  <si>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</si>
  <si>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</si>
  <si>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</si>
  <si>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</si>
  <si>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</si>
  <si>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</si>
  <si>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</si>
  <si>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</si>
  <si>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</si>
  <si>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</si>
  <si>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</si>
  <si>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</si>
  <si>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</si>
  <si>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</si>
  <si>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</si>
  <si>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</si>
  <si>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</si>
  <si>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</si>
  <si>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</si>
  <si>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</si>
  <si>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</si>
  <si>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</si>
  <si>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</si>
  <si>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</si>
  <si>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</si>
  <si>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</si>
  <si>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</si>
  <si>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</si>
  <si>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</si>
  <si>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</si>
  <si>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</si>
  <si>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13014</t>
  </si>
  <si>
    <t>HOOGSTRATEN</t>
  </si>
  <si>
    <t>Cultuurgrond (ha)</t>
  </si>
  <si>
    <t>Paarden&amp;pony's 200 - 600 kg</t>
  </si>
  <si>
    <t>Paarden&amp;pony's &lt; 200 kg</t>
  </si>
  <si>
    <t>op basis van VEA (maart 2018) en Inventaris Hernieuwbare Energiebronnen (juni 2018)</t>
  </si>
  <si>
    <t>VEA (juni 2018)</t>
  </si>
  <si>
    <t>Vergo Energie</t>
  </si>
  <si>
    <t>Maxburghdreef 6A, 2321 Meer</t>
  </si>
  <si>
    <t>WKK-0122 Vergo Energie</t>
  </si>
  <si>
    <t>interne verbrandingsmotor</t>
  </si>
  <si>
    <t>WKK interne verbrandinsgmotor (gas)</t>
  </si>
  <si>
    <t>IVEKA</t>
  </si>
  <si>
    <t>Groeikracht Rielbro NV</t>
  </si>
  <si>
    <t>Eindsestraat 1d, 2321 Meer</t>
  </si>
  <si>
    <t>WKK-0141 Groeikracht Rielbro</t>
  </si>
  <si>
    <t>Pafa bvba</t>
  </si>
  <si>
    <t>Maxburgdreef 36A, 2321 Meer</t>
  </si>
  <si>
    <t>WKK-0164 Pafa</t>
  </si>
  <si>
    <t>Rovak bvba</t>
  </si>
  <si>
    <t>Gaarshof 12 , 2321 Meer</t>
  </si>
  <si>
    <t>WKK-0180 Rovak bvba</t>
  </si>
  <si>
    <t>Meer Fresh Products bvba</t>
  </si>
  <si>
    <t>Kettingdreef 3, 2321 Meer</t>
  </si>
  <si>
    <t>WKK-0120 Meer Fresh products</t>
  </si>
  <si>
    <t>Desta NV</t>
  </si>
  <si>
    <t>Heerle 11 , 2320 Hoogstraten</t>
  </si>
  <si>
    <t>WKK-0233 Desta NV</t>
  </si>
  <si>
    <t>WKK-Willy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</si>
  <si>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</si>
  <si>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</si>
  <si>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</si>
  <si>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</si>
  <si>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</si>
  <si>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</si>
  <si>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</si>
  <si>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</si>
  <si>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</si>
  <si>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</si>
  <si>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</si>
  <si>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</si>
  <si>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</si>
  <si>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WKK-0581 Vergo II</t>
  </si>
  <si>
    <t>Maxburgdreef 6A , 2321 Meer</t>
  </si>
  <si>
    <t>Aquafin NV</t>
  </si>
  <si>
    <t>Dijkstraat 8, 2630 Aartselaar</t>
  </si>
  <si>
    <t>BGS-0044 RWZI Hoogstraten</t>
  </si>
  <si>
    <t>biogas - RWZI</t>
  </si>
  <si>
    <t>niet WKK interne verbrandingsmotor (gas)</t>
  </si>
  <si>
    <t>Rollekens 4, 2320 Hoogstraten</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</si>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</sst>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193562.5738082524</c:v>
                </c:pt>
                <c:pt idx="1">
                  <c:v>125402.61552893478</c:v>
                </c:pt>
                <c:pt idx="2">
                  <c:v>1439.3689999999999</c:v>
                </c:pt>
                <c:pt idx="3">
                  <c:v>203605.80888706638</c:v>
                </c:pt>
                <c:pt idx="4">
                  <c:v>207309.08130985536</c:v>
                </c:pt>
                <c:pt idx="5">
                  <c:v>307847.86478962511</c:v>
                </c:pt>
                <c:pt idx="6">
                  <c:v>1881.7206313261411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86688"/>
        <c:axId val="182388224"/>
      </c:barChart>
      <c:catAx>
        <c:axId val="182386688"/>
        <c:scaling>
          <c:orientation val="minMax"/>
        </c:scaling>
        <c:axPos val="b"/>
        <c:numFmt formatCode="General" sourceLinked="0"/>
        <c:tickLblPos val="nextTo"/>
        <c:crossAx val="182388224"/>
        <c:crosses val="autoZero"/>
        <c:auto val="1"/>
        <c:lblAlgn val="ctr"/>
        <c:lblOffset val="100"/>
      </c:catAx>
      <c:valAx>
        <c:axId val="182388224"/>
        <c:scaling>
          <c:orientation val="minMax"/>
        </c:scaling>
        <c:axPos val="l"/>
        <c:majorGridlines/>
        <c:numFmt formatCode="#,##0" sourceLinked="1"/>
        <c:tickLblPos val="nextTo"/>
        <c:crossAx val="1823866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193562.5738082524</c:v>
                </c:pt>
                <c:pt idx="1">
                  <c:v>125402.61552893478</c:v>
                </c:pt>
                <c:pt idx="2">
                  <c:v>1439.3689999999999</c:v>
                </c:pt>
                <c:pt idx="3">
                  <c:v>203605.80888706638</c:v>
                </c:pt>
                <c:pt idx="4">
                  <c:v>207309.08130985536</c:v>
                </c:pt>
                <c:pt idx="5">
                  <c:v>307847.86478962511</c:v>
                </c:pt>
                <c:pt idx="6">
                  <c:v>1881.7206313261411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33091.319554765898</c:v>
                </c:pt>
                <c:pt idx="1">
                  <c:v>25533.121938306795</c:v>
                </c:pt>
                <c:pt idx="2">
                  <c:v>273.67997733161178</c:v>
                </c:pt>
                <c:pt idx="3">
                  <c:v>48191.515512578961</c:v>
                </c:pt>
                <c:pt idx="4">
                  <c:v>38036.516454444878</c:v>
                </c:pt>
                <c:pt idx="5">
                  <c:v>78008.90519973902</c:v>
                </c:pt>
                <c:pt idx="6">
                  <c:v>481.02696296911591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3584"/>
        <c:axId val="182489472"/>
      </c:barChart>
      <c:catAx>
        <c:axId val="182483584"/>
        <c:scaling>
          <c:orientation val="minMax"/>
        </c:scaling>
        <c:axPos val="b"/>
        <c:numFmt formatCode="General" sourceLinked="0"/>
        <c:tickLblPos val="nextTo"/>
        <c:crossAx val="182489472"/>
        <c:crosses val="autoZero"/>
        <c:auto val="1"/>
        <c:lblAlgn val="ctr"/>
        <c:lblOffset val="100"/>
      </c:catAx>
      <c:valAx>
        <c:axId val="182489472"/>
        <c:scaling>
          <c:orientation val="minMax"/>
        </c:scaling>
        <c:axPos val="l"/>
        <c:majorGridlines/>
        <c:numFmt formatCode="#,##0" sourceLinked="1"/>
        <c:tickLblPos val="nextTo"/>
        <c:crossAx val="18248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33091.319554765898</c:v>
                </c:pt>
                <c:pt idx="1">
                  <c:v>25533.121938306795</c:v>
                </c:pt>
                <c:pt idx="2">
                  <c:v>273.67997733161178</c:v>
                </c:pt>
                <c:pt idx="3">
                  <c:v>48191.515512578961</c:v>
                </c:pt>
                <c:pt idx="4">
                  <c:v>38036.516454444878</c:v>
                </c:pt>
                <c:pt idx="5">
                  <c:v>78008.90519973902</c:v>
                </c:pt>
                <c:pt idx="6">
                  <c:v>481.02696296911591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13014</v>
      </c>
      <c r="B6" s="398"/>
      <c r="C6" s="399"/>
    </row>
    <row r="7" spans="1:7" s="396" customFormat="1" ht="15.75" customHeight="1">
      <c r="A7" s="400" t="str">
        <f>txtMunicipality</f>
        <v>HOOGSTRATEN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8071</v>
      </c>
      <c r="C9" s="338">
        <v>8903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6199</v>
      </c>
    </row>
    <row r="15" spans="1:6">
      <c r="A15" s="1212" t="s">
        <v>184</v>
      </c>
      <c r="B15" s="335">
        <v>3421</v>
      </c>
    </row>
    <row r="16" spans="1:6">
      <c r="A16" s="1212" t="s">
        <v>6</v>
      </c>
      <c r="B16" s="335">
        <v>6051</v>
      </c>
    </row>
    <row r="17" spans="1:6">
      <c r="A17" s="1212" t="s">
        <v>7</v>
      </c>
      <c r="B17" s="335">
        <v>827</v>
      </c>
    </row>
    <row r="18" spans="1:6">
      <c r="A18" s="1212" t="s">
        <v>8</v>
      </c>
      <c r="B18" s="335">
        <v>3962</v>
      </c>
    </row>
    <row r="19" spans="1:6">
      <c r="A19" s="1212" t="s">
        <v>9</v>
      </c>
      <c r="B19" s="335">
        <v>3510</v>
      </c>
    </row>
    <row r="20" spans="1:6">
      <c r="A20" s="1212" t="s">
        <v>10</v>
      </c>
      <c r="B20" s="335">
        <v>2065</v>
      </c>
    </row>
    <row r="21" spans="1:6">
      <c r="A21" s="1212" t="s">
        <v>11</v>
      </c>
      <c r="B21" s="335">
        <v>67215</v>
      </c>
    </row>
    <row r="22" spans="1:6">
      <c r="A22" s="1212" t="s">
        <v>12</v>
      </c>
      <c r="B22" s="335">
        <v>162054</v>
      </c>
    </row>
    <row r="23" spans="1:6">
      <c r="A23" s="1212" t="s">
        <v>13</v>
      </c>
      <c r="B23" s="335">
        <v>2681</v>
      </c>
    </row>
    <row r="24" spans="1:6">
      <c r="A24" s="1212" t="s">
        <v>14</v>
      </c>
      <c r="B24" s="335">
        <v>228</v>
      </c>
    </row>
    <row r="25" spans="1:6">
      <c r="A25" s="1212" t="s">
        <v>15</v>
      </c>
      <c r="B25" s="335">
        <v>15101</v>
      </c>
    </row>
    <row r="26" spans="1:6">
      <c r="A26" s="1212" t="s">
        <v>16</v>
      </c>
      <c r="B26" s="335">
        <v>429</v>
      </c>
    </row>
    <row r="27" spans="1:6">
      <c r="A27" s="1212" t="s">
        <v>17</v>
      </c>
      <c r="B27" s="335">
        <v>1389</v>
      </c>
    </row>
    <row r="28" spans="1:6" s="341" customFormat="1">
      <c r="A28" s="1213" t="s">
        <v>18</v>
      </c>
      <c r="B28" s="1213">
        <v>1196877</v>
      </c>
    </row>
    <row r="29" spans="1:6">
      <c r="A29" s="1213" t="s">
        <v>836</v>
      </c>
      <c r="B29" s="1213">
        <v>315</v>
      </c>
      <c r="C29" s="341"/>
      <c r="D29" s="341"/>
      <c r="E29" s="341"/>
      <c r="F29" s="341"/>
    </row>
    <row r="30" spans="1:6">
      <c r="A30" s="1208" t="s">
        <v>837</v>
      </c>
      <c r="B30" s="1208">
        <v>67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4</v>
      </c>
      <c r="F35" s="335">
        <v>353130.48943851201</v>
      </c>
    </row>
    <row r="36" spans="1:6">
      <c r="A36" s="1212" t="s">
        <v>25</v>
      </c>
      <c r="B36" s="1212" t="s">
        <v>27</v>
      </c>
      <c r="C36" s="335">
        <v>0</v>
      </c>
      <c r="D36" s="335">
        <v>0</v>
      </c>
      <c r="E36" s="335">
        <v>4</v>
      </c>
      <c r="F36" s="335">
        <v>245521.76279091</v>
      </c>
    </row>
    <row r="37" spans="1:6">
      <c r="A37" s="1212" t="s">
        <v>25</v>
      </c>
      <c r="B37" s="1212" t="s">
        <v>28</v>
      </c>
      <c r="C37" s="335">
        <v>0</v>
      </c>
      <c r="D37" s="335">
        <v>0</v>
      </c>
      <c r="E37" s="335">
        <v>0</v>
      </c>
      <c r="F37" s="335">
        <v>0</v>
      </c>
    </row>
    <row r="38" spans="1:6">
      <c r="A38" s="1212" t="s">
        <v>25</v>
      </c>
      <c r="B38" s="1212" t="s">
        <v>29</v>
      </c>
      <c r="C38" s="335">
        <v>5</v>
      </c>
      <c r="D38" s="335">
        <v>54671789.227378301</v>
      </c>
      <c r="E38" s="335">
        <v>6</v>
      </c>
      <c r="F38" s="335">
        <v>180662.01497783599</v>
      </c>
    </row>
    <row r="39" spans="1:6">
      <c r="A39" s="1212" t="s">
        <v>30</v>
      </c>
      <c r="B39" s="1212" t="s">
        <v>31</v>
      </c>
      <c r="C39" s="335">
        <v>5457</v>
      </c>
      <c r="D39" s="335">
        <v>114013942.245401</v>
      </c>
      <c r="E39" s="335">
        <v>7801</v>
      </c>
      <c r="F39" s="335">
        <v>34810590.325045601</v>
      </c>
    </row>
    <row r="40" spans="1:6">
      <c r="A40" s="1212" t="s">
        <v>30</v>
      </c>
      <c r="B40" s="1212" t="s">
        <v>29</v>
      </c>
      <c r="C40" s="335">
        <v>0</v>
      </c>
      <c r="D40" s="335">
        <v>0</v>
      </c>
      <c r="E40" s="335">
        <v>0</v>
      </c>
      <c r="F40" s="335">
        <v>0</v>
      </c>
    </row>
    <row r="41" spans="1:6">
      <c r="A41" s="1212" t="s">
        <v>32</v>
      </c>
      <c r="B41" s="1212" t="s">
        <v>33</v>
      </c>
      <c r="C41" s="335">
        <v>36</v>
      </c>
      <c r="D41" s="335">
        <v>1222004.99927039</v>
      </c>
      <c r="E41" s="335">
        <v>169</v>
      </c>
      <c r="F41" s="335">
        <v>7348182.2609246597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7</v>
      </c>
      <c r="D44" s="335">
        <v>750656.35709669197</v>
      </c>
      <c r="E44" s="335">
        <v>13</v>
      </c>
      <c r="F44" s="335">
        <v>1256923.6703111799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6</v>
      </c>
      <c r="F47" s="335">
        <v>2831740.1896269699</v>
      </c>
    </row>
    <row r="48" spans="1:6">
      <c r="A48" s="1212" t="s">
        <v>32</v>
      </c>
      <c r="B48" s="1212" t="s">
        <v>29</v>
      </c>
      <c r="C48" s="335">
        <v>89</v>
      </c>
      <c r="D48" s="335">
        <v>66725846.206376702</v>
      </c>
      <c r="E48" s="335">
        <v>105</v>
      </c>
      <c r="F48" s="335">
        <v>72321233.870255396</v>
      </c>
    </row>
    <row r="49" spans="1:6">
      <c r="A49" s="1212" t="s">
        <v>32</v>
      </c>
      <c r="B49" s="1212" t="s">
        <v>40</v>
      </c>
      <c r="C49" s="335">
        <v>0</v>
      </c>
      <c r="D49" s="335">
        <v>0</v>
      </c>
      <c r="E49" s="335">
        <v>0</v>
      </c>
      <c r="F49" s="335">
        <v>0</v>
      </c>
    </row>
    <row r="50" spans="1:6">
      <c r="A50" s="1212" t="s">
        <v>32</v>
      </c>
      <c r="B50" s="1212" t="s">
        <v>41</v>
      </c>
      <c r="C50" s="335">
        <v>3</v>
      </c>
      <c r="D50" s="335">
        <v>277649.65811669</v>
      </c>
      <c r="E50" s="335">
        <v>11</v>
      </c>
      <c r="F50" s="335">
        <v>3471609.5998506201</v>
      </c>
    </row>
    <row r="51" spans="1:6">
      <c r="A51" s="1212" t="s">
        <v>42</v>
      </c>
      <c r="B51" s="1212" t="s">
        <v>43</v>
      </c>
      <c r="C51" s="335">
        <v>33</v>
      </c>
      <c r="D51" s="335">
        <v>183734718.01859799</v>
      </c>
      <c r="E51" s="335">
        <v>419</v>
      </c>
      <c r="F51" s="335">
        <v>19882044.811959401</v>
      </c>
    </row>
    <row r="52" spans="1:6">
      <c r="A52" s="1212" t="s">
        <v>42</v>
      </c>
      <c r="B52" s="1212" t="s">
        <v>29</v>
      </c>
      <c r="C52" s="335">
        <v>22</v>
      </c>
      <c r="D52" s="335">
        <v>15702138.715842299</v>
      </c>
      <c r="E52" s="335">
        <v>41</v>
      </c>
      <c r="F52" s="335">
        <v>1141293.9296029699</v>
      </c>
    </row>
    <row r="53" spans="1:6">
      <c r="A53" s="1212" t="s">
        <v>44</v>
      </c>
      <c r="B53" s="1212" t="s">
        <v>45</v>
      </c>
      <c r="C53" s="335">
        <v>135</v>
      </c>
      <c r="D53" s="335">
        <v>3038004.30254295</v>
      </c>
      <c r="E53" s="335">
        <v>320</v>
      </c>
      <c r="F53" s="335">
        <v>1582158.0588932601</v>
      </c>
    </row>
    <row r="54" spans="1:6">
      <c r="A54" s="1212" t="s">
        <v>46</v>
      </c>
      <c r="B54" s="1212" t="s">
        <v>47</v>
      </c>
      <c r="C54" s="335">
        <v>0</v>
      </c>
      <c r="D54" s="335">
        <v>0</v>
      </c>
      <c r="E54" s="335">
        <v>3</v>
      </c>
      <c r="F54" s="335">
        <v>1439369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34</v>
      </c>
      <c r="D57" s="335">
        <v>16391937.6218972</v>
      </c>
      <c r="E57" s="335">
        <v>132</v>
      </c>
      <c r="F57" s="335">
        <v>3504835.4722239501</v>
      </c>
    </row>
    <row r="58" spans="1:6">
      <c r="A58" s="1212" t="s">
        <v>49</v>
      </c>
      <c r="B58" s="1212" t="s">
        <v>51</v>
      </c>
      <c r="C58" s="335">
        <v>14</v>
      </c>
      <c r="D58" s="335">
        <v>489792.474472414</v>
      </c>
      <c r="E58" s="335">
        <v>23</v>
      </c>
      <c r="F58" s="335">
        <v>203532.32854114601</v>
      </c>
    </row>
    <row r="59" spans="1:6">
      <c r="A59" s="1212" t="s">
        <v>49</v>
      </c>
      <c r="B59" s="1212" t="s">
        <v>52</v>
      </c>
      <c r="C59" s="335">
        <v>75</v>
      </c>
      <c r="D59" s="335">
        <v>4792273.0047348598</v>
      </c>
      <c r="E59" s="335">
        <v>183</v>
      </c>
      <c r="F59" s="335">
        <v>8034538.75367775</v>
      </c>
    </row>
    <row r="60" spans="1:6">
      <c r="A60" s="1212" t="s">
        <v>49</v>
      </c>
      <c r="B60" s="1212" t="s">
        <v>53</v>
      </c>
      <c r="C60" s="335">
        <v>71</v>
      </c>
      <c r="D60" s="335">
        <v>4186293.1437587901</v>
      </c>
      <c r="E60" s="335">
        <v>103</v>
      </c>
      <c r="F60" s="335">
        <v>2736984.0463354001</v>
      </c>
    </row>
    <row r="61" spans="1:6">
      <c r="A61" s="1212" t="s">
        <v>49</v>
      </c>
      <c r="B61" s="1212" t="s">
        <v>54</v>
      </c>
      <c r="C61" s="335">
        <v>130</v>
      </c>
      <c r="D61" s="335">
        <v>11078432.796212399</v>
      </c>
      <c r="E61" s="335">
        <v>297</v>
      </c>
      <c r="F61" s="335">
        <v>9569143.4969502203</v>
      </c>
    </row>
    <row r="62" spans="1:6">
      <c r="A62" s="1212" t="s">
        <v>49</v>
      </c>
      <c r="B62" s="1212" t="s">
        <v>55</v>
      </c>
      <c r="C62" s="335">
        <v>13</v>
      </c>
      <c r="D62" s="335">
        <v>4250529.4316269597</v>
      </c>
      <c r="E62" s="335">
        <v>11</v>
      </c>
      <c r="F62" s="335">
        <v>1474179.17940255</v>
      </c>
    </row>
    <row r="63" spans="1:6">
      <c r="A63" s="1212" t="s">
        <v>49</v>
      </c>
      <c r="B63" s="1212" t="s">
        <v>29</v>
      </c>
      <c r="C63" s="335">
        <v>193</v>
      </c>
      <c r="D63" s="335">
        <v>35279171.028717302</v>
      </c>
      <c r="E63" s="335">
        <v>294</v>
      </c>
      <c r="F63" s="335">
        <v>22594333.6657876</v>
      </c>
    </row>
    <row r="64" spans="1:6">
      <c r="A64" s="1212" t="s">
        <v>56</v>
      </c>
      <c r="B64" s="1212" t="s">
        <v>57</v>
      </c>
      <c r="C64" s="335">
        <v>0</v>
      </c>
      <c r="D64" s="335">
        <v>0</v>
      </c>
      <c r="E64" s="335">
        <v>0</v>
      </c>
      <c r="F64" s="335">
        <v>0</v>
      </c>
    </row>
    <row r="65" spans="1:6">
      <c r="A65" s="1212" t="s">
        <v>56</v>
      </c>
      <c r="B65" s="1212" t="s">
        <v>29</v>
      </c>
      <c r="C65" s="335">
        <v>2</v>
      </c>
      <c r="D65" s="335">
        <v>34663.774542254498</v>
      </c>
      <c r="E65" s="335">
        <v>4</v>
      </c>
      <c r="F65" s="335">
        <v>46729.223357763301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8</v>
      </c>
      <c r="D68" s="335">
        <v>155028.086717545</v>
      </c>
      <c r="E68" s="335">
        <v>27</v>
      </c>
      <c r="F68" s="335">
        <v>1133078.91487064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81213624</v>
      </c>
      <c r="E73" s="335">
        <v>84302814.385844201</v>
      </c>
    </row>
    <row r="74" spans="1:6">
      <c r="A74" s="1212" t="s">
        <v>64</v>
      </c>
      <c r="B74" s="1212" t="s">
        <v>727</v>
      </c>
      <c r="C74" s="1212" t="s">
        <v>728</v>
      </c>
      <c r="D74" s="335">
        <v>9146611.9242489263</v>
      </c>
      <c r="E74" s="335">
        <v>9632074.2363675032</v>
      </c>
    </row>
    <row r="75" spans="1:6">
      <c r="A75" s="1212" t="s">
        <v>65</v>
      </c>
      <c r="B75" s="1212" t="s">
        <v>725</v>
      </c>
      <c r="C75" s="1212" t="s">
        <v>729</v>
      </c>
      <c r="D75" s="335">
        <v>39110294</v>
      </c>
      <c r="E75" s="335">
        <v>40692663.045311078</v>
      </c>
    </row>
    <row r="76" spans="1:6">
      <c r="A76" s="1212" t="s">
        <v>65</v>
      </c>
      <c r="B76" s="1212" t="s">
        <v>727</v>
      </c>
      <c r="C76" s="1212" t="s">
        <v>730</v>
      </c>
      <c r="D76" s="335">
        <v>507357.92424892582</v>
      </c>
      <c r="E76" s="335">
        <v>554962.5017186082</v>
      </c>
    </row>
    <row r="77" spans="1:6">
      <c r="A77" s="1212" t="s">
        <v>66</v>
      </c>
      <c r="B77" s="1212" t="s">
        <v>725</v>
      </c>
      <c r="C77" s="1212" t="s">
        <v>731</v>
      </c>
      <c r="D77" s="335">
        <v>139387819</v>
      </c>
      <c r="E77" s="335">
        <v>145187646.68550426</v>
      </c>
    </row>
    <row r="78" spans="1:6">
      <c r="A78" s="1208" t="s">
        <v>66</v>
      </c>
      <c r="B78" s="1208" t="s">
        <v>727</v>
      </c>
      <c r="C78" s="1208" t="s">
        <v>732</v>
      </c>
      <c r="D78" s="1208">
        <v>39632964</v>
      </c>
      <c r="E78" s="1208">
        <v>40247926.638681263</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497128.15150214836</v>
      </c>
      <c r="C83" s="335">
        <v>491130.24907992058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22081.854634671403</v>
      </c>
    </row>
    <row r="91" spans="1:6">
      <c r="A91" s="1212" t="s">
        <v>68</v>
      </c>
      <c r="B91" s="335">
        <v>4280.2562779201326</v>
      </c>
    </row>
    <row r="92" spans="1:6">
      <c r="A92" s="1208" t="s">
        <v>69</v>
      </c>
      <c r="B92" s="338">
        <v>3818.3767618478973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2912</v>
      </c>
    </row>
    <row r="98" spans="1:6">
      <c r="A98" s="1212" t="s">
        <v>72</v>
      </c>
      <c r="B98" s="335">
        <v>9</v>
      </c>
    </row>
    <row r="99" spans="1:6">
      <c r="A99" s="1212" t="s">
        <v>73</v>
      </c>
      <c r="B99" s="335">
        <v>149</v>
      </c>
    </row>
    <row r="100" spans="1:6">
      <c r="A100" s="1212" t="s">
        <v>74</v>
      </c>
      <c r="B100" s="335">
        <v>429</v>
      </c>
    </row>
    <row r="101" spans="1:6">
      <c r="A101" s="1212" t="s">
        <v>75</v>
      </c>
      <c r="B101" s="335">
        <v>128</v>
      </c>
    </row>
    <row r="102" spans="1:6">
      <c r="A102" s="1212" t="s">
        <v>76</v>
      </c>
      <c r="B102" s="335">
        <v>67</v>
      </c>
    </row>
    <row r="103" spans="1:6">
      <c r="A103" s="1212" t="s">
        <v>77</v>
      </c>
      <c r="B103" s="335">
        <v>104</v>
      </c>
    </row>
    <row r="104" spans="1:6">
      <c r="A104" s="1212" t="s">
        <v>78</v>
      </c>
      <c r="B104" s="335">
        <v>2695</v>
      </c>
    </row>
    <row r="105" spans="1:6">
      <c r="A105" s="1208" t="s">
        <v>79</v>
      </c>
      <c r="B105" s="1208">
        <v>7</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27</v>
      </c>
      <c r="C123" s="335">
        <v>27</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205</v>
      </c>
    </row>
    <row r="130" spans="1:6">
      <c r="A130" s="1212" t="s">
        <v>295</v>
      </c>
      <c r="B130" s="335">
        <v>3</v>
      </c>
    </row>
    <row r="131" spans="1:6">
      <c r="A131" s="1212" t="s">
        <v>296</v>
      </c>
      <c r="B131" s="335">
        <v>4</v>
      </c>
    </row>
    <row r="132" spans="1:6">
      <c r="A132" s="1208" t="s">
        <v>297</v>
      </c>
      <c r="B132" s="338">
        <v>23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207255.97216407658</v>
      </c>
      <c r="C3" s="43" t="s">
        <v>170</v>
      </c>
      <c r="D3" s="43"/>
      <c r="E3" s="156"/>
      <c r="F3" s="43"/>
      <c r="G3" s="43"/>
      <c r="H3" s="43"/>
      <c r="I3" s="43"/>
      <c r="J3" s="43"/>
      <c r="K3" s="96"/>
    </row>
    <row r="4" spans="1:11">
      <c r="A4" s="366" t="s">
        <v>171</v>
      </c>
      <c r="B4" s="49">
        <f>IF(ISERROR('SEAP template'!B69),0,'SEAP template'!B69)</f>
        <v>99024.525174439419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15488.263994318115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0.19013885760469471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21865.310291396167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95296.339285714261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0.22944543783408441</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1439.3689999999999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1439.3689999999999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0.19013885760469471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273.67997733161178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34810.590325045603</v>
      </c>
      <c r="C5" s="17">
        <f>IF(ISERROR('Eigen informatie GS &amp; warmtenet'!B57),0,'Eigen informatie GS &amp; warmtenet'!B57)</f>
        <v>0</v>
      </c>
      <c r="D5" s="30">
        <f>(SUM(HH_hh_gas_kWh,HH_rest_gas_kWh)/1000)*0.902</f>
        <v>102840.5759053517</v>
      </c>
      <c r="E5" s="17">
        <f>B46*B57</f>
        <v>9488.1648015677056</v>
      </c>
      <c r="F5" s="17">
        <f>B51*B62</f>
        <v>10228.542681800443</v>
      </c>
      <c r="G5" s="18"/>
      <c r="H5" s="17"/>
      <c r="I5" s="17"/>
      <c r="J5" s="17">
        <f>B50*B61+C50*C61</f>
        <v>0</v>
      </c>
      <c r="K5" s="17"/>
      <c r="L5" s="17"/>
      <c r="M5" s="17"/>
      <c r="N5" s="17">
        <f>B48*B59+C48*C59</f>
        <v>30557.157149900147</v>
      </c>
      <c r="O5" s="17">
        <f>B69*B70*B71</f>
        <v>365.82000000000005</v>
      </c>
      <c r="P5" s="17">
        <f>B77*B78*B79/1000-B77*B78*B79/1000/B80</f>
        <v>991.4666666666667</v>
      </c>
    </row>
    <row r="6" spans="1:16">
      <c r="A6" s="16" t="s">
        <v>634</v>
      </c>
      <c r="B6" s="831">
        <f>kWh_PV_kleiner_dan_10kW</f>
        <v>4280.2562779201326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39090.846602965736</v>
      </c>
      <c r="C8" s="21">
        <f>C5</f>
        <v>0</v>
      </c>
      <c r="D8" s="21">
        <f>D5</f>
        <v>102840.5759053517</v>
      </c>
      <c r="E8" s="21">
        <f>E5</f>
        <v>9488.1648015677056</v>
      </c>
      <c r="F8" s="21">
        <f>F5</f>
        <v>10228.542681800443</v>
      </c>
      <c r="G8" s="21"/>
      <c r="H8" s="21"/>
      <c r="I8" s="21"/>
      <c r="J8" s="21">
        <f>J5</f>
        <v>0</v>
      </c>
      <c r="K8" s="21"/>
      <c r="L8" s="21">
        <f>L5</f>
        <v>0</v>
      </c>
      <c r="M8" s="21">
        <f>M5</f>
        <v>0</v>
      </c>
      <c r="N8" s="21">
        <f>N5</f>
        <v>30557.157149900147</v>
      </c>
      <c r="O8" s="21">
        <f>O5</f>
        <v>365.82000000000005</v>
      </c>
      <c r="P8" s="21">
        <f>P5</f>
        <v>991.4666666666667</v>
      </c>
    </row>
    <row r="9" spans="1:16">
      <c r="B9" s="19"/>
      <c r="C9" s="19"/>
      <c r="D9" s="261"/>
      <c r="E9" s="19"/>
      <c r="F9" s="19"/>
      <c r="G9" s="19"/>
      <c r="H9" s="19"/>
      <c r="I9" s="19"/>
      <c r="J9" s="19"/>
      <c r="K9" s="19"/>
      <c r="L9" s="19"/>
      <c r="M9" s="19"/>
      <c r="N9" s="19"/>
      <c r="O9" s="19"/>
      <c r="P9" s="19"/>
    </row>
    <row r="10" spans="1:16">
      <c r="A10" s="24" t="s">
        <v>214</v>
      </c>
      <c r="B10" s="25">
        <f ca="1">'EF ele_warmte'!B12</f>
        <v>0.19013885760469471</v>
      </c>
      <c r="C10" s="25">
        <f ca="1">'EF ele_warmte'!B22</f>
        <v>0.22944543783408441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7432.6889158882659</v>
      </c>
      <c r="C12" s="23">
        <f ca="1">C10*C8</f>
        <v>0</v>
      </c>
      <c r="D12" s="23">
        <f>D8*D10</f>
        <v>20773.796332881044</v>
      </c>
      <c r="E12" s="23">
        <f>E10*E8</f>
        <v>2153.8134099558692</v>
      </c>
      <c r="F12" s="23">
        <f>F10*F8</f>
        <v>2731.0208960407185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2912</v>
      </c>
      <c r="C18" s="168" t="s">
        <v>111</v>
      </c>
      <c r="D18" s="230"/>
      <c r="E18" s="15"/>
    </row>
    <row r="19" spans="1:7">
      <c r="A19" s="173" t="s">
        <v>72</v>
      </c>
      <c r="B19" s="37">
        <f>aantalw2001_ander</f>
        <v>9</v>
      </c>
      <c r="C19" s="168" t="s">
        <v>111</v>
      </c>
      <c r="D19" s="231"/>
      <c r="E19" s="15"/>
    </row>
    <row r="20" spans="1:7">
      <c r="A20" s="173" t="s">
        <v>73</v>
      </c>
      <c r="B20" s="37">
        <f>aantalw2001_propaan</f>
        <v>149</v>
      </c>
      <c r="C20" s="169">
        <f>IF(ISERROR(B20/SUM($B$20,$B$21,$B$22)*100),0,B20/SUM($B$20,$B$21,$B$22)*100)</f>
        <v>21.104815864022662</v>
      </c>
      <c r="D20" s="231"/>
      <c r="E20" s="15"/>
    </row>
    <row r="21" spans="1:7">
      <c r="A21" s="173" t="s">
        <v>74</v>
      </c>
      <c r="B21" s="37">
        <f>aantalw2001_elektriciteit</f>
        <v>429</v>
      </c>
      <c r="C21" s="169">
        <f>IF(ISERROR(B21/SUM($B$20,$B$21,$B$22)*100),0,B21/SUM($B$20,$B$21,$B$22)*100)</f>
        <v>60.76487252124646</v>
      </c>
      <c r="D21" s="231"/>
      <c r="E21" s="15"/>
    </row>
    <row r="22" spans="1:7">
      <c r="A22" s="173" t="s">
        <v>75</v>
      </c>
      <c r="B22" s="37">
        <f>aantalw2001_hout</f>
        <v>128</v>
      </c>
      <c r="C22" s="169">
        <f>IF(ISERROR(B22/SUM($B$20,$B$21,$B$22)*100),0,B22/SUM($B$20,$B$21,$B$22)*100)</f>
        <v>18.130311614730878</v>
      </c>
      <c r="D22" s="231"/>
      <c r="E22" s="15"/>
    </row>
    <row r="23" spans="1:7">
      <c r="A23" s="173" t="s">
        <v>76</v>
      </c>
      <c r="B23" s="37">
        <f>aantalw2001_niet_gespec</f>
        <v>67</v>
      </c>
      <c r="C23" s="168" t="s">
        <v>111</v>
      </c>
      <c r="D23" s="230"/>
      <c r="E23" s="15"/>
    </row>
    <row r="24" spans="1:7">
      <c r="A24" s="173" t="s">
        <v>77</v>
      </c>
      <c r="B24" s="37">
        <f>aantalw2001_steenkool</f>
        <v>104</v>
      </c>
      <c r="C24" s="168" t="s">
        <v>111</v>
      </c>
      <c r="D24" s="231"/>
      <c r="E24" s="15"/>
    </row>
    <row r="25" spans="1:7">
      <c r="A25" s="173" t="s">
        <v>78</v>
      </c>
      <c r="B25" s="37">
        <f>aantalw2001_stookolie</f>
        <v>2695</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8071</v>
      </c>
      <c r="C28" s="36"/>
      <c r="D28" s="230"/>
    </row>
    <row r="29" spans="1:7" s="15" customFormat="1">
      <c r="A29" s="232" t="s">
        <v>746</v>
      </c>
      <c r="B29" s="37">
        <f>SUM(HH_hh_gas_aantal,HH_rest_gas_aantal)</f>
        <v>5457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5457</v>
      </c>
      <c r="C32" s="169">
        <f>IF(ISERROR(B32/SUM($B$32,$B$34,$B$35,$B$36,$B$38,$B$39)*100),0,B32/SUM($B$32,$B$34,$B$35,$B$36,$B$38,$B$39)*100)</f>
        <v>68.050879161990281</v>
      </c>
      <c r="D32" s="235"/>
      <c r="G32" s="15"/>
    </row>
    <row r="33" spans="1:7">
      <c r="A33" s="173" t="s">
        <v>72</v>
      </c>
      <c r="B33" s="34" t="s">
        <v>111</v>
      </c>
      <c r="C33" s="169"/>
      <c r="D33" s="235"/>
      <c r="G33" s="15"/>
    </row>
    <row r="34" spans="1:7">
      <c r="A34" s="173" t="s">
        <v>73</v>
      </c>
      <c r="B34" s="33">
        <f>IF((($B$28-$B$32-$B$39-$B$77-$B$38)*C20/100)&lt;0,0,($B$28-$B$32-$B$39-$B$77-$B$38)*C20/100)</f>
        <v>455.33640226628893</v>
      </c>
      <c r="C34" s="169">
        <f>IF(ISERROR(B34/SUM($B$32,$B$34,$B$35,$B$36,$B$38,$B$39)*100),0,B34/SUM($B$32,$B$34,$B$35,$B$36,$B$38,$B$39)*100)</f>
        <v>5.6782192575918309</v>
      </c>
      <c r="D34" s="235"/>
      <c r="G34" s="15"/>
    </row>
    <row r="35" spans="1:7">
      <c r="A35" s="173" t="s">
        <v>74</v>
      </c>
      <c r="B35" s="33">
        <f>IF((($B$28-$B$32-$B$39-$B$77-$B$38)*C21/100)&lt;0,0,($B$28-$B$32-$B$39-$B$77-$B$38)*C21/100)</f>
        <v>1311.0021246458925</v>
      </c>
      <c r="C35" s="169">
        <f>IF(ISERROR(B35/SUM($B$32,$B$34,$B$35,$B$36,$B$38,$B$39)*100),0,B35/SUM($B$32,$B$34,$B$35,$B$36,$B$38,$B$39)*100)</f>
        <v>16.348698399375142</v>
      </c>
      <c r="D35" s="235"/>
      <c r="G35" s="15"/>
    </row>
    <row r="36" spans="1:7">
      <c r="A36" s="173" t="s">
        <v>75</v>
      </c>
      <c r="B36" s="33">
        <f>IF((($B$28-$B$32-$B$39-$B$77-$B$38)*C22/100)&lt;0,0,($B$28-$B$32-$B$39-$B$77-$B$38)*C22/100)</f>
        <v>391.16147308781865</v>
      </c>
      <c r="C36" s="169">
        <f>IF(ISERROR(B36/SUM($B$32,$B$34,$B$35,$B$36,$B$38,$B$39)*100),0,B36/SUM($B$32,$B$34,$B$35,$B$36,$B$38,$B$39)*100)</f>
        <v>4.8779333219580829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404.5</v>
      </c>
      <c r="C39" s="169">
        <f>IF(ISERROR(B39/SUM($B$32,$B$34,$B$35,$B$36,$B$38,$B$39)*100),0,B39/SUM($B$32,$B$34,$B$35,$B$36,$B$38,$B$39)*100)</f>
        <v>5.0442698590846744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5457</v>
      </c>
      <c r="C44" s="34" t="s">
        <v>111</v>
      </c>
      <c r="D44" s="176"/>
    </row>
    <row r="45" spans="1:7">
      <c r="A45" s="173" t="s">
        <v>72</v>
      </c>
      <c r="B45" s="33" t="str">
        <f t="shared" si="0"/>
        <v>-</v>
      </c>
      <c r="C45" s="34" t="s">
        <v>111</v>
      </c>
      <c r="D45" s="176"/>
    </row>
    <row r="46" spans="1:7">
      <c r="A46" s="173" t="s">
        <v>73</v>
      </c>
      <c r="B46" s="33">
        <f t="shared" si="0"/>
        <v>455.33640226628893</v>
      </c>
      <c r="C46" s="34" t="s">
        <v>111</v>
      </c>
      <c r="D46" s="176"/>
    </row>
    <row r="47" spans="1:7">
      <c r="A47" s="173" t="s">
        <v>74</v>
      </c>
      <c r="B47" s="33">
        <f t="shared" si="0"/>
        <v>1311.0021246458925</v>
      </c>
      <c r="C47" s="34" t="s">
        <v>111</v>
      </c>
      <c r="D47" s="176"/>
    </row>
    <row r="48" spans="1:7">
      <c r="A48" s="173" t="s">
        <v>75</v>
      </c>
      <c r="B48" s="33">
        <f t="shared" si="0"/>
        <v>391.16147308781865</v>
      </c>
      <c r="C48" s="33">
        <f>B48*10</f>
        <v>3911.6147308781865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404.5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234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48117.546942918612</v>
      </c>
      <c r="C5" s="17">
        <f>IF(ISERROR('Eigen informatie GS &amp; warmtenet'!B58),0,'Eigen informatie GS &amp; warmtenet'!B58)</f>
        <v>0</v>
      </c>
      <c r="D5" s="30">
        <f>SUM(D6:D12)</f>
        <v>68974.523410280774</v>
      </c>
      <c r="E5" s="17">
        <f>SUM(E6:E12)</f>
        <v>598.91931363900244</v>
      </c>
      <c r="F5" s="17">
        <f>SUM(F6:F12)</f>
        <v>9712.9031251320685</v>
      </c>
      <c r="G5" s="18"/>
      <c r="H5" s="17"/>
      <c r="I5" s="17"/>
      <c r="J5" s="17">
        <f>SUM(J6:J12)</f>
        <v>0</v>
      </c>
      <c r="K5" s="17"/>
      <c r="L5" s="17"/>
      <c r="M5" s="17"/>
      <c r="N5" s="17">
        <f>SUM(N6:N12)</f>
        <v>4265.3374988690766</v>
      </c>
      <c r="O5" s="17">
        <f>B38*B39*B40</f>
        <v>4.6900000000000004</v>
      </c>
      <c r="P5" s="17">
        <f>B46*B47*B48/1000-B46*B47*B48/1000/B49</f>
        <v>76.266666666666666</v>
      </c>
      <c r="R5" s="32"/>
    </row>
    <row r="6" spans="1:18">
      <c r="A6" s="32" t="s">
        <v>54</v>
      </c>
      <c r="B6" s="37">
        <f>B26</f>
        <v>9569.1434969502207</v>
      </c>
      <c r="C6" s="33"/>
      <c r="D6" s="37">
        <f>IF(ISERROR(TER_kantoor_gas_kWh/1000),0,TER_kantoor_gas_kWh/1000)*0.902</f>
        <v>9992.7463821835845</v>
      </c>
      <c r="E6" s="33">
        <f>$C$26*'E Balans VL '!I12/100/3.6*1000000</f>
        <v>37.178148391368985</v>
      </c>
      <c r="F6" s="33">
        <f>$C$26*('E Balans VL '!L12+'E Balans VL '!N12)/100/3.6*1000000</f>
        <v>1455.3796536223097</v>
      </c>
      <c r="G6" s="34"/>
      <c r="H6" s="33"/>
      <c r="I6" s="33"/>
      <c r="J6" s="33">
        <f>$C$26*('E Balans VL '!D12+'E Balans VL '!E12)/100/3.6*1000000</f>
        <v>0</v>
      </c>
      <c r="K6" s="33"/>
      <c r="L6" s="33"/>
      <c r="M6" s="33"/>
      <c r="N6" s="33">
        <f>$C$26*'E Balans VL '!Y12/100/3.6*1000000</f>
        <v>5.2737444219792833</v>
      </c>
      <c r="O6" s="33"/>
      <c r="P6" s="33"/>
      <c r="R6" s="32"/>
    </row>
    <row r="7" spans="1:18">
      <c r="A7" s="32" t="s">
        <v>53</v>
      </c>
      <c r="B7" s="37">
        <f t="shared" ref="B7:B12" si="0">B27</f>
        <v>2736.9840463354003</v>
      </c>
      <c r="C7" s="33"/>
      <c r="D7" s="37">
        <f>IF(ISERROR(TER_horeca_gas_kWh/1000),0,TER_horeca_gas_kWh/1000)*0.902</f>
        <v>3776.0364156704291</v>
      </c>
      <c r="E7" s="33">
        <f>$C$27*'E Balans VL '!I9/100/3.6*1000000</f>
        <v>154.17504307836919</v>
      </c>
      <c r="F7" s="33">
        <f>$C$27*('E Balans VL '!L9+'E Balans VL '!N9)/100/3.6*1000000</f>
        <v>789.18233907331069</v>
      </c>
      <c r="G7" s="34"/>
      <c r="H7" s="33"/>
      <c r="I7" s="33"/>
      <c r="J7" s="33">
        <f>$C$27*('E Balans VL '!D9+'E Balans VL '!E9)/100/3.6*1000000</f>
        <v>0</v>
      </c>
      <c r="K7" s="33"/>
      <c r="L7" s="33"/>
      <c r="M7" s="33"/>
      <c r="N7" s="33">
        <f>$C$27*'E Balans VL '!Y9/100/3.6*1000000</f>
        <v>0.75566707248592857</v>
      </c>
      <c r="O7" s="33"/>
      <c r="P7" s="33"/>
      <c r="R7" s="32"/>
    </row>
    <row r="8" spans="1:18">
      <c r="A8" s="6" t="s">
        <v>52</v>
      </c>
      <c r="B8" s="37">
        <f t="shared" si="0"/>
        <v>8034.5387536777498</v>
      </c>
      <c r="C8" s="33"/>
      <c r="D8" s="37">
        <f>IF(ISERROR(TER_handel_gas_kWh/1000),0,TER_handel_gas_kWh/1000)*0.902</f>
        <v>4322.6302502708431</v>
      </c>
      <c r="E8" s="33">
        <f>$C$28*'E Balans VL '!I13/100/3.6*1000000</f>
        <v>115.80496191893204</v>
      </c>
      <c r="F8" s="33">
        <f>$C$28*('E Balans VL '!L13+'E Balans VL '!N13)/100/3.6*1000000</f>
        <v>1395.7864932953098</v>
      </c>
      <c r="G8" s="34"/>
      <c r="H8" s="33"/>
      <c r="I8" s="33"/>
      <c r="J8" s="33">
        <f>$C$28*('E Balans VL '!D13+'E Balans VL '!E13)/100/3.6*1000000</f>
        <v>0</v>
      </c>
      <c r="K8" s="33"/>
      <c r="L8" s="33"/>
      <c r="M8" s="33"/>
      <c r="N8" s="33">
        <f>$C$28*'E Balans VL '!Y13/100/3.6*1000000</f>
        <v>24.072372529297851</v>
      </c>
      <c r="O8" s="33"/>
      <c r="P8" s="33"/>
      <c r="R8" s="32"/>
    </row>
    <row r="9" spans="1:18">
      <c r="A9" s="32" t="s">
        <v>51</v>
      </c>
      <c r="B9" s="37">
        <f t="shared" si="0"/>
        <v>203.532328541146</v>
      </c>
      <c r="C9" s="33"/>
      <c r="D9" s="37">
        <f>IF(ISERROR(TER_gezond_gas_kWh/1000),0,TER_gezond_gas_kWh/1000)*0.902</f>
        <v>441.79281197411746</v>
      </c>
      <c r="E9" s="33">
        <f>$C$29*'E Balans VL '!I10/100/3.6*1000000</f>
        <v>0.21742528052418569</v>
      </c>
      <c r="F9" s="33">
        <f>$C$29*('E Balans VL '!L10+'E Balans VL '!N10)/100/3.6*1000000</f>
        <v>33.202308364640636</v>
      </c>
      <c r="G9" s="34"/>
      <c r="H9" s="33"/>
      <c r="I9" s="33"/>
      <c r="J9" s="33">
        <f>$C$29*('E Balans VL '!D10+'E Balans VL '!E10)/100/3.6*1000000</f>
        <v>0</v>
      </c>
      <c r="K9" s="33"/>
      <c r="L9" s="33"/>
      <c r="M9" s="33"/>
      <c r="N9" s="33">
        <f>$C$29*'E Balans VL '!Y10/100/3.6*1000000</f>
        <v>2.0952491891013261</v>
      </c>
      <c r="O9" s="33"/>
      <c r="P9" s="33"/>
      <c r="R9" s="32"/>
    </row>
    <row r="10" spans="1:18">
      <c r="A10" s="32" t="s">
        <v>50</v>
      </c>
      <c r="B10" s="37">
        <f t="shared" si="0"/>
        <v>3504.8354722239501</v>
      </c>
      <c r="C10" s="33"/>
      <c r="D10" s="37">
        <f>IF(ISERROR(TER_ander_gas_kWh/1000),0,TER_ander_gas_kWh/1000)*0.902</f>
        <v>14785.527734951274</v>
      </c>
      <c r="E10" s="33">
        <f>$C$30*'E Balans VL '!I14/100/3.6*1000000</f>
        <v>16.118205211706808</v>
      </c>
      <c r="F10" s="33">
        <f>$C$30*('E Balans VL '!L14+'E Balans VL '!N14)/100/3.6*1000000</f>
        <v>1050.5097434725774</v>
      </c>
      <c r="G10" s="34"/>
      <c r="H10" s="33"/>
      <c r="I10" s="33"/>
      <c r="J10" s="33">
        <f>$C$30*('E Balans VL '!D14+'E Balans VL '!E14)/100/3.6*1000000</f>
        <v>0</v>
      </c>
      <c r="K10" s="33"/>
      <c r="L10" s="33"/>
      <c r="M10" s="33"/>
      <c r="N10" s="33">
        <f>$C$30*'E Balans VL '!Y14/100/3.6*1000000</f>
        <v>2439.5968455515067</v>
      </c>
      <c r="O10" s="33"/>
      <c r="P10" s="33"/>
      <c r="R10" s="32"/>
    </row>
    <row r="11" spans="1:18">
      <c r="A11" s="32" t="s">
        <v>55</v>
      </c>
      <c r="B11" s="37">
        <f t="shared" si="0"/>
        <v>1474.1791794025501</v>
      </c>
      <c r="C11" s="33"/>
      <c r="D11" s="37">
        <f>IF(ISERROR(TER_onderwijs_gas_kWh/1000),0,TER_onderwijs_gas_kWh/1000)*0.902</f>
        <v>3833.9775473275181</v>
      </c>
      <c r="E11" s="33">
        <f>$C$31*'E Balans VL '!I11/100/3.6*1000000</f>
        <v>1.367495056398631</v>
      </c>
      <c r="F11" s="33">
        <f>$C$31*('E Balans VL '!L11+'E Balans VL '!N11)/100/3.6*1000000</f>
        <v>517.84526415163396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22594.333665787599</v>
      </c>
      <c r="C12" s="33"/>
      <c r="D12" s="37">
        <f>IF(ISERROR(TER_rest_gas_kWh/1000),0,TER_rest_gas_kWh/1000)*0.902</f>
        <v>31821.812267903009</v>
      </c>
      <c r="E12" s="33">
        <f>$C$32*'E Balans VL '!I8/100/3.6*1000000</f>
        <v>274.05803470170258</v>
      </c>
      <c r="F12" s="33">
        <f>$C$32*('E Balans VL '!L8+'E Balans VL '!N8)/100/3.6*1000000</f>
        <v>4470.9973231522863</v>
      </c>
      <c r="G12" s="34"/>
      <c r="H12" s="33"/>
      <c r="I12" s="33"/>
      <c r="J12" s="33">
        <f>$C$32*('E Balans VL '!D8+'E Balans VL '!E8)/100/3.6*1000000</f>
        <v>0</v>
      </c>
      <c r="K12" s="33"/>
      <c r="L12" s="33"/>
      <c r="M12" s="33"/>
      <c r="N12" s="33">
        <f>$C$32*'E Balans VL '!Y8/100/3.6*1000000</f>
        <v>1793.5436201047053</v>
      </c>
      <c r="O12" s="33"/>
      <c r="P12" s="33"/>
      <c r="R12" s="32"/>
    </row>
    <row r="13" spans="1:18">
      <c r="A13" s="16" t="s">
        <v>497</v>
      </c>
      <c r="B13" s="249">
        <f ca="1">'lokale energieproductie'!N90+'lokale energieproductie'!N59</f>
        <v>10341</v>
      </c>
      <c r="C13" s="249">
        <f ca="1">'lokale energieproductie'!O90+'lokale energieproductie'!O59</f>
        <v>12857.142857142857</v>
      </c>
      <c r="D13" s="312">
        <f ca="1">('lokale energieproductie'!P59+'lokale energieproductie'!P90)*(-1)</f>
        <v>-25714.285714285717</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58458.546942918612</v>
      </c>
      <c r="C16" s="21">
        <f t="shared" ca="1" si="1"/>
        <v>12857.142857142857</v>
      </c>
      <c r="D16" s="21">
        <f t="shared" ca="1" si="1"/>
        <v>43260.237695995056</v>
      </c>
      <c r="E16" s="21">
        <f t="shared" si="1"/>
        <v>598.91931363900244</v>
      </c>
      <c r="F16" s="21">
        <f t="shared" ca="1" si="1"/>
        <v>9712.9031251320685</v>
      </c>
      <c r="G16" s="21">
        <f t="shared" si="1"/>
        <v>0</v>
      </c>
      <c r="H16" s="21">
        <f t="shared" si="1"/>
        <v>0</v>
      </c>
      <c r="I16" s="21">
        <f t="shared" si="1"/>
        <v>0</v>
      </c>
      <c r="J16" s="21">
        <f t="shared" si="1"/>
        <v>0</v>
      </c>
      <c r="K16" s="21">
        <f t="shared" si="1"/>
        <v>0</v>
      </c>
      <c r="L16" s="21">
        <f t="shared" ca="1" si="1"/>
        <v>0</v>
      </c>
      <c r="M16" s="21">
        <f t="shared" si="1"/>
        <v>0</v>
      </c>
      <c r="N16" s="21">
        <f t="shared" ca="1" si="1"/>
        <v>433.90892744050507</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0.19013885760469471</v>
      </c>
      <c r="C18" s="25">
        <f ca="1">'EF ele_warmte'!B22</f>
        <v>0.22944543783408441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11115.241332956963</v>
      </c>
      <c r="C20" s="23">
        <f t="shared" ref="C20:P20" ca="1" si="2">C16*C18</f>
        <v>2950.0127721525137</v>
      </c>
      <c r="D20" s="23">
        <f t="shared" ca="1" si="2"/>
        <v>8738.5680145910028</v>
      </c>
      <c r="E20" s="23">
        <f t="shared" si="2"/>
        <v>135.95468419605356</v>
      </c>
      <c r="F20" s="23">
        <f t="shared" ca="1" si="2"/>
        <v>2593.3451344102623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9569.1434969502207</v>
      </c>
      <c r="C26" s="39">
        <f>IF(ISERROR(B26*3.6/1000000/'E Balans VL '!Z12*100),0,B26*3.6/1000000/'E Balans VL '!Z12*100)</f>
        <v>0.20325334781272761</v>
      </c>
      <c r="D26" s="239" t="s">
        <v>692</v>
      </c>
      <c r="F26" s="6"/>
    </row>
    <row r="27" spans="1:18">
      <c r="A27" s="233" t="s">
        <v>53</v>
      </c>
      <c r="B27" s="33">
        <f>IF(ISERROR(TER_horeca_ele_kWh/1000),0,TER_horeca_ele_kWh/1000)</f>
        <v>2736.9840463354003</v>
      </c>
      <c r="C27" s="39">
        <f>IF(ISERROR(B27*3.6/1000000/'E Balans VL '!Z9*100),0,B27*3.6/1000000/'E Balans VL '!Z9*100)</f>
        <v>0.21281717804971387</v>
      </c>
      <c r="D27" s="239" t="s">
        <v>692</v>
      </c>
      <c r="F27" s="6"/>
    </row>
    <row r="28" spans="1:18">
      <c r="A28" s="173" t="s">
        <v>52</v>
      </c>
      <c r="B28" s="33">
        <f>IF(ISERROR(TER_handel_ele_kWh/1000),0,TER_handel_ele_kWh/1000)</f>
        <v>8034.5387536777498</v>
      </c>
      <c r="C28" s="39">
        <f>IF(ISERROR(B28*3.6/1000000/'E Balans VL '!Z13*100),0,B28*3.6/1000000/'E Balans VL '!Z13*100)</f>
        <v>0.22987760944893115</v>
      </c>
      <c r="D28" s="239" t="s">
        <v>692</v>
      </c>
      <c r="F28" s="6"/>
    </row>
    <row r="29" spans="1:18">
      <c r="A29" s="233" t="s">
        <v>51</v>
      </c>
      <c r="B29" s="33">
        <f>IF(ISERROR(TER_gezond_ele_kWh/1000),0,TER_gezond_ele_kWh/1000)</f>
        <v>203.532328541146</v>
      </c>
      <c r="C29" s="39">
        <f>IF(ISERROR(B29*3.6/1000000/'E Balans VL '!Z10*100),0,B29*3.6/1000000/'E Balans VL '!Z10*100)</f>
        <v>2.2189753335079752E-2</v>
      </c>
      <c r="D29" s="239" t="s">
        <v>692</v>
      </c>
      <c r="F29" s="6"/>
    </row>
    <row r="30" spans="1:18">
      <c r="A30" s="233" t="s">
        <v>50</v>
      </c>
      <c r="B30" s="33">
        <f>IF(ISERROR(TER_ander_ele_kWh/1000),0,TER_ander_ele_kWh/1000)</f>
        <v>3504.8354722239501</v>
      </c>
      <c r="C30" s="39">
        <f>IF(ISERROR(B30*3.6/1000000/'E Balans VL '!Z14*100),0,B30*3.6/1000000/'E Balans VL '!Z14*100)</f>
        <v>0.25647590932655079</v>
      </c>
      <c r="D30" s="239" t="s">
        <v>692</v>
      </c>
      <c r="F30" s="6"/>
    </row>
    <row r="31" spans="1:18">
      <c r="A31" s="233" t="s">
        <v>55</v>
      </c>
      <c r="B31" s="33">
        <f>IF(ISERROR(TER_onderwijs_ele_kWh/1000),0,TER_onderwijs_ele_kWh/1000)</f>
        <v>1474.1791794025501</v>
      </c>
      <c r="C31" s="39">
        <f>IF(ISERROR(B31*3.6/1000000/'E Balans VL '!Z11*100),0,B31*3.6/1000000/'E Balans VL '!Z11*100)</f>
        <v>0.2960899828782747</v>
      </c>
      <c r="D31" s="239" t="s">
        <v>692</v>
      </c>
    </row>
    <row r="32" spans="1:18">
      <c r="A32" s="233" t="s">
        <v>260</v>
      </c>
      <c r="B32" s="33">
        <f>IF(ISERROR(TER_rest_ele_kWh/1000),0,TER_rest_ele_kWh/1000)</f>
        <v>22594.333665787599</v>
      </c>
      <c r="C32" s="39">
        <f>IF(ISERROR(B32*3.6/1000000/'E Balans VL '!Z8*100),0,B32*3.6/1000000/'E Balans VL '!Z8*100)</f>
        <v>0.18413010757175285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87229.689590968832</v>
      </c>
      <c r="C5" s="17">
        <f>IF(ISERROR('Eigen informatie GS &amp; warmtenet'!B59),0,'Eigen informatie GS &amp; warmtenet'!B59)</f>
        <v>0</v>
      </c>
      <c r="D5" s="30">
        <f>SUM(D6:D15)</f>
        <v>62216.493813216155</v>
      </c>
      <c r="E5" s="17">
        <f>SUM(E6:E15)</f>
        <v>6372.564860744581</v>
      </c>
      <c r="F5" s="17">
        <f>SUM(F6:F15)</f>
        <v>27606.081966684673</v>
      </c>
      <c r="G5" s="18"/>
      <c r="H5" s="17"/>
      <c r="I5" s="17"/>
      <c r="J5" s="17">
        <f>SUM(J6:J15)</f>
        <v>185.40979560013591</v>
      </c>
      <c r="K5" s="17"/>
      <c r="L5" s="17"/>
      <c r="M5" s="17"/>
      <c r="N5" s="17">
        <f>SUM(N6:N15)</f>
        <v>23698.841282640991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1256.9236703111799</v>
      </c>
      <c r="C8" s="33"/>
      <c r="D8" s="37">
        <f>IF( ISERROR(IND_metaal_Gas_kWH/1000),0,IND_metaal_Gas_kWH/1000)*0.902</f>
        <v>677.0920341012162</v>
      </c>
      <c r="E8" s="33">
        <f>C30*'E Balans VL '!I18/100/3.6*1000000</f>
        <v>36.10356572400871</v>
      </c>
      <c r="F8" s="33">
        <f>C30*'E Balans VL '!L18/100/3.6*1000000+C30*'E Balans VL '!N18/100/3.6*1000000</f>
        <v>322.37674731854423</v>
      </c>
      <c r="G8" s="34"/>
      <c r="H8" s="33"/>
      <c r="I8" s="33"/>
      <c r="J8" s="40">
        <f>C30*'E Balans VL '!D18/100/3.6*1000000+C30*'E Balans VL '!E18/100/3.6*1000000</f>
        <v>0</v>
      </c>
      <c r="K8" s="33"/>
      <c r="L8" s="33"/>
      <c r="M8" s="33"/>
      <c r="N8" s="33">
        <f>C30*'E Balans VL '!Y18/100/3.6*1000000</f>
        <v>34.128043393668499</v>
      </c>
      <c r="O8" s="33"/>
      <c r="P8" s="33"/>
      <c r="R8" s="32"/>
    </row>
    <row r="9" spans="1:18">
      <c r="A9" s="6" t="s">
        <v>33</v>
      </c>
      <c r="B9" s="37">
        <f t="shared" si="0"/>
        <v>7348.1822609246601</v>
      </c>
      <c r="C9" s="33"/>
      <c r="D9" s="37">
        <f>IF( ISERROR(IND_andere_gas_kWh/1000),0,IND_andere_gas_kWh/1000)*0.902</f>
        <v>1102.2485093418918</v>
      </c>
      <c r="E9" s="33">
        <f>C31*'E Balans VL '!I19/100/3.6*1000000</f>
        <v>1988.9722679778533</v>
      </c>
      <c r="F9" s="33">
        <f>C31*'E Balans VL '!L19/100/3.6*1000000+C31*'E Balans VL '!N19/100/3.6*1000000</f>
        <v>4894.6669858921114</v>
      </c>
      <c r="G9" s="34"/>
      <c r="H9" s="33"/>
      <c r="I9" s="33"/>
      <c r="J9" s="40">
        <f>C31*'E Balans VL '!D19/100/3.6*1000000+C31*'E Balans VL '!E19/100/3.6*1000000</f>
        <v>0</v>
      </c>
      <c r="K9" s="33"/>
      <c r="L9" s="33"/>
      <c r="M9" s="33"/>
      <c r="N9" s="33">
        <f>C31*'E Balans VL '!Y19/100/3.6*1000000</f>
        <v>2399.059444434547</v>
      </c>
      <c r="O9" s="33"/>
      <c r="P9" s="33"/>
      <c r="R9" s="32"/>
    </row>
    <row r="10" spans="1:18">
      <c r="A10" s="6" t="s">
        <v>41</v>
      </c>
      <c r="B10" s="37">
        <f t="shared" si="0"/>
        <v>3471.6095998506203</v>
      </c>
      <c r="C10" s="33"/>
      <c r="D10" s="37">
        <f>IF( ISERROR(IND_voed_gas_kWh/1000),0,IND_voed_gas_kWh/1000)*0.902</f>
        <v>250.43999162125436</v>
      </c>
      <c r="E10" s="33">
        <f>C32*'E Balans VL '!I20/100/3.6*1000000</f>
        <v>283.15245477933075</v>
      </c>
      <c r="F10" s="33">
        <f>C32*'E Balans VL '!L20/100/3.6*1000000+C32*'E Balans VL '!N20/100/3.6*1000000</f>
        <v>5176.4848853984286</v>
      </c>
      <c r="G10" s="34"/>
      <c r="H10" s="33"/>
      <c r="I10" s="33"/>
      <c r="J10" s="40">
        <f>C32*'E Balans VL '!D20/100/3.6*1000000+C32*'E Balans VL '!E20/100/3.6*1000000</f>
        <v>4.5925181037275969E-2</v>
      </c>
      <c r="K10" s="33"/>
      <c r="L10" s="33"/>
      <c r="M10" s="33"/>
      <c r="N10" s="33">
        <f>C32*'E Balans VL '!Y20/100/3.6*1000000</f>
        <v>1019.8364005422349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2831.7401896269698</v>
      </c>
      <c r="C13" s="33"/>
      <c r="D13" s="37">
        <f>IF( ISERROR(IND_papier_gas_kWh/1000),0,IND_papier_gas_kWh/1000)*0.902</f>
        <v>0</v>
      </c>
      <c r="E13" s="33">
        <f>C35*'E Balans VL '!I23/100/3.6*1000000</f>
        <v>29.667637287386619</v>
      </c>
      <c r="F13" s="33">
        <f>C35*'E Balans VL '!L23/100/3.6*1000000+C35*'E Balans VL '!N23/100/3.6*1000000</f>
        <v>211.30495486467956</v>
      </c>
      <c r="G13" s="34"/>
      <c r="H13" s="33"/>
      <c r="I13" s="33"/>
      <c r="J13" s="40">
        <f>C35*'E Balans VL '!D23/100/3.6*1000000+C35*'E Balans VL '!E23/100/3.6*1000000</f>
        <v>0</v>
      </c>
      <c r="K13" s="33"/>
      <c r="L13" s="33"/>
      <c r="M13" s="33"/>
      <c r="N13" s="33">
        <f>C35*'E Balans VL '!Y23/100/3.6*1000000</f>
        <v>6052.5490872671808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72321.233870255397</v>
      </c>
      <c r="C15" s="33"/>
      <c r="D15" s="37">
        <f>IF( ISERROR(IND_rest_gas_kWh/1000),0,IND_rest_gas_kWh/1000)*0.902</f>
        <v>60186.713278151794</v>
      </c>
      <c r="E15" s="33">
        <f>C37*'E Balans VL '!I15/100/3.6*1000000</f>
        <v>4034.6689349760018</v>
      </c>
      <c r="F15" s="33">
        <f>C37*'E Balans VL '!L15/100/3.6*1000000+C37*'E Balans VL '!N15/100/3.6*1000000</f>
        <v>17001.248393210906</v>
      </c>
      <c r="G15" s="34"/>
      <c r="H15" s="33"/>
      <c r="I15" s="33"/>
      <c r="J15" s="40">
        <f>C37*'E Balans VL '!D15/100/3.6*1000000+C37*'E Balans VL '!E15/100/3.6*1000000</f>
        <v>185.36387041909865</v>
      </c>
      <c r="K15" s="33"/>
      <c r="L15" s="33"/>
      <c r="M15" s="33"/>
      <c r="N15" s="33">
        <f>C37*'E Balans VL '!Y15/100/3.6*1000000</f>
        <v>14193.26830700336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87229.689590968832</v>
      </c>
      <c r="C18" s="21">
        <f>C5+C16</f>
        <v>0</v>
      </c>
      <c r="D18" s="21">
        <f>MAX((D5+D16),0)</f>
        <v>62216.493813216155</v>
      </c>
      <c r="E18" s="21">
        <f>MAX((E5+E16),0)</f>
        <v>6372.564860744581</v>
      </c>
      <c r="F18" s="21">
        <f>MAX((F5+F16),0)</f>
        <v>27606.081966684673</v>
      </c>
      <c r="G18" s="21"/>
      <c r="H18" s="21"/>
      <c r="I18" s="21"/>
      <c r="J18" s="21">
        <f>MAX((J5+J16),0)</f>
        <v>185.40979560013591</v>
      </c>
      <c r="K18" s="21"/>
      <c r="L18" s="21">
        <f>MAX((L5+L16),0)</f>
        <v>0</v>
      </c>
      <c r="M18" s="21"/>
      <c r="N18" s="21">
        <f>MAX((N5+N16),0)</f>
        <v>23698.841282640991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0.19013885760469471</v>
      </c>
      <c r="C20" s="25">
        <f ca="1">'EF ele_warmte'!B22</f>
        <v>0.22944543783408441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16585.753528038942</v>
      </c>
      <c r="C22" s="23">
        <f ca="1">C18*C20</f>
        <v>0</v>
      </c>
      <c r="D22" s="23">
        <f>D18*D20</f>
        <v>12567.731750269664</v>
      </c>
      <c r="E22" s="23">
        <f>E18*E20</f>
        <v>1446.5722233890199</v>
      </c>
      <c r="F22" s="23">
        <f>F18*F20</f>
        <v>7370.8238851048081</v>
      </c>
      <c r="G22" s="23"/>
      <c r="H22" s="23"/>
      <c r="I22" s="23"/>
      <c r="J22" s="23">
        <f>J18*J20</f>
        <v>65.635067642448107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1256.9236703111799</v>
      </c>
      <c r="C30" s="39">
        <f>IF(ISERROR(B30*3.6/1000000/'E Balans VL '!Z18*100),0,B30*3.6/1000000/'E Balans VL '!Z18*100)</f>
        <v>0.12367808057428441</v>
      </c>
      <c r="D30" s="239" t="s">
        <v>692</v>
      </c>
    </row>
    <row r="31" spans="1:18">
      <c r="A31" s="6" t="s">
        <v>33</v>
      </c>
      <c r="B31" s="37">
        <f>IF( ISERROR(IND_ander_ele_kWh/1000),0,IND_ander_ele_kWh/1000)</f>
        <v>7348.1822609246601</v>
      </c>
      <c r="C31" s="39">
        <f>IF(ISERROR(B31*3.6/1000000/'E Balans VL '!Z19*100),0,B31*3.6/1000000/'E Balans VL '!Z19*100)</f>
        <v>0.32000747587601985</v>
      </c>
      <c r="D31" s="239" t="s">
        <v>692</v>
      </c>
    </row>
    <row r="32" spans="1:18">
      <c r="A32" s="173" t="s">
        <v>41</v>
      </c>
      <c r="B32" s="37">
        <f>IF( ISERROR(IND_voed_ele_kWh/1000),0,IND_voed_ele_kWh/1000)</f>
        <v>3471.6095998506203</v>
      </c>
      <c r="C32" s="39">
        <f>IF(ISERROR(B32*3.6/1000000/'E Balans VL '!Z20*100),0,B32*3.6/1000000/'E Balans VL '!Z20*100)</f>
        <v>0.65868785551468922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2831.7401896269698</v>
      </c>
      <c r="C35" s="39">
        <f>IF(ISERROR(B35*3.6/1000000/'E Balans VL '!Z22*100),0,B35*3.6/1000000/'E Balans VL '!Z22*100)</f>
        <v>0.39817110611021372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72321.233870255397</v>
      </c>
      <c r="C37" s="39">
        <f>IF(ISERROR(B37*3.6/1000000/'E Balans VL '!Z15*100),0,B37*3.6/1000000/'E Balans VL '!Z15*100)</f>
        <v>0.55732393575565897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21023.338741562369</v>
      </c>
      <c r="C5" s="17">
        <f>'Eigen informatie GS &amp; warmtenet'!B60</f>
        <v>0</v>
      </c>
      <c r="D5" s="30">
        <f>IF(ISERROR(SUM(LB_lb_gas_kWh,LB_rest_gas_kWh,onbekend_gas_kWh)/1000),0,SUM(LB_lb_gas_kWh,LB_rest_gas_kWh,onbekend_gas_kWh)/1000)*0.902</f>
        <v>182632.32465535891</v>
      </c>
      <c r="E5" s="17">
        <f>B17*'E Balans VL '!I25/3.6*1000000/100</f>
        <v>264.92115171063148</v>
      </c>
      <c r="F5" s="17">
        <f>B17*('E Balans VL '!L25/3.6*1000000+'E Balans VL '!N25/3.6*1000000)/100</f>
        <v>72535.785319440853</v>
      </c>
      <c r="G5" s="18"/>
      <c r="H5" s="17"/>
      <c r="I5" s="17"/>
      <c r="J5" s="17">
        <f>('E Balans VL '!D25+'E Balans VL '!E25)/3.6*1000000*landbouw!B17/100</f>
        <v>3161.6711618507279</v>
      </c>
      <c r="K5" s="17"/>
      <c r="L5" s="17">
        <f>L6*(-1)</f>
        <v>7020</v>
      </c>
      <c r="M5" s="17"/>
      <c r="N5" s="17">
        <f>N6*(-1)</f>
        <v>342.96428571428572</v>
      </c>
      <c r="O5" s="17"/>
      <c r="P5" s="17"/>
      <c r="R5" s="32"/>
    </row>
    <row r="6" spans="1:18">
      <c r="A6" s="16" t="s">
        <v>497</v>
      </c>
      <c r="B6" s="17" t="s">
        <v>211</v>
      </c>
      <c r="C6" s="17">
        <f>'lokale energieproductie'!O91+'lokale energieproductie'!O60</f>
        <v>82439.196428571406</v>
      </c>
      <c r="D6" s="312">
        <f>('lokale energieproductie'!P60+'lokale energieproductie'!P91)*(-1)</f>
        <v>-156111.42857142855</v>
      </c>
      <c r="E6" s="250"/>
      <c r="F6" s="312">
        <f>('lokale energieproductie'!S60+'lokale energieproductie'!S91)*(-1)</f>
        <v>-2340</v>
      </c>
      <c r="G6" s="251"/>
      <c r="H6" s="250"/>
      <c r="I6" s="250"/>
      <c r="J6" s="250"/>
      <c r="K6" s="250"/>
      <c r="L6" s="312">
        <f>('lokale energieproductie'!T60+'lokale energieproductie'!U60+'lokale energieproductie'!T91+'lokale energieproductie'!U91)*(-1)</f>
        <v>-7020</v>
      </c>
      <c r="M6" s="250"/>
      <c r="N6" s="312">
        <f>('lokale energieproductie'!V60+'lokale energieproductie'!R60+'lokale energieproductie'!Q60+'lokale energieproductie'!Q91+'lokale energieproductie'!R91+'lokale energieproductie'!V91)*(-1)</f>
        <v>-342.96428571428572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21023.338741562369</v>
      </c>
      <c r="C8" s="21">
        <f>C5+C6</f>
        <v>82439.196428571406</v>
      </c>
      <c r="D8" s="21">
        <f>MAX((D5+D6),0)</f>
        <v>26520.896083930362</v>
      </c>
      <c r="E8" s="21">
        <f>MAX((E5+E6),0)</f>
        <v>264.92115171063148</v>
      </c>
      <c r="F8" s="21">
        <f>MAX((F5+F6),0)</f>
        <v>70195.785319440853</v>
      </c>
      <c r="G8" s="21"/>
      <c r="H8" s="21"/>
      <c r="I8" s="21"/>
      <c r="J8" s="21">
        <f>MAX((J5+J6),0)</f>
        <v>3161.6711618507279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0.19013885760469471</v>
      </c>
      <c r="C10" s="31">
        <f ca="1">'EF ele_warmte'!B22</f>
        <v>0.22944543783408441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3997.353611357189</v>
      </c>
      <c r="C12" s="23">
        <f ca="1">C8*C10</f>
        <v>18915.297519243653</v>
      </c>
      <c r="D12" s="23">
        <f>D8*D10</f>
        <v>5357.2210089539331</v>
      </c>
      <c r="E12" s="23">
        <f>E8*E10</f>
        <v>60.137101438313344</v>
      </c>
      <c r="F12" s="23">
        <f>F8*F10</f>
        <v>18742.27468029071</v>
      </c>
      <c r="G12" s="23"/>
      <c r="H12" s="23"/>
      <c r="I12" s="23"/>
      <c r="J12" s="23">
        <f>J8*J10</f>
        <v>1119.2315912951576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2.9320931372732923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1741.9634383893547</v>
      </c>
      <c r="C26" s="249">
        <f>B26*'GWP N2O_CH4'!B5</f>
        <v>36581.23220617645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1407.4482289905163</v>
      </c>
      <c r="C27" s="249">
        <f>B27*'GWP N2O_CH4'!B5</f>
        <v>29556.412808800844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27.750341064703058</v>
      </c>
      <c r="C28" s="249">
        <f>B28*'GWP N2O_CH4'!B4</f>
        <v>8602.6057300579487</v>
      </c>
      <c r="D28" s="50"/>
    </row>
    <row r="29" spans="1:4">
      <c r="A29" s="41" t="s">
        <v>277</v>
      </c>
      <c r="B29" s="249">
        <f>B34*'ha_N2O bodem landbouw'!B4</f>
        <v>36.92511314105095</v>
      </c>
      <c r="C29" s="249">
        <f>B29*'GWP N2O_CH4'!B4</f>
        <v>11446.785073725794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9.2198317852919959E-3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5.1052628379758924E-5</v>
      </c>
      <c r="C5" s="448" t="s">
        <v>211</v>
      </c>
      <c r="D5" s="433">
        <f>SUM(D6:D11)</f>
        <v>8.2522331363373949E-5</v>
      </c>
      <c r="E5" s="433">
        <f>SUM(E6:E11)</f>
        <v>2.8604697016605335E-3</v>
      </c>
      <c r="F5" s="446" t="s">
        <v>211</v>
      </c>
      <c r="G5" s="433">
        <f>SUM(G6:G11)</f>
        <v>0.93092385329177918</v>
      </c>
      <c r="H5" s="433">
        <f>SUM(H6:H11)</f>
        <v>0.12690637216267145</v>
      </c>
      <c r="I5" s="448" t="s">
        <v>211</v>
      </c>
      <c r="J5" s="448" t="s">
        <v>211</v>
      </c>
      <c r="K5" s="448" t="s">
        <v>211</v>
      </c>
      <c r="L5" s="448" t="s">
        <v>211</v>
      </c>
      <c r="M5" s="433">
        <f>SUM(M6:M11)</f>
        <v>4.7428043126796084E-2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1.5964503619817038E-5</v>
      </c>
      <c r="C6" s="949"/>
      <c r="D6" s="949">
        <f>vkm_2011_GW_PW*SUMIFS(TableVerdeelsleutelVkm[CNG],TableVerdeelsleutelVkm[Voertuigtype],"Lichte voertuigen")*SUMIFS(TableECFTransport[EnergieConsumptieFactor (PJ per km)],TableECFTransport[Index],CONCATENATE($A6,"_CNG_CNG"))</f>
        <v>2.2608859473088217E-5</v>
      </c>
      <c r="E6" s="949">
        <f>vkm_2011_GW_PW*SUMIFS(TableVerdeelsleutelVkm[LPG],TableVerdeelsleutelVkm[Voertuigtype],"Lichte voertuigen")*SUMIFS(TableECFTransport[EnergieConsumptieFactor (PJ per km)],TableECFTransport[Index],CONCATENATE($A6,"_LPG_LPG"))</f>
        <v>7.1006984571933942E-4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0.12761899443614128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3.429238481573043E-2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7.2252033054914962E-3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8.6341714971812936E-2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3.0762297892200085E-5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3.8962423623506428E-3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7.6880749729270619E-6</v>
      </c>
      <c r="C8" s="949"/>
      <c r="D8" s="436">
        <f>vkm_2011_NGW_PW*SUMIFS(TableVerdeelsleutelVkm[CNG],TableVerdeelsleutelVkm[Voertuigtype],"Lichte voertuigen")*SUMIFS(TableECFTransport[EnergieConsumptieFactor (PJ per km)],TableECFTransport[Index],CONCATENATE($A8,"_CNG_CNG"))</f>
        <v>1.9396833060338674E-5</v>
      </c>
      <c r="E8" s="436">
        <f>vkm_2011_NGW_PW*SUMIFS(TableVerdeelsleutelVkm[LPG],TableVerdeelsleutelVkm[Voertuigtype],"Lichte voertuigen")*SUMIFS(TableECFTransport[EnergieConsumptieFactor (PJ per km)],TableECFTransport[Index],CONCATENATE($A8,"_LPG_LPG"))</f>
        <v>5.6110676686060043E-4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9.5113038033280514E-2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2.8387876290874071E-2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5.506037798076931E-3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6.1094369754150649E-3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2.0597949711451076E-6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2.7568846623986172E-4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2.7400049787014828E-5</v>
      </c>
      <c r="C10" s="949"/>
      <c r="D10" s="436">
        <f>vkm_2011_SW_PW*SUMIFS(TableVerdeelsleutelVkm[CNG],TableVerdeelsleutelVkm[Voertuigtype],"Lichte voertuigen")*SUMIFS(TableECFTransport[EnergieConsumptieFactor (PJ per km)],TableECFTransport[Index],CONCATENATE($A10,"_CNG_CNG"))</f>
        <v>4.0516638829947061E-5</v>
      </c>
      <c r="E10" s="436">
        <f>vkm_2011_SW_PW*SUMIFS(TableVerdeelsleutelVkm[LPG],TableVerdeelsleutelVkm[Voertuigtype],"Lichte voertuigen")*SUMIFS(TableECFTransport[EnergieConsumptieFactor (PJ per km)],TableECFTransport[Index],CONCATENATE($A10,"_LPG_LPG"))</f>
        <v>1.5892930890805935E-3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0.25869019254894782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6.405610379948698E-2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1.4412241738661704E-2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0.35705047632618159</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1.3718516371661466E-4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1.6112629455975448E-2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14.181285661044146</v>
      </c>
      <c r="C14" s="21"/>
      <c r="D14" s="21">
        <f t="shared" ref="D14:M14" si="0">((D5)*10^9/3600)+D12</f>
        <v>22.922869823159431</v>
      </c>
      <c r="E14" s="21">
        <f t="shared" si="0"/>
        <v>794.57491712792591</v>
      </c>
      <c r="F14" s="21"/>
      <c r="G14" s="21">
        <f t="shared" si="0"/>
        <v>258589.95924771644</v>
      </c>
      <c r="H14" s="21">
        <f t="shared" si="0"/>
        <v>35251.770045186509</v>
      </c>
      <c r="I14" s="21"/>
      <c r="J14" s="21"/>
      <c r="K14" s="21"/>
      <c r="L14" s="21"/>
      <c r="M14" s="21">
        <f t="shared" si="0"/>
        <v>13174.456424110023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0.19013885760469471</v>
      </c>
      <c r="C16" s="56">
        <f ca="1">'EF ele_warmte'!B22</f>
        <v>0.22944543783408441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2.696413454956772</v>
      </c>
      <c r="C18" s="23"/>
      <c r="D18" s="23">
        <f t="shared" ref="D18:M18" si="1">D14*D16</f>
        <v>4.6304197042782054</v>
      </c>
      <c r="E18" s="23">
        <f t="shared" si="1"/>
        <v>180.36850618803919</v>
      </c>
      <c r="F18" s="23"/>
      <c r="G18" s="23">
        <f t="shared" si="1"/>
        <v>69043.519119140299</v>
      </c>
      <c r="H18" s="23">
        <f t="shared" si="1"/>
        <v>8777.6907412514411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6.485756804077967E-3</v>
      </c>
      <c r="H50" s="323">
        <f t="shared" si="2"/>
        <v>0</v>
      </c>
      <c r="I50" s="323">
        <f t="shared" si="2"/>
        <v>0</v>
      </c>
      <c r="J50" s="323">
        <f t="shared" si="2"/>
        <v>0</v>
      </c>
      <c r="K50" s="323">
        <f t="shared" si="2"/>
        <v>0</v>
      </c>
      <c r="L50" s="323">
        <f t="shared" si="2"/>
        <v>0</v>
      </c>
      <c r="M50" s="323">
        <f t="shared" si="2"/>
        <v>2.884374686961405E-4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6.485756804077967E-3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2.884374686961405E-4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1801.5991122438797</v>
      </c>
      <c r="H54" s="21">
        <f t="shared" si="3"/>
        <v>0</v>
      </c>
      <c r="I54" s="21">
        <f t="shared" si="3"/>
        <v>0</v>
      </c>
      <c r="J54" s="21">
        <f t="shared" si="3"/>
        <v>0</v>
      </c>
      <c r="K54" s="21">
        <f t="shared" si="3"/>
        <v>0</v>
      </c>
      <c r="L54" s="21">
        <f t="shared" si="3"/>
        <v>0</v>
      </c>
      <c r="M54" s="21">
        <f t="shared" si="3"/>
        <v>80.121519082261258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0.19013885760469471</v>
      </c>
      <c r="C56" s="56">
        <f ca="1">'EF ele_warmte'!B22</f>
        <v>0.22944543783408441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481.02696296911591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22081.854634671403</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8098.6330397680304</v>
      </c>
      <c r="C6" s="1142"/>
      <c r="D6" s="1145"/>
      <c r="E6" s="1145"/>
      <c r="F6" s="1148"/>
      <c r="G6" s="1151"/>
      <c r="H6" s="1139"/>
      <c r="I6" s="1145"/>
      <c r="J6" s="1145"/>
      <c r="K6" s="1145"/>
      <c r="L6" s="1175"/>
      <c r="M6" s="561"/>
      <c r="N6" s="1187"/>
      <c r="O6" s="1188"/>
      <c r="Q6" s="559"/>
      <c r="R6" s="1172"/>
      <c r="S6" s="1172"/>
    </row>
    <row r="7" spans="1:19" s="549" customFormat="1">
      <c r="A7" s="562" t="s">
        <v>252</v>
      </c>
      <c r="B7" s="563">
        <f>N57</f>
        <v>67503.037499999991</v>
      </c>
      <c r="C7" s="564">
        <f>B100</f>
        <v>75392.10685092675</v>
      </c>
      <c r="D7" s="565"/>
      <c r="E7" s="565">
        <f>E100</f>
        <v>970.25621884236114</v>
      </c>
      <c r="F7" s="566"/>
      <c r="G7" s="567"/>
      <c r="H7" s="565">
        <f>I100</f>
        <v>0</v>
      </c>
      <c r="I7" s="565">
        <f>G100+F100</f>
        <v>2910.7686565270833</v>
      </c>
      <c r="J7" s="565">
        <f>H100+D100+C100</f>
        <v>142.20650899791198</v>
      </c>
      <c r="K7" s="565"/>
      <c r="L7" s="568"/>
      <c r="M7" s="569">
        <f>C7*$C$11+D7*$D$11+E7*$E$11+F7*$F$11+G7*$G$11+H7*$H$11+I7*$I$11+J7*$J$11</f>
        <v>15488.263994318115</v>
      </c>
      <c r="N7" s="1187"/>
      <c r="O7" s="1188"/>
      <c r="Q7" s="559"/>
      <c r="R7" s="1172"/>
      <c r="S7" s="1172"/>
    </row>
    <row r="8" spans="1:19" s="549" customFormat="1" ht="17.45" customHeight="1" thickBot="1">
      <c r="A8" s="570" t="s">
        <v>248</v>
      </c>
      <c r="B8" s="571">
        <f>N88+'Eigen informatie GS &amp; warmtenet'!B12</f>
        <v>1341</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99024.525174439419</v>
      </c>
      <c r="C9" s="580">
        <f t="shared" ref="C9:L9" si="0">SUM(C7:C8)</f>
        <v>75392.10685092675</v>
      </c>
      <c r="D9" s="580">
        <f t="shared" si="0"/>
        <v>0</v>
      </c>
      <c r="E9" s="580">
        <f t="shared" si="0"/>
        <v>970.25621884236114</v>
      </c>
      <c r="F9" s="580">
        <f t="shared" si="0"/>
        <v>0</v>
      </c>
      <c r="G9" s="580">
        <f t="shared" si="0"/>
        <v>0</v>
      </c>
      <c r="H9" s="580">
        <f t="shared" si="0"/>
        <v>0</v>
      </c>
      <c r="I9" s="580">
        <f t="shared" si="0"/>
        <v>2910.7686565270833</v>
      </c>
      <c r="J9" s="580">
        <f t="shared" si="0"/>
        <v>3973.6350804264835</v>
      </c>
      <c r="K9" s="580">
        <f t="shared" si="0"/>
        <v>0</v>
      </c>
      <c r="L9" s="580">
        <f t="shared" si="0"/>
        <v>0</v>
      </c>
      <c r="M9" s="581">
        <f>SUM(M4:M8)</f>
        <v>15488.263994318115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95296.339285714275</v>
      </c>
      <c r="C16" s="596">
        <f>B101</f>
        <v>106433.60743478751</v>
      </c>
      <c r="D16" s="597"/>
      <c r="E16" s="597">
        <f>E101</f>
        <v>1369.743781157639</v>
      </c>
      <c r="F16" s="598"/>
      <c r="G16" s="599"/>
      <c r="H16" s="596">
        <f>I101</f>
        <v>0</v>
      </c>
      <c r="I16" s="597">
        <f>G101+F101</f>
        <v>4109.2313434729167</v>
      </c>
      <c r="J16" s="597">
        <f>H101+D101+C101</f>
        <v>200.75777671637374</v>
      </c>
      <c r="K16" s="597"/>
      <c r="L16" s="600"/>
      <c r="M16" s="601">
        <f>C16*$C$21+E16*$E$21+H16*$H$21+I16*$I$21+J16*$J$21+D16*$D$21+F16*$F$21+G16*$G$21+K16*$K$21+L16*$L$21</f>
        <v>21865.310291396167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95296.339285714275</v>
      </c>
      <c r="C19" s="579">
        <f>SUM(C16:C18)</f>
        <v>106433.60743478751</v>
      </c>
      <c r="D19" s="579">
        <f t="shared" ref="D19:M19" si="1">SUM(D16:D18)</f>
        <v>0</v>
      </c>
      <c r="E19" s="579">
        <f t="shared" si="1"/>
        <v>1369.743781157639</v>
      </c>
      <c r="F19" s="579">
        <f t="shared" si="1"/>
        <v>0</v>
      </c>
      <c r="G19" s="579">
        <f t="shared" si="1"/>
        <v>0</v>
      </c>
      <c r="H19" s="579">
        <f t="shared" si="1"/>
        <v>0</v>
      </c>
      <c r="I19" s="579">
        <f t="shared" si="1"/>
        <v>4109.2313434729167</v>
      </c>
      <c r="J19" s="579">
        <f t="shared" si="1"/>
        <v>200.75777671637374</v>
      </c>
      <c r="K19" s="579">
        <f t="shared" si="1"/>
        <v>0</v>
      </c>
      <c r="L19" s="579">
        <f t="shared" si="1"/>
        <v>0</v>
      </c>
      <c r="M19" s="606">
        <f t="shared" si="1"/>
        <v>21865.310291396167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13014</v>
      </c>
      <c r="C27" s="839">
        <v>2321</v>
      </c>
      <c r="D27" s="658" t="s">
        <v>840</v>
      </c>
      <c r="E27" s="657" t="s">
        <v>841</v>
      </c>
      <c r="F27" s="657" t="s">
        <v>842</v>
      </c>
      <c r="G27" s="657" t="s">
        <v>843</v>
      </c>
      <c r="H27" s="657" t="s">
        <v>844</v>
      </c>
      <c r="I27" s="657" t="s">
        <v>841</v>
      </c>
      <c r="J27" s="838">
        <v>39562</v>
      </c>
      <c r="K27" s="838">
        <v>39562</v>
      </c>
      <c r="L27" s="657" t="s">
        <v>845</v>
      </c>
      <c r="M27" s="657">
        <v>2000</v>
      </c>
      <c r="N27" s="657">
        <v>9000</v>
      </c>
      <c r="O27" s="657">
        <v>12857.142857142857</v>
      </c>
      <c r="P27" s="657">
        <v>25714.285714285717</v>
      </c>
      <c r="Q27" s="657">
        <v>0</v>
      </c>
      <c r="R27" s="657">
        <v>0</v>
      </c>
      <c r="S27" s="657">
        <v>0</v>
      </c>
      <c r="T27" s="657">
        <v>0</v>
      </c>
      <c r="U27" s="657">
        <v>0</v>
      </c>
      <c r="V27" s="657">
        <v>0</v>
      </c>
      <c r="W27" s="657">
        <v>0</v>
      </c>
      <c r="X27" s="657">
        <v>1600</v>
      </c>
      <c r="Y27" s="657" t="s">
        <v>50</v>
      </c>
      <c r="Z27" s="659" t="s">
        <v>156</v>
      </c>
    </row>
    <row r="28" spans="1:26" s="611" customFormat="1" ht="25.5">
      <c r="A28" s="610"/>
      <c r="B28" s="839">
        <v>13014</v>
      </c>
      <c r="C28" s="839">
        <v>2321</v>
      </c>
      <c r="D28" s="658" t="s">
        <v>846</v>
      </c>
      <c r="E28" s="657" t="s">
        <v>847</v>
      </c>
      <c r="F28" s="657" t="s">
        <v>848</v>
      </c>
      <c r="G28" s="657" t="s">
        <v>843</v>
      </c>
      <c r="H28" s="657" t="s">
        <v>844</v>
      </c>
      <c r="I28" s="657" t="s">
        <v>847</v>
      </c>
      <c r="J28" s="838">
        <v>39660</v>
      </c>
      <c r="K28" s="838">
        <v>39661</v>
      </c>
      <c r="L28" s="657" t="s">
        <v>845</v>
      </c>
      <c r="M28" s="657">
        <v>2028</v>
      </c>
      <c r="N28" s="657">
        <v>9126</v>
      </c>
      <c r="O28" s="657">
        <v>13037.142857142857</v>
      </c>
      <c r="P28" s="657">
        <v>26074.285714285717</v>
      </c>
      <c r="Q28" s="657">
        <v>0</v>
      </c>
      <c r="R28" s="657">
        <v>0</v>
      </c>
      <c r="S28" s="657">
        <v>0</v>
      </c>
      <c r="T28" s="657">
        <v>0</v>
      </c>
      <c r="U28" s="657">
        <v>0</v>
      </c>
      <c r="V28" s="657">
        <v>0</v>
      </c>
      <c r="W28" s="657">
        <v>0</v>
      </c>
      <c r="X28" s="657">
        <v>10</v>
      </c>
      <c r="Y28" s="657" t="s">
        <v>112</v>
      </c>
      <c r="Z28" s="659" t="s">
        <v>112</v>
      </c>
    </row>
    <row r="29" spans="1:26" s="611" customFormat="1" ht="25.5">
      <c r="A29" s="610"/>
      <c r="B29" s="839">
        <v>13014</v>
      </c>
      <c r="C29" s="839">
        <v>2321</v>
      </c>
      <c r="D29" s="658" t="s">
        <v>849</v>
      </c>
      <c r="E29" s="657" t="s">
        <v>850</v>
      </c>
      <c r="F29" s="657" t="s">
        <v>851</v>
      </c>
      <c r="G29" s="657" t="s">
        <v>843</v>
      </c>
      <c r="H29" s="657" t="s">
        <v>844</v>
      </c>
      <c r="I29" s="657" t="s">
        <v>850</v>
      </c>
      <c r="J29" s="838">
        <v>39792</v>
      </c>
      <c r="K29" s="838">
        <v>39792</v>
      </c>
      <c r="L29" s="657" t="s">
        <v>845</v>
      </c>
      <c r="M29" s="657">
        <v>1556</v>
      </c>
      <c r="N29" s="657">
        <v>7002</v>
      </c>
      <c r="O29" s="657">
        <v>10002.857142857143</v>
      </c>
      <c r="P29" s="657">
        <v>20005.714285714286</v>
      </c>
      <c r="Q29" s="657">
        <v>0</v>
      </c>
      <c r="R29" s="657">
        <v>0</v>
      </c>
      <c r="S29" s="657">
        <v>0</v>
      </c>
      <c r="T29" s="657">
        <v>0</v>
      </c>
      <c r="U29" s="657">
        <v>0</v>
      </c>
      <c r="V29" s="657">
        <v>0</v>
      </c>
      <c r="W29" s="657">
        <v>0</v>
      </c>
      <c r="X29" s="657">
        <v>10</v>
      </c>
      <c r="Y29" s="657" t="s">
        <v>112</v>
      </c>
      <c r="Z29" s="659" t="s">
        <v>112</v>
      </c>
    </row>
    <row r="30" spans="1:26" s="611" customFormat="1" ht="25.5">
      <c r="A30" s="610"/>
      <c r="B30" s="839">
        <v>13014</v>
      </c>
      <c r="C30" s="839">
        <v>2321</v>
      </c>
      <c r="D30" s="658" t="s">
        <v>852</v>
      </c>
      <c r="E30" s="657" t="s">
        <v>853</v>
      </c>
      <c r="F30" s="657" t="s">
        <v>854</v>
      </c>
      <c r="G30" s="657" t="s">
        <v>843</v>
      </c>
      <c r="H30" s="657" t="s">
        <v>844</v>
      </c>
      <c r="I30" s="657" t="s">
        <v>853</v>
      </c>
      <c r="J30" s="838">
        <v>39895</v>
      </c>
      <c r="K30" s="838">
        <v>39895</v>
      </c>
      <c r="L30" s="657" t="s">
        <v>845</v>
      </c>
      <c r="M30" s="657">
        <v>1998</v>
      </c>
      <c r="N30" s="657">
        <v>8991</v>
      </c>
      <c r="O30" s="657">
        <v>12844.285714285714</v>
      </c>
      <c r="P30" s="657">
        <v>25688.571428571431</v>
      </c>
      <c r="Q30" s="657">
        <v>0</v>
      </c>
      <c r="R30" s="657">
        <v>0</v>
      </c>
      <c r="S30" s="657">
        <v>0</v>
      </c>
      <c r="T30" s="657">
        <v>0</v>
      </c>
      <c r="U30" s="657">
        <v>0</v>
      </c>
      <c r="V30" s="657">
        <v>0</v>
      </c>
      <c r="W30" s="657">
        <v>0</v>
      </c>
      <c r="X30" s="657">
        <v>10</v>
      </c>
      <c r="Y30" s="657" t="s">
        <v>112</v>
      </c>
      <c r="Z30" s="659" t="s">
        <v>112</v>
      </c>
    </row>
    <row r="31" spans="1:26" s="611" customFormat="1" ht="25.5">
      <c r="A31" s="610"/>
      <c r="B31" s="839">
        <v>13014</v>
      </c>
      <c r="C31" s="839">
        <v>2321</v>
      </c>
      <c r="D31" s="658" t="s">
        <v>855</v>
      </c>
      <c r="E31" s="657" t="s">
        <v>856</v>
      </c>
      <c r="F31" s="657" t="s">
        <v>857</v>
      </c>
      <c r="G31" s="657" t="s">
        <v>843</v>
      </c>
      <c r="H31" s="657" t="s">
        <v>844</v>
      </c>
      <c r="I31" s="657" t="s">
        <v>856</v>
      </c>
      <c r="J31" s="838">
        <v>40075</v>
      </c>
      <c r="K31" s="838">
        <v>39538</v>
      </c>
      <c r="L31" s="657" t="s">
        <v>845</v>
      </c>
      <c r="M31" s="657">
        <v>5774</v>
      </c>
      <c r="N31" s="657">
        <v>25983</v>
      </c>
      <c r="O31" s="657">
        <v>37118.571428571428</v>
      </c>
      <c r="P31" s="657">
        <v>74237.142857142855</v>
      </c>
      <c r="Q31" s="657">
        <v>0</v>
      </c>
      <c r="R31" s="657">
        <v>0</v>
      </c>
      <c r="S31" s="657">
        <v>0</v>
      </c>
      <c r="T31" s="657">
        <v>0</v>
      </c>
      <c r="U31" s="657">
        <v>0</v>
      </c>
      <c r="V31" s="657">
        <v>0</v>
      </c>
      <c r="W31" s="657">
        <v>0</v>
      </c>
      <c r="X31" s="657">
        <v>10</v>
      </c>
      <c r="Y31" s="657" t="s">
        <v>112</v>
      </c>
      <c r="Z31" s="659" t="s">
        <v>112</v>
      </c>
    </row>
    <row r="32" spans="1:26" s="611" customFormat="1" ht="25.5">
      <c r="A32" s="610"/>
      <c r="B32" s="839">
        <v>13014</v>
      </c>
      <c r="C32" s="839">
        <v>2320</v>
      </c>
      <c r="D32" s="658" t="s">
        <v>858</v>
      </c>
      <c r="E32" s="657" t="s">
        <v>859</v>
      </c>
      <c r="F32" s="657" t="s">
        <v>860</v>
      </c>
      <c r="G32" s="657" t="s">
        <v>843</v>
      </c>
      <c r="H32" s="657" t="s">
        <v>844</v>
      </c>
      <c r="I32" s="657" t="s">
        <v>859</v>
      </c>
      <c r="J32" s="838">
        <v>40185</v>
      </c>
      <c r="K32" s="838">
        <v>40238</v>
      </c>
      <c r="L32" s="657" t="s">
        <v>845</v>
      </c>
      <c r="M32" s="657">
        <v>122</v>
      </c>
      <c r="N32" s="657">
        <v>549</v>
      </c>
      <c r="O32" s="657">
        <v>784.28571428571433</v>
      </c>
      <c r="P32" s="657">
        <v>1568.5714285714287</v>
      </c>
      <c r="Q32" s="657">
        <v>0</v>
      </c>
      <c r="R32" s="657">
        <v>0</v>
      </c>
      <c r="S32" s="657">
        <v>0</v>
      </c>
      <c r="T32" s="657">
        <v>0</v>
      </c>
      <c r="U32" s="657">
        <v>0</v>
      </c>
      <c r="V32" s="657">
        <v>0</v>
      </c>
      <c r="W32" s="657">
        <v>0</v>
      </c>
      <c r="X32" s="657">
        <v>400</v>
      </c>
      <c r="Y32" s="657" t="s">
        <v>37</v>
      </c>
      <c r="Z32" s="659" t="s">
        <v>112</v>
      </c>
    </row>
    <row r="33" spans="1:26" s="611" customFormat="1" ht="38.25">
      <c r="A33" s="610"/>
      <c r="B33" s="839">
        <v>13014</v>
      </c>
      <c r="C33" s="839">
        <v>2328</v>
      </c>
      <c r="D33" s="658" t="s">
        <v>861</v>
      </c>
      <c r="E33" s="657" t="s">
        <v>862</v>
      </c>
      <c r="F33" s="657" t="s">
        <v>863</v>
      </c>
      <c r="G33" s="657" t="s">
        <v>843</v>
      </c>
      <c r="H33" s="657" t="s">
        <v>864</v>
      </c>
      <c r="I33" s="657" t="s">
        <v>862</v>
      </c>
      <c r="J33" s="838">
        <v>40464</v>
      </c>
      <c r="K33" s="838">
        <v>40464</v>
      </c>
      <c r="L33" s="657" t="s">
        <v>865</v>
      </c>
      <c r="M33" s="657">
        <v>832</v>
      </c>
      <c r="N33" s="657">
        <v>3744</v>
      </c>
      <c r="O33" s="657">
        <v>4212</v>
      </c>
      <c r="P33" s="657">
        <v>0</v>
      </c>
      <c r="Q33" s="657">
        <v>0</v>
      </c>
      <c r="R33" s="657">
        <v>0</v>
      </c>
      <c r="S33" s="657">
        <v>2340</v>
      </c>
      <c r="T33" s="657">
        <v>7020</v>
      </c>
      <c r="U33" s="657">
        <v>0</v>
      </c>
      <c r="V33" s="657">
        <v>0</v>
      </c>
      <c r="W33" s="657">
        <v>0</v>
      </c>
      <c r="X33" s="657">
        <v>10</v>
      </c>
      <c r="Y33" s="657" t="s">
        <v>112</v>
      </c>
      <c r="Z33" s="659" t="s">
        <v>112</v>
      </c>
    </row>
    <row r="34" spans="1:26" s="611" customFormat="1" ht="25.5">
      <c r="A34" s="610"/>
      <c r="B34" s="839">
        <v>13014</v>
      </c>
      <c r="C34" s="839">
        <v>2321</v>
      </c>
      <c r="D34" s="658" t="s">
        <v>866</v>
      </c>
      <c r="E34" s="657" t="s">
        <v>867</v>
      </c>
      <c r="F34" s="657" t="s">
        <v>868</v>
      </c>
      <c r="G34" s="657" t="s">
        <v>843</v>
      </c>
      <c r="H34" s="657" t="s">
        <v>844</v>
      </c>
      <c r="I34" s="657" t="s">
        <v>867</v>
      </c>
      <c r="J34" s="838">
        <v>40940</v>
      </c>
      <c r="K34" s="838">
        <v>40968</v>
      </c>
      <c r="L34" s="657" t="s">
        <v>845</v>
      </c>
      <c r="M34" s="657">
        <v>404</v>
      </c>
      <c r="N34" s="657">
        <v>1818.0000000000002</v>
      </c>
      <c r="O34" s="657">
        <v>2597.1428571428573</v>
      </c>
      <c r="P34" s="657">
        <v>5194.2857142857156</v>
      </c>
      <c r="Q34" s="657">
        <v>0</v>
      </c>
      <c r="R34" s="657">
        <v>0</v>
      </c>
      <c r="S34" s="657">
        <v>0</v>
      </c>
      <c r="T34" s="657">
        <v>0</v>
      </c>
      <c r="U34" s="657">
        <v>0</v>
      </c>
      <c r="V34" s="657">
        <v>0</v>
      </c>
      <c r="W34" s="657">
        <v>0</v>
      </c>
      <c r="X34" s="657">
        <v>10</v>
      </c>
      <c r="Y34" s="657" t="s">
        <v>112</v>
      </c>
      <c r="Z34" s="659" t="s">
        <v>112</v>
      </c>
    </row>
    <row r="35" spans="1:26" s="611" customFormat="1" ht="25.5">
      <c r="A35" s="610"/>
      <c r="B35" s="839">
        <v>13014</v>
      </c>
      <c r="C35" s="839">
        <v>2322</v>
      </c>
      <c r="D35" s="658" t="s">
        <v>869</v>
      </c>
      <c r="E35" s="657" t="s">
        <v>870</v>
      </c>
      <c r="F35" s="657" t="s">
        <v>871</v>
      </c>
      <c r="G35" s="657" t="s">
        <v>843</v>
      </c>
      <c r="H35" s="657" t="s">
        <v>844</v>
      </c>
      <c r="I35" s="657" t="s">
        <v>872</v>
      </c>
      <c r="J35" s="838">
        <v>41116</v>
      </c>
      <c r="K35" s="838">
        <v>41275</v>
      </c>
      <c r="L35" s="657" t="s">
        <v>845</v>
      </c>
      <c r="M35" s="657">
        <v>9.6999999999999993</v>
      </c>
      <c r="N35" s="657">
        <v>40.012499999999996</v>
      </c>
      <c r="O35" s="657">
        <v>57.160714285714278</v>
      </c>
      <c r="P35" s="657">
        <v>0</v>
      </c>
      <c r="Q35" s="657">
        <v>114.32142857142857</v>
      </c>
      <c r="R35" s="657">
        <v>0</v>
      </c>
      <c r="S35" s="657">
        <v>0</v>
      </c>
      <c r="T35" s="657">
        <v>0</v>
      </c>
      <c r="U35" s="657">
        <v>0</v>
      </c>
      <c r="V35" s="657">
        <v>0</v>
      </c>
      <c r="W35" s="657">
        <v>0</v>
      </c>
      <c r="X35" s="657">
        <v>10</v>
      </c>
      <c r="Y35" s="657" t="s">
        <v>112</v>
      </c>
      <c r="Z35" s="659" t="s">
        <v>112</v>
      </c>
    </row>
    <row r="36" spans="1:26" s="611" customFormat="1" ht="25.5">
      <c r="A36" s="610"/>
      <c r="B36" s="839">
        <v>13014</v>
      </c>
      <c r="C36" s="839">
        <v>2322</v>
      </c>
      <c r="D36" s="658" t="s">
        <v>869</v>
      </c>
      <c r="E36" s="657" t="s">
        <v>870</v>
      </c>
      <c r="F36" s="657" t="s">
        <v>873</v>
      </c>
      <c r="G36" s="657" t="s">
        <v>843</v>
      </c>
      <c r="H36" s="657" t="s">
        <v>844</v>
      </c>
      <c r="I36" s="657" t="s">
        <v>874</v>
      </c>
      <c r="J36" s="838">
        <v>41260</v>
      </c>
      <c r="K36" s="838">
        <v>41275</v>
      </c>
      <c r="L36" s="657" t="s">
        <v>845</v>
      </c>
      <c r="M36" s="657">
        <v>19.399999999999999</v>
      </c>
      <c r="N36" s="657">
        <v>80.024999999999991</v>
      </c>
      <c r="O36" s="657">
        <v>114.32142857142856</v>
      </c>
      <c r="P36" s="657">
        <v>0</v>
      </c>
      <c r="Q36" s="657">
        <v>228.64285714285714</v>
      </c>
      <c r="R36" s="657">
        <v>0</v>
      </c>
      <c r="S36" s="657">
        <v>0</v>
      </c>
      <c r="T36" s="657">
        <v>0</v>
      </c>
      <c r="U36" s="657">
        <v>0</v>
      </c>
      <c r="V36" s="657">
        <v>0</v>
      </c>
      <c r="W36" s="657">
        <v>0</v>
      </c>
      <c r="X36" s="657">
        <v>10</v>
      </c>
      <c r="Y36" s="657" t="s">
        <v>112</v>
      </c>
      <c r="Z36" s="659" t="s">
        <v>112</v>
      </c>
    </row>
    <row r="37" spans="1:26" s="611" customFormat="1" ht="25.5">
      <c r="A37" s="610"/>
      <c r="B37" s="839">
        <v>13014</v>
      </c>
      <c r="C37" s="839">
        <v>2321</v>
      </c>
      <c r="D37" s="658" t="s">
        <v>840</v>
      </c>
      <c r="E37" s="657" t="s">
        <v>841</v>
      </c>
      <c r="F37" s="657" t="s">
        <v>875</v>
      </c>
      <c r="G37" s="657" t="s">
        <v>843</v>
      </c>
      <c r="H37" s="657" t="s">
        <v>844</v>
      </c>
      <c r="I37" s="657" t="s">
        <v>876</v>
      </c>
      <c r="J37" s="838">
        <v>41556</v>
      </c>
      <c r="K37" s="838">
        <v>41576</v>
      </c>
      <c r="L37" s="657" t="s">
        <v>845</v>
      </c>
      <c r="M37" s="657">
        <v>1560</v>
      </c>
      <c r="N37" s="657">
        <v>1170</v>
      </c>
      <c r="O37" s="657">
        <v>1671.4285714285716</v>
      </c>
      <c r="P37" s="657">
        <v>3342.8571428571431</v>
      </c>
      <c r="Q37" s="657">
        <v>0</v>
      </c>
      <c r="R37" s="657">
        <v>0</v>
      </c>
      <c r="S37" s="657">
        <v>0</v>
      </c>
      <c r="T37" s="657">
        <v>0</v>
      </c>
      <c r="U37" s="657">
        <v>0</v>
      </c>
      <c r="V37" s="657">
        <v>0</v>
      </c>
      <c r="W37" s="657">
        <v>0</v>
      </c>
      <c r="X37" s="657">
        <v>10</v>
      </c>
      <c r="Y37" s="657" t="s">
        <v>112</v>
      </c>
      <c r="Z37" s="659" t="s">
        <v>112</v>
      </c>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16303.1</v>
      </c>
      <c r="N57" s="615">
        <f>SUM(N27:N56)</f>
        <v>67503.037499999991</v>
      </c>
      <c r="O57" s="615">
        <f t="shared" ref="O57:W57" si="2">SUM(O27:O56)</f>
        <v>95296.339285714275</v>
      </c>
      <c r="P57" s="615">
        <f t="shared" si="2"/>
        <v>181825.71428571426</v>
      </c>
      <c r="Q57" s="615">
        <f t="shared" si="2"/>
        <v>342.96428571428572</v>
      </c>
      <c r="R57" s="615">
        <f t="shared" si="2"/>
        <v>0</v>
      </c>
      <c r="S57" s="615">
        <f t="shared" si="2"/>
        <v>2340</v>
      </c>
      <c r="T57" s="615">
        <f t="shared" si="2"/>
        <v>7020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2000</v>
      </c>
      <c r="N59" s="615">
        <f ca="1">SUMIF($Z$27:AB56,"tertiair",N27:N56)</f>
        <v>9000</v>
      </c>
      <c r="O59" s="615">
        <f ca="1">SUMIF($Z$27:AC56,"tertiair",O27:O56)</f>
        <v>12857.142857142857</v>
      </c>
      <c r="P59" s="615">
        <f ca="1">SUMIF($Z$27:AD56,"tertiair",P27:P56)</f>
        <v>25714.285714285717</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14303.1</v>
      </c>
      <c r="N60" s="620">
        <f t="shared" ref="N60:W60" si="4">SUMIF($Z$27:$Z$56,"landbouw",N27:N56)</f>
        <v>58503.037499999999</v>
      </c>
      <c r="O60" s="620">
        <f t="shared" si="4"/>
        <v>82439.196428571406</v>
      </c>
      <c r="P60" s="620">
        <f t="shared" si="4"/>
        <v>156111.42857142855</v>
      </c>
      <c r="Q60" s="620">
        <f t="shared" si="4"/>
        <v>342.96428571428572</v>
      </c>
      <c r="R60" s="620">
        <f t="shared" si="4"/>
        <v>0</v>
      </c>
      <c r="S60" s="620">
        <f t="shared" si="4"/>
        <v>2340</v>
      </c>
      <c r="T60" s="620">
        <f t="shared" si="4"/>
        <v>7020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13014</v>
      </c>
      <c r="C63" s="839">
        <v>2320</v>
      </c>
      <c r="D63" s="660" t="s">
        <v>877</v>
      </c>
      <c r="E63" s="660" t="s">
        <v>878</v>
      </c>
      <c r="F63" s="660" t="s">
        <v>879</v>
      </c>
      <c r="G63" s="660" t="s">
        <v>880</v>
      </c>
      <c r="H63" s="660" t="s">
        <v>881</v>
      </c>
      <c r="I63" s="660" t="s">
        <v>882</v>
      </c>
      <c r="J63" s="838">
        <v>38763</v>
      </c>
      <c r="K63" s="838">
        <v>39052</v>
      </c>
      <c r="L63" s="660" t="s">
        <v>883</v>
      </c>
      <c r="M63" s="660">
        <v>298</v>
      </c>
      <c r="N63" s="660">
        <v>1341</v>
      </c>
      <c r="O63" s="660">
        <v>0</v>
      </c>
      <c r="P63" s="660">
        <v>0</v>
      </c>
      <c r="Q63" s="660">
        <v>3831.4285714285716</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298</v>
      </c>
      <c r="N88" s="615">
        <f t="shared" ref="N88:W88" si="5">SUM(N63:N87)</f>
        <v>1341</v>
      </c>
      <c r="O88" s="615">
        <f t="shared" si="5"/>
        <v>0</v>
      </c>
      <c r="P88" s="615">
        <f t="shared" si="5"/>
        <v>0</v>
      </c>
      <c r="Q88" s="615">
        <f t="shared" si="5"/>
        <v>3831.4285714285716</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298</v>
      </c>
      <c r="N90" s="615">
        <f t="shared" ref="N90:W90" si="7">SUMIF($Z$63:$Z$88,"tertiair",N63:N88)</f>
        <v>1341</v>
      </c>
      <c r="O90" s="615">
        <f t="shared" si="7"/>
        <v>0</v>
      </c>
      <c r="P90" s="615">
        <f t="shared" si="7"/>
        <v>0</v>
      </c>
      <c r="Q90" s="615">
        <f t="shared" si="7"/>
        <v>3831.4285714285716</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0.58536059023830722</v>
      </c>
      <c r="C97" s="640">
        <f>IF(ISERROR(N57/(O57+N57)),0,N57/(N57+O57))</f>
        <v>0.41463940976169278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75392.10685092675</v>
      </c>
      <c r="C100" s="649">
        <f t="shared" si="9"/>
        <v>142.20650899791198</v>
      </c>
      <c r="D100" s="649">
        <f t="shared" si="9"/>
        <v>0</v>
      </c>
      <c r="E100" s="649">
        <f t="shared" si="9"/>
        <v>970.25621884236114</v>
      </c>
      <c r="F100" s="649">
        <f t="shared" si="9"/>
        <v>2910.7686565270833</v>
      </c>
      <c r="G100" s="649">
        <f t="shared" si="9"/>
        <v>0</v>
      </c>
      <c r="H100" s="649">
        <f t="shared" si="9"/>
        <v>0</v>
      </c>
      <c r="I100" s="650">
        <f t="shared" si="9"/>
        <v>0</v>
      </c>
      <c r="J100" s="607"/>
      <c r="K100" s="607"/>
      <c r="L100" s="645"/>
      <c r="M100" s="632"/>
      <c r="N100" s="632"/>
    </row>
    <row r="101" spans="1:14" ht="15.75" thickBot="1">
      <c r="A101" s="651" t="s">
        <v>286</v>
      </c>
      <c r="B101" s="652">
        <f>$B$97*P57</f>
        <v>106433.60743478751</v>
      </c>
      <c r="C101" s="652">
        <f t="shared" ref="C101:H101" si="10">$B$97*Q57</f>
        <v>200.75777671637374</v>
      </c>
      <c r="D101" s="652">
        <f t="shared" si="10"/>
        <v>0</v>
      </c>
      <c r="E101" s="652">
        <f t="shared" si="10"/>
        <v>1369.743781157639</v>
      </c>
      <c r="F101" s="652">
        <f t="shared" si="10"/>
        <v>4109.2313434729167</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59897.915942918611</v>
      </c>
      <c r="D10" s="704">
        <f ca="1">tertiair!C16</f>
        <v>12857.142857142857</v>
      </c>
      <c r="E10" s="704">
        <f ca="1">tertiair!D16</f>
        <v>43260.237695995056</v>
      </c>
      <c r="F10" s="704">
        <f>tertiair!E16</f>
        <v>598.91931363900244</v>
      </c>
      <c r="G10" s="704">
        <f ca="1">tertiair!F16</f>
        <v>9712.9031251320685</v>
      </c>
      <c r="H10" s="704">
        <f>tertiair!G16</f>
        <v>0</v>
      </c>
      <c r="I10" s="704">
        <f>tertiair!H16</f>
        <v>0</v>
      </c>
      <c r="J10" s="704">
        <f>tertiair!I16</f>
        <v>0</v>
      </c>
      <c r="K10" s="704">
        <f>tertiair!J16</f>
        <v>0</v>
      </c>
      <c r="L10" s="704">
        <f>tertiair!K16</f>
        <v>0</v>
      </c>
      <c r="M10" s="704">
        <f ca="1">tertiair!L16</f>
        <v>0</v>
      </c>
      <c r="N10" s="704">
        <f>tertiair!M16</f>
        <v>0</v>
      </c>
      <c r="O10" s="704">
        <f ca="1">tertiair!N16</f>
        <v>433.90892744050507</v>
      </c>
      <c r="P10" s="704">
        <f>tertiair!O16</f>
        <v>4.6900000000000004</v>
      </c>
      <c r="Q10" s="705">
        <f>tertiair!P16</f>
        <v>76.266666666666666</v>
      </c>
      <c r="R10" s="707">
        <f ca="1">SUM(C10:Q10)</f>
        <v>126841.98452893476</v>
      </c>
      <c r="S10" s="67"/>
    </row>
    <row r="11" spans="1:19" s="459" customFormat="1">
      <c r="A11" s="858" t="s">
        <v>225</v>
      </c>
      <c r="B11" s="863"/>
      <c r="C11" s="704">
        <f>huishoudens!B8</f>
        <v>39090.846602965736</v>
      </c>
      <c r="D11" s="704">
        <f>huishoudens!C8</f>
        <v>0</v>
      </c>
      <c r="E11" s="704">
        <f>huishoudens!D8</f>
        <v>102840.5759053517</v>
      </c>
      <c r="F11" s="704">
        <f>huishoudens!E8</f>
        <v>9488.1648015677056</v>
      </c>
      <c r="G11" s="704">
        <f>huishoudens!F8</f>
        <v>10228.542681800443</v>
      </c>
      <c r="H11" s="704">
        <f>huishoudens!G8</f>
        <v>0</v>
      </c>
      <c r="I11" s="704">
        <f>huishoudens!H8</f>
        <v>0</v>
      </c>
      <c r="J11" s="704">
        <f>huishoudens!I8</f>
        <v>0</v>
      </c>
      <c r="K11" s="704">
        <f>huishoudens!J8</f>
        <v>0</v>
      </c>
      <c r="L11" s="704">
        <f>huishoudens!K8</f>
        <v>0</v>
      </c>
      <c r="M11" s="704">
        <f>huishoudens!L8</f>
        <v>0</v>
      </c>
      <c r="N11" s="704">
        <f>huishoudens!M8</f>
        <v>0</v>
      </c>
      <c r="O11" s="704">
        <f>huishoudens!N8</f>
        <v>30557.157149900147</v>
      </c>
      <c r="P11" s="704">
        <f>huishoudens!O8</f>
        <v>365.82000000000005</v>
      </c>
      <c r="Q11" s="705">
        <f>huishoudens!P8</f>
        <v>991.4666666666667</v>
      </c>
      <c r="R11" s="707">
        <f>SUM(C11:Q11)</f>
        <v>193562.5738082524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87229.689590968832</v>
      </c>
      <c r="D13" s="704">
        <f>industrie!C18</f>
        <v>0</v>
      </c>
      <c r="E13" s="704">
        <f>industrie!D18</f>
        <v>62216.493813216155</v>
      </c>
      <c r="F13" s="704">
        <f>industrie!E18</f>
        <v>6372.564860744581</v>
      </c>
      <c r="G13" s="704">
        <f>industrie!F18</f>
        <v>27606.081966684673</v>
      </c>
      <c r="H13" s="704">
        <f>industrie!G18</f>
        <v>0</v>
      </c>
      <c r="I13" s="704">
        <f>industrie!H18</f>
        <v>0</v>
      </c>
      <c r="J13" s="704">
        <f>industrie!I18</f>
        <v>0</v>
      </c>
      <c r="K13" s="704">
        <f>industrie!J18</f>
        <v>185.40979560013591</v>
      </c>
      <c r="L13" s="704">
        <f>industrie!K18</f>
        <v>0</v>
      </c>
      <c r="M13" s="704">
        <f>industrie!L18</f>
        <v>0</v>
      </c>
      <c r="N13" s="704">
        <f>industrie!M18</f>
        <v>0</v>
      </c>
      <c r="O13" s="704">
        <f>industrie!N18</f>
        <v>23698.841282640991</v>
      </c>
      <c r="P13" s="704">
        <f>industrie!O18</f>
        <v>0</v>
      </c>
      <c r="Q13" s="705">
        <f>industrie!P18</f>
        <v>0</v>
      </c>
      <c r="R13" s="707">
        <f>SUM(C13:Q13)</f>
        <v>207309.08130985536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186218.45213685319</v>
      </c>
      <c r="D15" s="709">
        <f t="shared" ref="D15:Q15" ca="1" si="0">SUM(D9:D14)</f>
        <v>12857.142857142857</v>
      </c>
      <c r="E15" s="709">
        <f t="shared" ca="1" si="0"/>
        <v>208317.30741456291</v>
      </c>
      <c r="F15" s="709">
        <f t="shared" si="0"/>
        <v>16459.648975951288</v>
      </c>
      <c r="G15" s="709">
        <f t="shared" ca="1" si="0"/>
        <v>47547.527773617185</v>
      </c>
      <c r="H15" s="709">
        <f t="shared" si="0"/>
        <v>0</v>
      </c>
      <c r="I15" s="709">
        <f t="shared" si="0"/>
        <v>0</v>
      </c>
      <c r="J15" s="709">
        <f t="shared" si="0"/>
        <v>0</v>
      </c>
      <c r="K15" s="709">
        <f t="shared" si="0"/>
        <v>185.40979560013591</v>
      </c>
      <c r="L15" s="709">
        <f t="shared" si="0"/>
        <v>0</v>
      </c>
      <c r="M15" s="709">
        <f t="shared" ca="1" si="0"/>
        <v>0</v>
      </c>
      <c r="N15" s="709">
        <f t="shared" si="0"/>
        <v>0</v>
      </c>
      <c r="O15" s="709">
        <f t="shared" ca="1" si="0"/>
        <v>54689.907359981647</v>
      </c>
      <c r="P15" s="709">
        <f t="shared" si="0"/>
        <v>370.51000000000005</v>
      </c>
      <c r="Q15" s="710">
        <f t="shared" si="0"/>
        <v>1067.7333333333333</v>
      </c>
      <c r="R15" s="711">
        <f ca="1">SUM(R9:R14)</f>
        <v>527713.6396470425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1801.5991122438797</v>
      </c>
      <c r="I18" s="704">
        <f>transport!H54</f>
        <v>0</v>
      </c>
      <c r="J18" s="704">
        <f>transport!I54</f>
        <v>0</v>
      </c>
      <c r="K18" s="704">
        <f>transport!J54</f>
        <v>0</v>
      </c>
      <c r="L18" s="704">
        <f>transport!K54</f>
        <v>0</v>
      </c>
      <c r="M18" s="704">
        <f>transport!L54</f>
        <v>0</v>
      </c>
      <c r="N18" s="704">
        <f>transport!M54</f>
        <v>80.121519082261258</v>
      </c>
      <c r="O18" s="704">
        <f>transport!N54</f>
        <v>0</v>
      </c>
      <c r="P18" s="704">
        <f>transport!O54</f>
        <v>0</v>
      </c>
      <c r="Q18" s="705">
        <f>transport!P54</f>
        <v>0</v>
      </c>
      <c r="R18" s="707">
        <f>SUM(C18:Q18)</f>
        <v>1881.7206313261411</v>
      </c>
      <c r="S18" s="67"/>
    </row>
    <row r="19" spans="1:19" s="459" customFormat="1" ht="15" thickBot="1">
      <c r="A19" s="858" t="s">
        <v>307</v>
      </c>
      <c r="B19" s="863"/>
      <c r="C19" s="713">
        <f>transport!B14</f>
        <v>14.181285661044146</v>
      </c>
      <c r="D19" s="713">
        <f>transport!C14</f>
        <v>0</v>
      </c>
      <c r="E19" s="713">
        <f>transport!D14</f>
        <v>22.922869823159431</v>
      </c>
      <c r="F19" s="713">
        <f>transport!E14</f>
        <v>794.57491712792591</v>
      </c>
      <c r="G19" s="713">
        <f>transport!F14</f>
        <v>0</v>
      </c>
      <c r="H19" s="713">
        <f>transport!G14</f>
        <v>258589.95924771644</v>
      </c>
      <c r="I19" s="713">
        <f>transport!H14</f>
        <v>35251.770045186509</v>
      </c>
      <c r="J19" s="713">
        <f>transport!I14</f>
        <v>0</v>
      </c>
      <c r="K19" s="713">
        <f>transport!J14</f>
        <v>0</v>
      </c>
      <c r="L19" s="713">
        <f>transport!K14</f>
        <v>0</v>
      </c>
      <c r="M19" s="713">
        <f>transport!L14</f>
        <v>0</v>
      </c>
      <c r="N19" s="713">
        <f>transport!M14</f>
        <v>13174.456424110023</v>
      </c>
      <c r="O19" s="713">
        <f>transport!N14</f>
        <v>0</v>
      </c>
      <c r="P19" s="713">
        <f>transport!O14</f>
        <v>0</v>
      </c>
      <c r="Q19" s="714">
        <f>transport!P14</f>
        <v>0</v>
      </c>
      <c r="R19" s="715">
        <f>SUM(C19:Q19)</f>
        <v>307847.86478962511</v>
      </c>
      <c r="S19" s="67"/>
    </row>
    <row r="20" spans="1:19" s="459" customFormat="1" ht="15.75" thickBot="1">
      <c r="A20" s="716" t="s">
        <v>230</v>
      </c>
      <c r="B20" s="866"/>
      <c r="C20" s="861">
        <f>SUM(C17:C19)</f>
        <v>14.181285661044146</v>
      </c>
      <c r="D20" s="717">
        <f t="shared" ref="D20:R20" si="1">SUM(D17:D19)</f>
        <v>0</v>
      </c>
      <c r="E20" s="717">
        <f t="shared" si="1"/>
        <v>22.922869823159431</v>
      </c>
      <c r="F20" s="717">
        <f t="shared" si="1"/>
        <v>794.57491712792591</v>
      </c>
      <c r="G20" s="717">
        <f t="shared" si="1"/>
        <v>0</v>
      </c>
      <c r="H20" s="717">
        <f t="shared" si="1"/>
        <v>260391.55835996033</v>
      </c>
      <c r="I20" s="717">
        <f t="shared" si="1"/>
        <v>35251.770045186509</v>
      </c>
      <c r="J20" s="717">
        <f t="shared" si="1"/>
        <v>0</v>
      </c>
      <c r="K20" s="717">
        <f t="shared" si="1"/>
        <v>0</v>
      </c>
      <c r="L20" s="717">
        <f t="shared" si="1"/>
        <v>0</v>
      </c>
      <c r="M20" s="717">
        <f t="shared" si="1"/>
        <v>0</v>
      </c>
      <c r="N20" s="717">
        <f t="shared" si="1"/>
        <v>13254.577943192284</v>
      </c>
      <c r="O20" s="717">
        <f t="shared" si="1"/>
        <v>0</v>
      </c>
      <c r="P20" s="717">
        <f t="shared" si="1"/>
        <v>0</v>
      </c>
      <c r="Q20" s="718">
        <f t="shared" si="1"/>
        <v>0</v>
      </c>
      <c r="R20" s="719">
        <f t="shared" si="1"/>
        <v>309729.58542095125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21023.338741562369</v>
      </c>
      <c r="D22" s="713">
        <f>+landbouw!C8</f>
        <v>82439.196428571406</v>
      </c>
      <c r="E22" s="713">
        <f>+landbouw!D8</f>
        <v>26520.896083930362</v>
      </c>
      <c r="F22" s="713">
        <f>+landbouw!E8</f>
        <v>264.92115171063148</v>
      </c>
      <c r="G22" s="713">
        <f>+landbouw!F8</f>
        <v>70195.785319440853</v>
      </c>
      <c r="H22" s="713">
        <f>+landbouw!G8</f>
        <v>0</v>
      </c>
      <c r="I22" s="713">
        <f>+landbouw!H8</f>
        <v>0</v>
      </c>
      <c r="J22" s="713">
        <f>+landbouw!I8</f>
        <v>0</v>
      </c>
      <c r="K22" s="713">
        <f>+landbouw!J8</f>
        <v>3161.6711618507279</v>
      </c>
      <c r="L22" s="713">
        <f>+landbouw!K8</f>
        <v>0</v>
      </c>
      <c r="M22" s="713">
        <f>+landbouw!L8</f>
        <v>0</v>
      </c>
      <c r="N22" s="713">
        <f>+landbouw!M8</f>
        <v>0</v>
      </c>
      <c r="O22" s="713">
        <f>+landbouw!N8</f>
        <v>0</v>
      </c>
      <c r="P22" s="713">
        <f>+landbouw!O8</f>
        <v>0</v>
      </c>
      <c r="Q22" s="714">
        <f>+landbouw!P8</f>
        <v>0</v>
      </c>
      <c r="R22" s="715">
        <f>SUM(C22:Q22)</f>
        <v>203605.80888706638</v>
      </c>
      <c r="S22" s="67"/>
    </row>
    <row r="23" spans="1:19" s="459" customFormat="1" ht="17.25" thickTop="1" thickBot="1">
      <c r="A23" s="720" t="s">
        <v>116</v>
      </c>
      <c r="B23" s="852"/>
      <c r="C23" s="721">
        <f ca="1">C20+C15+C22</f>
        <v>207255.97216407658</v>
      </c>
      <c r="D23" s="721">
        <f t="shared" ref="D23:Q23" ca="1" si="2">D20+D15+D22</f>
        <v>95296.339285714261</v>
      </c>
      <c r="E23" s="721">
        <f t="shared" ca="1" si="2"/>
        <v>234861.12636831641</v>
      </c>
      <c r="F23" s="721">
        <f t="shared" si="2"/>
        <v>17519.145044789846</v>
      </c>
      <c r="G23" s="721">
        <f t="shared" ca="1" si="2"/>
        <v>117743.31309305804</v>
      </c>
      <c r="H23" s="721">
        <f t="shared" si="2"/>
        <v>260391.55835996033</v>
      </c>
      <c r="I23" s="721">
        <f t="shared" si="2"/>
        <v>35251.770045186509</v>
      </c>
      <c r="J23" s="721">
        <f t="shared" si="2"/>
        <v>0</v>
      </c>
      <c r="K23" s="721">
        <f t="shared" si="2"/>
        <v>3347.0809574508639</v>
      </c>
      <c r="L23" s="721">
        <f t="shared" si="2"/>
        <v>0</v>
      </c>
      <c r="M23" s="721">
        <f t="shared" ca="1" si="2"/>
        <v>0</v>
      </c>
      <c r="N23" s="721">
        <f t="shared" si="2"/>
        <v>13254.577943192284</v>
      </c>
      <c r="O23" s="721">
        <f t="shared" ca="1" si="2"/>
        <v>54689.907359981647</v>
      </c>
      <c r="P23" s="721">
        <f t="shared" si="2"/>
        <v>370.51000000000005</v>
      </c>
      <c r="Q23" s="722">
        <f t="shared" si="2"/>
        <v>1067.7333333333333</v>
      </c>
      <c r="R23" s="723">
        <f ca="1">R20+R15+R22</f>
        <v>1041049.0339550602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11388.921310288575</v>
      </c>
      <c r="D36" s="704">
        <f ca="1">tertiair!C20</f>
        <v>2950.0127721525137</v>
      </c>
      <c r="E36" s="704">
        <f ca="1">tertiair!D20</f>
        <v>8738.5680145910028</v>
      </c>
      <c r="F36" s="704">
        <f>tertiair!E20</f>
        <v>135.95468419605356</v>
      </c>
      <c r="G36" s="704">
        <f ca="1">tertiair!F20</f>
        <v>2593.3451344102623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25806.801915638407</v>
      </c>
    </row>
    <row r="37" spans="1:18">
      <c r="A37" s="873" t="s">
        <v>225</v>
      </c>
      <c r="B37" s="880"/>
      <c r="C37" s="704">
        <f ca="1">huishoudens!B12</f>
        <v>7432.6889158882659</v>
      </c>
      <c r="D37" s="704">
        <f ca="1">huishoudens!C12</f>
        <v>0</v>
      </c>
      <c r="E37" s="704">
        <f>huishoudens!D12</f>
        <v>20773.796332881044</v>
      </c>
      <c r="F37" s="704">
        <f>huishoudens!E12</f>
        <v>2153.8134099558692</v>
      </c>
      <c r="G37" s="704">
        <f>huishoudens!F12</f>
        <v>2731.0208960407185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33091.319554765898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16585.753528038942</v>
      </c>
      <c r="D39" s="704">
        <f ca="1">industrie!C22</f>
        <v>0</v>
      </c>
      <c r="E39" s="704">
        <f>industrie!D22</f>
        <v>12567.731750269664</v>
      </c>
      <c r="F39" s="704">
        <f>industrie!E22</f>
        <v>1446.5722233890199</v>
      </c>
      <c r="G39" s="704">
        <f>industrie!F22</f>
        <v>7370.8238851048081</v>
      </c>
      <c r="H39" s="704">
        <f>industrie!G22</f>
        <v>0</v>
      </c>
      <c r="I39" s="704">
        <f>industrie!H22</f>
        <v>0</v>
      </c>
      <c r="J39" s="704">
        <f>industrie!I22</f>
        <v>0</v>
      </c>
      <c r="K39" s="704">
        <f>industrie!J22</f>
        <v>65.635067642448107</v>
      </c>
      <c r="L39" s="704">
        <f>industrie!K22</f>
        <v>0</v>
      </c>
      <c r="M39" s="704">
        <f>industrie!L22</f>
        <v>0</v>
      </c>
      <c r="N39" s="704">
        <f>industrie!M22</f>
        <v>0</v>
      </c>
      <c r="O39" s="704">
        <f>industrie!N22</f>
        <v>0</v>
      </c>
      <c r="P39" s="704">
        <f>industrie!O22</f>
        <v>0</v>
      </c>
      <c r="Q39" s="814">
        <f>industrie!P22</f>
        <v>0</v>
      </c>
      <c r="R39" s="906">
        <f ca="1">SUM(C39:Q39)</f>
        <v>38036.516454444878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35407.363754215781</v>
      </c>
      <c r="D41" s="749">
        <f t="shared" ref="D41:R41" ca="1" si="4">SUM(D35:D40)</f>
        <v>2950.0127721525137</v>
      </c>
      <c r="E41" s="749">
        <f t="shared" ca="1" si="4"/>
        <v>42080.096097741713</v>
      </c>
      <c r="F41" s="749">
        <f t="shared" si="4"/>
        <v>3736.340317540943</v>
      </c>
      <c r="G41" s="749">
        <f t="shared" ca="1" si="4"/>
        <v>12695.189915555789</v>
      </c>
      <c r="H41" s="749">
        <f t="shared" si="4"/>
        <v>0</v>
      </c>
      <c r="I41" s="749">
        <f t="shared" si="4"/>
        <v>0</v>
      </c>
      <c r="J41" s="749">
        <f t="shared" si="4"/>
        <v>0</v>
      </c>
      <c r="K41" s="749">
        <f t="shared" si="4"/>
        <v>65.635067642448107</v>
      </c>
      <c r="L41" s="749">
        <f t="shared" si="4"/>
        <v>0</v>
      </c>
      <c r="M41" s="749">
        <f t="shared" ca="1" si="4"/>
        <v>0</v>
      </c>
      <c r="N41" s="749">
        <f t="shared" si="4"/>
        <v>0</v>
      </c>
      <c r="O41" s="749">
        <f t="shared" ca="1" si="4"/>
        <v>0</v>
      </c>
      <c r="P41" s="749">
        <f t="shared" si="4"/>
        <v>0</v>
      </c>
      <c r="Q41" s="750">
        <f t="shared" si="4"/>
        <v>0</v>
      </c>
      <c r="R41" s="751">
        <f t="shared" ca="1" si="4"/>
        <v>96934.637924849187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481.02696296911591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481.02696296911591</v>
      </c>
    </row>
    <row r="45" spans="1:18" ht="15" thickBot="1">
      <c r="A45" s="876" t="s">
        <v>307</v>
      </c>
      <c r="B45" s="886"/>
      <c r="C45" s="713">
        <f ca="1">transport!B18</f>
        <v>2.696413454956772</v>
      </c>
      <c r="D45" s="713">
        <f>transport!C18</f>
        <v>0</v>
      </c>
      <c r="E45" s="713">
        <f>transport!D18</f>
        <v>4.6304197042782054</v>
      </c>
      <c r="F45" s="713">
        <f>transport!E18</f>
        <v>180.36850618803919</v>
      </c>
      <c r="G45" s="713">
        <f>transport!F18</f>
        <v>0</v>
      </c>
      <c r="H45" s="713">
        <f>transport!G18</f>
        <v>69043.519119140299</v>
      </c>
      <c r="I45" s="713">
        <f>transport!H18</f>
        <v>8777.6907412514411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78008.90519973902</v>
      </c>
    </row>
    <row r="46" spans="1:18" ht="15.75" thickBot="1">
      <c r="A46" s="874" t="s">
        <v>230</v>
      </c>
      <c r="B46" s="887"/>
      <c r="C46" s="749">
        <f t="shared" ref="C46:R46" ca="1" si="5">SUM(C43:C45)</f>
        <v>2.696413454956772</v>
      </c>
      <c r="D46" s="749">
        <f t="shared" ca="1" si="5"/>
        <v>0</v>
      </c>
      <c r="E46" s="749">
        <f t="shared" si="5"/>
        <v>4.6304197042782054</v>
      </c>
      <c r="F46" s="749">
        <f t="shared" si="5"/>
        <v>180.36850618803919</v>
      </c>
      <c r="G46" s="749">
        <f t="shared" si="5"/>
        <v>0</v>
      </c>
      <c r="H46" s="749">
        <f t="shared" si="5"/>
        <v>69524.546082109417</v>
      </c>
      <c r="I46" s="749">
        <f t="shared" si="5"/>
        <v>8777.6907412514411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78489.932162708137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3997.353611357189</v>
      </c>
      <c r="D48" s="704">
        <f ca="1">+landbouw!C12</f>
        <v>18915.297519243653</v>
      </c>
      <c r="E48" s="704">
        <f>+landbouw!D12</f>
        <v>5357.2210089539331</v>
      </c>
      <c r="F48" s="704">
        <f>+landbouw!E12</f>
        <v>60.137101438313344</v>
      </c>
      <c r="G48" s="704">
        <f>+landbouw!F12</f>
        <v>18742.27468029071</v>
      </c>
      <c r="H48" s="704">
        <f>+landbouw!G12</f>
        <v>0</v>
      </c>
      <c r="I48" s="704">
        <f>+landbouw!H12</f>
        <v>0</v>
      </c>
      <c r="J48" s="704">
        <f>+landbouw!I12</f>
        <v>0</v>
      </c>
      <c r="K48" s="704">
        <f>+landbouw!J12</f>
        <v>1119.2315912951576</v>
      </c>
      <c r="L48" s="704">
        <f>+landbouw!K12</f>
        <v>0</v>
      </c>
      <c r="M48" s="704">
        <f>+landbouw!L12</f>
        <v>0</v>
      </c>
      <c r="N48" s="704">
        <f>+landbouw!M12</f>
        <v>0</v>
      </c>
      <c r="O48" s="704">
        <f>+landbouw!N12</f>
        <v>0</v>
      </c>
      <c r="P48" s="704">
        <f>+landbouw!O12</f>
        <v>0</v>
      </c>
      <c r="Q48" s="705">
        <f>+landbouw!P12</f>
        <v>0</v>
      </c>
      <c r="R48" s="747">
        <f ca="1">SUM(C48:Q48)</f>
        <v>48191.515512578961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39407.413779027927</v>
      </c>
      <c r="D53" s="759">
        <f t="shared" ref="D53:Q53" ca="1" si="6">D41+D46+D48</f>
        <v>21865.310291396167</v>
      </c>
      <c r="E53" s="759">
        <f t="shared" ca="1" si="6"/>
        <v>47441.947526399919</v>
      </c>
      <c r="F53" s="759">
        <f t="shared" si="6"/>
        <v>3976.8459251672957</v>
      </c>
      <c r="G53" s="759">
        <f t="shared" ca="1" si="6"/>
        <v>31437.464595846497</v>
      </c>
      <c r="H53" s="759">
        <f t="shared" si="6"/>
        <v>69524.546082109417</v>
      </c>
      <c r="I53" s="759">
        <f t="shared" si="6"/>
        <v>8777.6907412514411</v>
      </c>
      <c r="J53" s="759">
        <f t="shared" si="6"/>
        <v>0</v>
      </c>
      <c r="K53" s="759">
        <f t="shared" si="6"/>
        <v>1184.8666589376057</v>
      </c>
      <c r="L53" s="759">
        <f t="shared" si="6"/>
        <v>0</v>
      </c>
      <c r="M53" s="759">
        <f t="shared" ca="1" si="6"/>
        <v>0</v>
      </c>
      <c r="N53" s="759">
        <f t="shared" si="6"/>
        <v>0</v>
      </c>
      <c r="O53" s="759">
        <f t="shared" ca="1" si="6"/>
        <v>0</v>
      </c>
      <c r="P53" s="759">
        <f>P41+P46+P48</f>
        <v>0</v>
      </c>
      <c r="Q53" s="760">
        <f t="shared" si="6"/>
        <v>0</v>
      </c>
      <c r="R53" s="761">
        <f ca="1">R41+R46+R48</f>
        <v>223616.08560013626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0.19013885760469471</v>
      </c>
      <c r="D55" s="824">
        <f t="shared" ca="1" si="7"/>
        <v>0.22944543783408441</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22081.854634671403</v>
      </c>
      <c r="C64" s="781">
        <f>'lokale energieproductie'!B4</f>
        <v>22081.854634671403</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8098.6330397680304</v>
      </c>
      <c r="C66" s="781">
        <f>'lokale energieproductie'!B6</f>
        <v>8098.6330397680304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67503.037499999991</v>
      </c>
      <c r="C67" s="780">
        <f>B67*IFERROR(SUM(J67:L67)/SUM(D67:M67),0)</f>
        <v>2595.028890696246</v>
      </c>
      <c r="D67" s="812">
        <f>'lokale energieproductie'!C7</f>
        <v>75392.10685092675</v>
      </c>
      <c r="E67" s="813">
        <f>'lokale energieproductie'!D7</f>
        <v>0</v>
      </c>
      <c r="F67" s="813">
        <f>'lokale energieproductie'!E7</f>
        <v>970.25621884236114</v>
      </c>
      <c r="G67" s="813">
        <f>'lokale energieproductie'!F7</f>
        <v>0</v>
      </c>
      <c r="H67" s="813">
        <f>'lokale energieproductie'!G7</f>
        <v>0</v>
      </c>
      <c r="I67" s="813">
        <f>'lokale energieproductie'!H7</f>
        <v>0</v>
      </c>
      <c r="J67" s="813">
        <f>'lokale energieproductie'!I7</f>
        <v>2910.7686565270833</v>
      </c>
      <c r="K67" s="813">
        <f>'lokale energieproductie'!J7</f>
        <v>142.20650899791198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15488.263994318115</v>
      </c>
      <c r="P67" s="910">
        <v>0</v>
      </c>
      <c r="Q67" s="771"/>
      <c r="R67" s="728"/>
    </row>
    <row r="68" spans="1:18" ht="30.75" thickBot="1">
      <c r="A68" s="787" t="s">
        <v>353</v>
      </c>
      <c r="B68" s="780">
        <f>'lokale energieproductie'!B8</f>
        <v>1341</v>
      </c>
      <c r="C68" s="780">
        <f>B68*IFERROR(SUM(J68:L68)/SUM(D68:M68),0)</f>
        <v>1341</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3831.4285714285716</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99024.525174439419</v>
      </c>
      <c r="C69" s="789">
        <f>SUM(C64:C68)</f>
        <v>34116.51656513568</v>
      </c>
      <c r="D69" s="790">
        <f t="shared" ref="D69:M69" si="8">SUM(D67:D68)</f>
        <v>75392.10685092675</v>
      </c>
      <c r="E69" s="790">
        <f t="shared" si="8"/>
        <v>0</v>
      </c>
      <c r="F69" s="790">
        <f t="shared" si="8"/>
        <v>970.25621884236114</v>
      </c>
      <c r="G69" s="790">
        <f t="shared" si="8"/>
        <v>0</v>
      </c>
      <c r="H69" s="790">
        <f t="shared" si="8"/>
        <v>0</v>
      </c>
      <c r="I69" s="790">
        <f t="shared" si="8"/>
        <v>0</v>
      </c>
      <c r="J69" s="790">
        <f t="shared" si="8"/>
        <v>2910.7686565270833</v>
      </c>
      <c r="K69" s="790">
        <f t="shared" si="8"/>
        <v>3973.6350804264835</v>
      </c>
      <c r="L69" s="790">
        <f t="shared" si="8"/>
        <v>0</v>
      </c>
      <c r="M69" s="918">
        <f t="shared" si="8"/>
        <v>0</v>
      </c>
      <c r="N69" s="791">
        <v>0</v>
      </c>
      <c r="O69" s="791">
        <f>SUM(O67:O68)</f>
        <v>15488.263994318115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95296.339285714275</v>
      </c>
      <c r="C78" s="803">
        <f>B78*IFERROR(SUM(I78:L78)/SUM(D78:M78),0)</f>
        <v>3663.4907521608975</v>
      </c>
      <c r="D78" s="818">
        <f>'lokale energieproductie'!C16</f>
        <v>106433.60743478751</v>
      </c>
      <c r="E78" s="818">
        <f>'lokale energieproductie'!D16</f>
        <v>0</v>
      </c>
      <c r="F78" s="818">
        <f>'lokale energieproductie'!E16</f>
        <v>1369.743781157639</v>
      </c>
      <c r="G78" s="818">
        <f>'lokale energieproductie'!F16</f>
        <v>0</v>
      </c>
      <c r="H78" s="818">
        <f>'lokale energieproductie'!G16</f>
        <v>0</v>
      </c>
      <c r="I78" s="818">
        <f>'lokale energieproductie'!H16</f>
        <v>0</v>
      </c>
      <c r="J78" s="818">
        <f>'lokale energieproductie'!I16</f>
        <v>4109.2313434729167</v>
      </c>
      <c r="K78" s="818">
        <f>'lokale energieproductie'!J16</f>
        <v>200.75777671637374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21865.310291396167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95296.339285714275</v>
      </c>
      <c r="C81" s="789">
        <f>SUM(C78:C80)</f>
        <v>3663.4907521608975</v>
      </c>
      <c r="D81" s="789">
        <f t="shared" ref="D81:P81" si="9">SUM(D78:D80)</f>
        <v>106433.60743478751</v>
      </c>
      <c r="E81" s="789">
        <f t="shared" si="9"/>
        <v>0</v>
      </c>
      <c r="F81" s="789">
        <f t="shared" si="9"/>
        <v>1369.743781157639</v>
      </c>
      <c r="G81" s="789">
        <f t="shared" si="9"/>
        <v>0</v>
      </c>
      <c r="H81" s="789">
        <f t="shared" si="9"/>
        <v>0</v>
      </c>
      <c r="I81" s="789">
        <f t="shared" si="9"/>
        <v>0</v>
      </c>
      <c r="J81" s="789">
        <f t="shared" si="9"/>
        <v>4109.2313434729167</v>
      </c>
      <c r="K81" s="789">
        <f t="shared" si="9"/>
        <v>200.75777671637374</v>
      </c>
      <c r="L81" s="789">
        <f t="shared" si="9"/>
        <v>0</v>
      </c>
      <c r="M81" s="789">
        <f t="shared" si="9"/>
        <v>0</v>
      </c>
      <c r="N81" s="789">
        <v>0</v>
      </c>
      <c r="O81" s="789">
        <f>SUM(O78:O80)</f>
        <v>21865.310291396167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39090.846602965736</v>
      </c>
      <c r="C4" s="463">
        <f>huishoudens!C8</f>
        <v>0</v>
      </c>
      <c r="D4" s="463">
        <f>huishoudens!D8</f>
        <v>102840.5759053517</v>
      </c>
      <c r="E4" s="463">
        <f>huishoudens!E8</f>
        <v>9488.1648015677056</v>
      </c>
      <c r="F4" s="463">
        <f>huishoudens!F8</f>
        <v>10228.542681800443</v>
      </c>
      <c r="G4" s="463">
        <f>huishoudens!G8</f>
        <v>0</v>
      </c>
      <c r="H4" s="463">
        <f>huishoudens!H8</f>
        <v>0</v>
      </c>
      <c r="I4" s="463">
        <f>huishoudens!I8</f>
        <v>0</v>
      </c>
      <c r="J4" s="463">
        <f>huishoudens!J8</f>
        <v>0</v>
      </c>
      <c r="K4" s="463">
        <f>huishoudens!K8</f>
        <v>0</v>
      </c>
      <c r="L4" s="463">
        <f>huishoudens!L8</f>
        <v>0</v>
      </c>
      <c r="M4" s="463">
        <f>huishoudens!M8</f>
        <v>0</v>
      </c>
      <c r="N4" s="463">
        <f>huishoudens!N8</f>
        <v>30557.157149900147</v>
      </c>
      <c r="O4" s="463">
        <f>huishoudens!O8</f>
        <v>365.82000000000005</v>
      </c>
      <c r="P4" s="464">
        <f>huishoudens!P8</f>
        <v>991.4666666666667</v>
      </c>
      <c r="Q4" s="465">
        <f>SUM(B4:P4)</f>
        <v>193562.5738082524</v>
      </c>
    </row>
    <row r="5" spans="1:17">
      <c r="A5" s="462" t="s">
        <v>156</v>
      </c>
      <c r="B5" s="463">
        <f ca="1">tertiair!B16</f>
        <v>58458.546942918612</v>
      </c>
      <c r="C5" s="463">
        <f ca="1">tertiair!C16</f>
        <v>12857.142857142857</v>
      </c>
      <c r="D5" s="463">
        <f ca="1">tertiair!D16</f>
        <v>43260.237695995056</v>
      </c>
      <c r="E5" s="463">
        <f>tertiair!E16</f>
        <v>598.91931363900244</v>
      </c>
      <c r="F5" s="463">
        <f ca="1">tertiair!F16</f>
        <v>9712.9031251320685</v>
      </c>
      <c r="G5" s="463">
        <f>tertiair!G16</f>
        <v>0</v>
      </c>
      <c r="H5" s="463">
        <f>tertiair!H16</f>
        <v>0</v>
      </c>
      <c r="I5" s="463">
        <f>tertiair!I16</f>
        <v>0</v>
      </c>
      <c r="J5" s="463">
        <f>tertiair!J16</f>
        <v>0</v>
      </c>
      <c r="K5" s="463">
        <f>tertiair!K16</f>
        <v>0</v>
      </c>
      <c r="L5" s="463">
        <f ca="1">tertiair!L16</f>
        <v>0</v>
      </c>
      <c r="M5" s="463">
        <f>tertiair!M16</f>
        <v>0</v>
      </c>
      <c r="N5" s="463">
        <f ca="1">tertiair!N16</f>
        <v>433.90892744050507</v>
      </c>
      <c r="O5" s="463">
        <f>tertiair!O16</f>
        <v>4.6900000000000004</v>
      </c>
      <c r="P5" s="464">
        <f>tertiair!P16</f>
        <v>76.266666666666666</v>
      </c>
      <c r="Q5" s="462">
        <f t="shared" ref="Q5:Q13" ca="1" si="0">SUM(B5:P5)</f>
        <v>125402.61552893478</v>
      </c>
    </row>
    <row r="6" spans="1:17">
      <c r="A6" s="462" t="s">
        <v>194</v>
      </c>
      <c r="B6" s="463">
        <f>'openbare verlichting'!B8</f>
        <v>1439.3689999999999</v>
      </c>
      <c r="C6" s="463"/>
      <c r="D6" s="463"/>
      <c r="E6" s="463"/>
      <c r="F6" s="463"/>
      <c r="G6" s="463"/>
      <c r="H6" s="463"/>
      <c r="I6" s="463"/>
      <c r="J6" s="463"/>
      <c r="K6" s="463"/>
      <c r="L6" s="463"/>
      <c r="M6" s="463"/>
      <c r="N6" s="463"/>
      <c r="O6" s="463"/>
      <c r="P6" s="464"/>
      <c r="Q6" s="462">
        <f t="shared" si="0"/>
        <v>1439.3689999999999</v>
      </c>
    </row>
    <row r="7" spans="1:17">
      <c r="A7" s="462" t="s">
        <v>112</v>
      </c>
      <c r="B7" s="463">
        <f>landbouw!B8</f>
        <v>21023.338741562369</v>
      </c>
      <c r="C7" s="463">
        <f>landbouw!C8</f>
        <v>82439.196428571406</v>
      </c>
      <c r="D7" s="463">
        <f>landbouw!D8</f>
        <v>26520.896083930362</v>
      </c>
      <c r="E7" s="463">
        <f>landbouw!E8</f>
        <v>264.92115171063148</v>
      </c>
      <c r="F7" s="463">
        <f>landbouw!F8</f>
        <v>70195.785319440853</v>
      </c>
      <c r="G7" s="463">
        <f>landbouw!G8</f>
        <v>0</v>
      </c>
      <c r="H7" s="463">
        <f>landbouw!H8</f>
        <v>0</v>
      </c>
      <c r="I7" s="463">
        <f>landbouw!I8</f>
        <v>0</v>
      </c>
      <c r="J7" s="463">
        <f>landbouw!J8</f>
        <v>3161.6711618507279</v>
      </c>
      <c r="K7" s="463">
        <f>landbouw!K8</f>
        <v>0</v>
      </c>
      <c r="L7" s="463">
        <f>landbouw!L8</f>
        <v>0</v>
      </c>
      <c r="M7" s="463">
        <f>landbouw!M8</f>
        <v>0</v>
      </c>
      <c r="N7" s="463">
        <f>landbouw!N8</f>
        <v>0</v>
      </c>
      <c r="O7" s="463">
        <f>landbouw!O8</f>
        <v>0</v>
      </c>
      <c r="P7" s="464">
        <f>landbouw!P8</f>
        <v>0</v>
      </c>
      <c r="Q7" s="462">
        <f t="shared" si="0"/>
        <v>203605.80888706638</v>
      </c>
    </row>
    <row r="8" spans="1:17">
      <c r="A8" s="462" t="s">
        <v>657</v>
      </c>
      <c r="B8" s="463">
        <f>industrie!B18</f>
        <v>87229.689590968832</v>
      </c>
      <c r="C8" s="463">
        <f>industrie!C18</f>
        <v>0</v>
      </c>
      <c r="D8" s="463">
        <f>industrie!D18</f>
        <v>62216.493813216155</v>
      </c>
      <c r="E8" s="463">
        <f>industrie!E18</f>
        <v>6372.564860744581</v>
      </c>
      <c r="F8" s="463">
        <f>industrie!F18</f>
        <v>27606.081966684673</v>
      </c>
      <c r="G8" s="463">
        <f>industrie!G18</f>
        <v>0</v>
      </c>
      <c r="H8" s="463">
        <f>industrie!H18</f>
        <v>0</v>
      </c>
      <c r="I8" s="463">
        <f>industrie!I18</f>
        <v>0</v>
      </c>
      <c r="J8" s="463">
        <f>industrie!J18</f>
        <v>185.40979560013591</v>
      </c>
      <c r="K8" s="463">
        <f>industrie!K18</f>
        <v>0</v>
      </c>
      <c r="L8" s="463">
        <f>industrie!L18</f>
        <v>0</v>
      </c>
      <c r="M8" s="463">
        <f>industrie!M18</f>
        <v>0</v>
      </c>
      <c r="N8" s="463">
        <f>industrie!N18</f>
        <v>23698.841282640991</v>
      </c>
      <c r="O8" s="463">
        <f>industrie!O18</f>
        <v>0</v>
      </c>
      <c r="P8" s="464">
        <f>industrie!P18</f>
        <v>0</v>
      </c>
      <c r="Q8" s="462">
        <f t="shared" si="0"/>
        <v>207309.08130985536</v>
      </c>
    </row>
    <row r="9" spans="1:17" s="468" customFormat="1">
      <c r="A9" s="466" t="s">
        <v>574</v>
      </c>
      <c r="B9" s="467">
        <f>transport!B14</f>
        <v>14.181285661044146</v>
      </c>
      <c r="C9" s="467">
        <f>transport!C14</f>
        <v>0</v>
      </c>
      <c r="D9" s="467">
        <f>transport!D14</f>
        <v>22.922869823159431</v>
      </c>
      <c r="E9" s="467">
        <f>transport!E14</f>
        <v>794.57491712792591</v>
      </c>
      <c r="F9" s="467">
        <f>transport!F14</f>
        <v>0</v>
      </c>
      <c r="G9" s="467">
        <f>transport!G14</f>
        <v>258589.95924771644</v>
      </c>
      <c r="H9" s="467">
        <f>transport!H14</f>
        <v>35251.770045186509</v>
      </c>
      <c r="I9" s="467">
        <f>transport!I14</f>
        <v>0</v>
      </c>
      <c r="J9" s="467">
        <f>transport!J14</f>
        <v>0</v>
      </c>
      <c r="K9" s="467">
        <f>transport!K14</f>
        <v>0</v>
      </c>
      <c r="L9" s="467">
        <f>transport!L14</f>
        <v>0</v>
      </c>
      <c r="M9" s="467">
        <f>transport!M14</f>
        <v>13174.456424110023</v>
      </c>
      <c r="N9" s="467">
        <f>transport!N14</f>
        <v>0</v>
      </c>
      <c r="O9" s="467">
        <f>transport!O14</f>
        <v>0</v>
      </c>
      <c r="P9" s="467">
        <f>transport!P14</f>
        <v>0</v>
      </c>
      <c r="Q9" s="466">
        <f>SUM(B9:P9)</f>
        <v>307847.86478962511</v>
      </c>
    </row>
    <row r="10" spans="1:17">
      <c r="A10" s="462" t="s">
        <v>564</v>
      </c>
      <c r="B10" s="463">
        <f>transport!B54</f>
        <v>0</v>
      </c>
      <c r="C10" s="463">
        <f>transport!C54</f>
        <v>0</v>
      </c>
      <c r="D10" s="463">
        <f>transport!D54</f>
        <v>0</v>
      </c>
      <c r="E10" s="463">
        <f>transport!E54</f>
        <v>0</v>
      </c>
      <c r="F10" s="463">
        <f>transport!F54</f>
        <v>0</v>
      </c>
      <c r="G10" s="463">
        <f>transport!G54</f>
        <v>1801.5991122438797</v>
      </c>
      <c r="H10" s="463">
        <f>transport!H54</f>
        <v>0</v>
      </c>
      <c r="I10" s="463">
        <f>transport!I54</f>
        <v>0</v>
      </c>
      <c r="J10" s="463">
        <f>transport!J54</f>
        <v>0</v>
      </c>
      <c r="K10" s="463">
        <f>transport!K54</f>
        <v>0</v>
      </c>
      <c r="L10" s="463">
        <f>transport!L54</f>
        <v>0</v>
      </c>
      <c r="M10" s="463">
        <f>transport!M54</f>
        <v>80.121519082261258</v>
      </c>
      <c r="N10" s="463">
        <f>transport!N54</f>
        <v>0</v>
      </c>
      <c r="O10" s="463">
        <f>transport!O54</f>
        <v>0</v>
      </c>
      <c r="P10" s="464">
        <f>transport!P54</f>
        <v>0</v>
      </c>
      <c r="Q10" s="462">
        <f t="shared" si="0"/>
        <v>1881.7206313261411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207255.97216407661</v>
      </c>
      <c r="C14" s="473">
        <f t="shared" ref="C14:Q14" ca="1" si="1">SUM(C4:C13)</f>
        <v>95296.339285714261</v>
      </c>
      <c r="D14" s="473">
        <f t="shared" ca="1" si="1"/>
        <v>234861.12636831641</v>
      </c>
      <c r="E14" s="473">
        <f t="shared" si="1"/>
        <v>17519.14504478985</v>
      </c>
      <c r="F14" s="473">
        <f t="shared" ca="1" si="1"/>
        <v>117743.31309305804</v>
      </c>
      <c r="G14" s="473">
        <f t="shared" si="1"/>
        <v>260391.55835996033</v>
      </c>
      <c r="H14" s="473">
        <f t="shared" si="1"/>
        <v>35251.770045186509</v>
      </c>
      <c r="I14" s="473">
        <f t="shared" si="1"/>
        <v>0</v>
      </c>
      <c r="J14" s="473">
        <f t="shared" si="1"/>
        <v>3347.0809574508639</v>
      </c>
      <c r="K14" s="473">
        <f t="shared" si="1"/>
        <v>0</v>
      </c>
      <c r="L14" s="473">
        <f t="shared" ca="1" si="1"/>
        <v>0</v>
      </c>
      <c r="M14" s="473">
        <f t="shared" si="1"/>
        <v>13254.577943192284</v>
      </c>
      <c r="N14" s="473">
        <f t="shared" ca="1" si="1"/>
        <v>54689.907359981647</v>
      </c>
      <c r="O14" s="473">
        <f t="shared" si="1"/>
        <v>370.51000000000005</v>
      </c>
      <c r="P14" s="474">
        <f t="shared" si="1"/>
        <v>1067.7333333333333</v>
      </c>
      <c r="Q14" s="474">
        <f t="shared" ca="1" si="1"/>
        <v>1041049.0339550602</v>
      </c>
    </row>
    <row r="16" spans="1:17">
      <c r="A16" s="476" t="s">
        <v>569</v>
      </c>
      <c r="B16" s="829">
        <f ca="1">huishoudens!B10</f>
        <v>0.19013885760469471</v>
      </c>
      <c r="C16" s="829">
        <f ca="1">huishoudens!C10</f>
        <v>0.22944543783408441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7432.6889158882659</v>
      </c>
      <c r="C21" s="463">
        <f t="shared" ref="C21:C30" ca="1" si="3">C4*$C$16</f>
        <v>0</v>
      </c>
      <c r="D21" s="463">
        <f t="shared" ref="D21:D30" si="4">D4*$D$16</f>
        <v>20773.796332881044</v>
      </c>
      <c r="E21" s="463">
        <f t="shared" ref="E21:E30" si="5">E4*$E$16</f>
        <v>2153.8134099558692</v>
      </c>
      <c r="F21" s="463">
        <f t="shared" ref="F21:F30" si="6">F4*$F$16</f>
        <v>2731.0208960407185</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33091.319554765898</v>
      </c>
    </row>
    <row r="22" spans="1:17">
      <c r="A22" s="462" t="s">
        <v>156</v>
      </c>
      <c r="B22" s="463">
        <f t="shared" ca="1" si="2"/>
        <v>11115.241332956963</v>
      </c>
      <c r="C22" s="463">
        <f t="shared" ca="1" si="3"/>
        <v>2950.0127721525137</v>
      </c>
      <c r="D22" s="463">
        <f t="shared" ca="1" si="4"/>
        <v>8738.5680145910028</v>
      </c>
      <c r="E22" s="463">
        <f t="shared" si="5"/>
        <v>135.95468419605356</v>
      </c>
      <c r="F22" s="463">
        <f t="shared" ca="1" si="6"/>
        <v>2593.3451344102623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25533.121938306795</v>
      </c>
    </row>
    <row r="23" spans="1:17">
      <c r="A23" s="462" t="s">
        <v>194</v>
      </c>
      <c r="B23" s="463">
        <f t="shared" ca="1" si="2"/>
        <v>273.67997733161178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273.67997733161178</v>
      </c>
    </row>
    <row r="24" spans="1:17">
      <c r="A24" s="462" t="s">
        <v>112</v>
      </c>
      <c r="B24" s="463">
        <f t="shared" ca="1" si="2"/>
        <v>3997.353611357189</v>
      </c>
      <c r="C24" s="463">
        <f t="shared" ca="1" si="3"/>
        <v>18915.297519243653</v>
      </c>
      <c r="D24" s="463">
        <f t="shared" si="4"/>
        <v>5357.2210089539331</v>
      </c>
      <c r="E24" s="463">
        <f t="shared" si="5"/>
        <v>60.137101438313344</v>
      </c>
      <c r="F24" s="463">
        <f t="shared" si="6"/>
        <v>18742.27468029071</v>
      </c>
      <c r="G24" s="463">
        <f t="shared" si="7"/>
        <v>0</v>
      </c>
      <c r="H24" s="463">
        <f t="shared" si="8"/>
        <v>0</v>
      </c>
      <c r="I24" s="463">
        <f t="shared" si="9"/>
        <v>0</v>
      </c>
      <c r="J24" s="463">
        <f t="shared" si="10"/>
        <v>1119.2315912951576</v>
      </c>
      <c r="K24" s="463">
        <f t="shared" si="11"/>
        <v>0</v>
      </c>
      <c r="L24" s="463">
        <f t="shared" si="12"/>
        <v>0</v>
      </c>
      <c r="M24" s="463">
        <f t="shared" si="13"/>
        <v>0</v>
      </c>
      <c r="N24" s="463">
        <f t="shared" si="14"/>
        <v>0</v>
      </c>
      <c r="O24" s="463">
        <f t="shared" si="15"/>
        <v>0</v>
      </c>
      <c r="P24" s="464">
        <f t="shared" si="16"/>
        <v>0</v>
      </c>
      <c r="Q24" s="462">
        <f t="shared" ca="1" si="17"/>
        <v>48191.515512578961</v>
      </c>
    </row>
    <row r="25" spans="1:17">
      <c r="A25" s="462" t="s">
        <v>657</v>
      </c>
      <c r="B25" s="463">
        <f t="shared" ca="1" si="2"/>
        <v>16585.753528038942</v>
      </c>
      <c r="C25" s="463">
        <f t="shared" ca="1" si="3"/>
        <v>0</v>
      </c>
      <c r="D25" s="463">
        <f t="shared" si="4"/>
        <v>12567.731750269664</v>
      </c>
      <c r="E25" s="463">
        <f t="shared" si="5"/>
        <v>1446.5722233890199</v>
      </c>
      <c r="F25" s="463">
        <f t="shared" si="6"/>
        <v>7370.8238851048081</v>
      </c>
      <c r="G25" s="463">
        <f t="shared" si="7"/>
        <v>0</v>
      </c>
      <c r="H25" s="463">
        <f t="shared" si="8"/>
        <v>0</v>
      </c>
      <c r="I25" s="463">
        <f t="shared" si="9"/>
        <v>0</v>
      </c>
      <c r="J25" s="463">
        <f t="shared" si="10"/>
        <v>65.635067642448107</v>
      </c>
      <c r="K25" s="463">
        <f t="shared" si="11"/>
        <v>0</v>
      </c>
      <c r="L25" s="463">
        <f t="shared" si="12"/>
        <v>0</v>
      </c>
      <c r="M25" s="463">
        <f t="shared" si="13"/>
        <v>0</v>
      </c>
      <c r="N25" s="463">
        <f t="shared" si="14"/>
        <v>0</v>
      </c>
      <c r="O25" s="463">
        <f t="shared" si="15"/>
        <v>0</v>
      </c>
      <c r="P25" s="464">
        <f t="shared" si="16"/>
        <v>0</v>
      </c>
      <c r="Q25" s="462">
        <f t="shared" ca="1" si="17"/>
        <v>38036.516454444878</v>
      </c>
    </row>
    <row r="26" spans="1:17" s="468" customFormat="1">
      <c r="A26" s="466" t="s">
        <v>574</v>
      </c>
      <c r="B26" s="823">
        <f t="shared" ca="1" si="2"/>
        <v>2.696413454956772</v>
      </c>
      <c r="C26" s="467">
        <f t="shared" ca="1" si="3"/>
        <v>0</v>
      </c>
      <c r="D26" s="467">
        <f t="shared" si="4"/>
        <v>4.6304197042782054</v>
      </c>
      <c r="E26" s="467">
        <f t="shared" si="5"/>
        <v>180.36850618803919</v>
      </c>
      <c r="F26" s="467">
        <f t="shared" si="6"/>
        <v>0</v>
      </c>
      <c r="G26" s="467">
        <f t="shared" si="7"/>
        <v>69043.519119140299</v>
      </c>
      <c r="H26" s="467">
        <f t="shared" si="8"/>
        <v>8777.6907412514411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78008.90519973902</v>
      </c>
    </row>
    <row r="27" spans="1:17">
      <c r="A27" s="462" t="s">
        <v>564</v>
      </c>
      <c r="B27" s="463">
        <f t="shared" ca="1" si="2"/>
        <v>0</v>
      </c>
      <c r="C27" s="463">
        <f t="shared" ca="1" si="3"/>
        <v>0</v>
      </c>
      <c r="D27" s="463">
        <f t="shared" si="4"/>
        <v>0</v>
      </c>
      <c r="E27" s="463">
        <f t="shared" si="5"/>
        <v>0</v>
      </c>
      <c r="F27" s="463">
        <f t="shared" si="6"/>
        <v>0</v>
      </c>
      <c r="G27" s="463">
        <f t="shared" si="7"/>
        <v>481.02696296911591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481.02696296911591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39407.413779027927</v>
      </c>
      <c r="C31" s="473">
        <f t="shared" ca="1" si="18"/>
        <v>21865.310291396167</v>
      </c>
      <c r="D31" s="473">
        <f t="shared" ca="1" si="18"/>
        <v>47441.947526399919</v>
      </c>
      <c r="E31" s="473">
        <f t="shared" si="18"/>
        <v>3976.8459251672953</v>
      </c>
      <c r="F31" s="473">
        <f t="shared" ca="1" si="18"/>
        <v>31437.464595846497</v>
      </c>
      <c r="G31" s="473">
        <f t="shared" si="18"/>
        <v>69524.546082109417</v>
      </c>
      <c r="H31" s="473">
        <f t="shared" si="18"/>
        <v>8777.6907412514411</v>
      </c>
      <c r="I31" s="473">
        <f t="shared" si="18"/>
        <v>0</v>
      </c>
      <c r="J31" s="473">
        <f t="shared" si="18"/>
        <v>1184.8666589376057</v>
      </c>
      <c r="K31" s="473">
        <f t="shared" si="18"/>
        <v>0</v>
      </c>
      <c r="L31" s="473">
        <f t="shared" ca="1" si="18"/>
        <v>0</v>
      </c>
      <c r="M31" s="473">
        <f t="shared" si="18"/>
        <v>0</v>
      </c>
      <c r="N31" s="473">
        <f t="shared" ca="1" si="18"/>
        <v>0</v>
      </c>
      <c r="O31" s="473">
        <f t="shared" si="18"/>
        <v>0</v>
      </c>
      <c r="P31" s="474">
        <f t="shared" si="18"/>
        <v>0</v>
      </c>
      <c r="Q31" s="474">
        <f t="shared" ca="1" si="18"/>
        <v>223616.08560013626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0.19013885760469471</v>
      </c>
      <c r="C17" s="513">
        <f ca="1">'EF ele_warmte'!B22</f>
        <v>0.22944543783408441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0.19013885760469471</v>
      </c>
      <c r="C17" s="513">
        <f ca="1">'EF ele_warmte'!B22</f>
        <v>0.22944543783408441</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0.19013885760469471</v>
      </c>
      <c r="C29" s="514">
        <f ca="1">'EF ele_warmte'!B22</f>
        <v>0.22944543783408441</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2018-06-27T09:29:21Z</dcterms:modified>
</cp:coreProperties>
</file>