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0" i="17"/>
  <c r="C12" s="1"/>
  <c r="D48" i="14" s="1"/>
  <c r="C17" i="49"/>
  <c r="C17" i="19"/>
  <c r="C19" s="1"/>
  <c r="D35" i="14" s="1"/>
  <c r="C20" i="16"/>
  <c r="C22" s="1"/>
  <c r="D39" i="14" s="1"/>
  <c r="C18" i="15"/>
  <c r="C20" s="1"/>
  <c r="D36" i="14" s="1"/>
  <c r="C10" i="13"/>
  <c r="C16" i="48" s="1"/>
  <c r="C30" s="1"/>
  <c r="C16" i="22"/>
  <c r="C56"/>
  <c r="C58" s="1"/>
  <c r="D44" i="14" s="1"/>
  <c r="D46" s="1"/>
  <c r="F8" i="48"/>
  <c r="Q8" s="1"/>
  <c r="Q14" s="1"/>
  <c r="K13" i="14"/>
  <c r="K15" s="1"/>
  <c r="K2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l="1"/>
  <c r="F31" s="1"/>
  <c r="F14"/>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<sst xmlns="http://schemas.openxmlformats.org/spreadsheetml/2006/main" count="1997" uniqueCount="855">
  <si>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</si>
  <si>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</si>
  <si>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</si>
  <si>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</si>
  <si>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</si>
  <si>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</si>
  <si>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</si>
  <si>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</si>
  <si>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</si>
  <si>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</si>
  <si>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</si>
  <si>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</si>
  <si>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</si>
  <si>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</si>
  <si>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</si>
  <si>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</si>
  <si>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</si>
  <si>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</si>
  <si>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</si>
  <si>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</si>
  <si>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</si>
  <si>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</si>
  <si>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</si>
  <si>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</si>
  <si>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</si>
  <si>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</si>
  <si>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</si>
  <si>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</si>
  <si>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</si>
  <si>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</si>
  <si>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</si>
  <si>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</si>
  <si>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</si>
  <si>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</si>
  <si>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</si>
  <si>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</si>
  <si>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</si>
  <si>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</si>
  <si>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</si>
  <si>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</si>
  <si>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</si>
  <si>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</si>
  <si>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</si>
  <si>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</si>
  <si>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</si>
  <si>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</si>
  <si>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</si>
  <si>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</si>
  <si>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</si>
  <si>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</si>
  <si>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</si>
  <si>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</si>
  <si>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</si>
  <si>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</si>
  <si>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</si>
  <si>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</si>
  <si>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</si>
  <si>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</si>
  <si>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</si>
  <si>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</si>
  <si>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</si>
  <si>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</si>
  <si>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</si>
  <si>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</si>
  <si>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</si>
  <si>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</si>
  <si>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</si>
  <si>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</si>
  <si>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</si>
  <si>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</si>
  <si>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</si>
  <si>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</si>
  <si>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</si>
  <si>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</si>
  <si>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</si>
  <si>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</si>
  <si>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</si>
  <si>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</si>
  <si>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</si>
  <si>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</si>
  <si>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</si>
  <si>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</si>
  <si>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</si>
  <si>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</si>
  <si>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</si>
  <si>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</si>
  <si>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</si>
  <si>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</si>
  <si>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</si>
  <si>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</si>
  <si>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</si>
  <si>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</si>
  <si>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</si>
  <si>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</si>
  <si>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</si>
  <si>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</si>
  <si>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</si>
  <si>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</si>
  <si>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</si>
  <si>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</si>
  <si>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</si>
  <si>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</si>
  <si>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</si>
  <si>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</si>
  <si>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</si>
  <si>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</si>
  <si>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</si>
  <si>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</si>
  <si>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</si>
  <si>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</si>
  <si>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</si>
  <si>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</si>
  <si>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</si>
  <si>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</si>
  <si>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</si>
  <si>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</si>
  <si>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</si>
  <si>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</si>
  <si>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</si>
  <si>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</si>
  <si>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</si>
  <si>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</si>
  <si>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</si>
  <si>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</si>
  <si>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</si>
  <si>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</si>
  <si>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</si>
  <si>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</si>
  <si>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</si>
  <si>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</si>
  <si>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</si>
  <si>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</si>
  <si>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</si>
  <si>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</si>
  <si>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</si>
  <si>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</si>
  <si>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</si>
  <si>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</si>
  <si>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</si>
  <si>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</si>
  <si>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</si>
  <si>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</si>
  <si>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</si>
  <si>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</si>
  <si>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</si>
  <si>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</si>
  <si>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</si>
  <si>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</si>
  <si>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</si>
  <si>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</si>
  <si>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</si>
  <si>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</si>
  <si>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</si>
  <si>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</si>
  <si>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</si>
  <si>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</si>
  <si>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</si>
  <si>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</si>
  <si>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</si>
  <si>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</si>
  <si>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</si>
  <si>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</si>
  <si>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</si>
  <si>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</si>
  <si>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</si>
  <si>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</si>
  <si>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</si>
  <si>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</si>
  <si>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</si>
  <si>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</si>
  <si>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</si>
  <si>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</si>
  <si>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</si>
  <si>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</si>
  <si>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</si>
  <si>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</si>
  <si>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</si>
  <si>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</si>
  <si>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</si>
  <si>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</si>
  <si>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</si>
  <si>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</si>
  <si>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</si>
  <si>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</si>
  <si>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</si>
  <si>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</si>
  <si>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</si>
  <si>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</si>
  <si>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</si>
  <si>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</si>
  <si>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</si>
  <si>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</si>
  <si>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</si>
  <si>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</si>
  <si>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</si>
  <si>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</si>
  <si>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</si>
  <si>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</si>
  <si>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</si>
  <si>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</si>
  <si>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</si>
  <si>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</si>
  <si>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</si>
  <si>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</si>
  <si>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</si>
  <si>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</si>
  <si>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</si>
  <si>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</si>
  <si>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</si>
  <si>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</si>
  <si>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</si>
  <si>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</si>
  <si>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</si>
  <si>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</si>
  <si>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</si>
  <si>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</si>
  <si>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</si>
  <si>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</si>
  <si>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</si>
  <si>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</si>
  <si>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</si>
  <si>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</si>
  <si>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</si>
  <si>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</si>
  <si>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</si>
  <si>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</si>
  <si>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</si>
  <si>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</si>
  <si>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</si>
  <si>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</si>
  <si>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</si>
  <si>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</si>
  <si>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</si>
  <si>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</si>
  <si>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</si>
  <si>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</si>
  <si>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</si>
  <si>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</si>
  <si>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</si>
  <si>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</si>
  <si>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</si>
  <si>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</si>
  <si>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</si>
  <si>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</si>
  <si>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</si>
  <si>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</si>
  <si>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</si>
  <si>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</si>
  <si>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</si>
  <si>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</si>
  <si>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</si>
  <si>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</si>
  <si>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</si>
  <si>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</si>
  <si>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</si>
  <si>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</si>
  <si>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</si>
  <si>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</si>
  <si>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</si>
  <si>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</si>
  <si>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</si>
  <si>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</si>
  <si>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</si>
  <si>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</si>
  <si>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</si>
  <si>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</si>
  <si>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</si>
  <si>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</si>
  <si>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</si>
  <si>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</si>
  <si>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</si>
  <si>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</si>
  <si>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</si>
  <si>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</si>
  <si>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</si>
  <si>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</si>
  <si>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</si>
  <si>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</si>
  <si>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</si>
  <si>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</si>
  <si>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</si>
  <si>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</si>
  <si>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</si>
  <si>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</si>
  <si>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</si>
  <si>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</si>
  <si>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</si>
  <si>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</si>
  <si>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</si>
  <si>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</si>
  <si>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</si>
  <si>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</si>
  <si>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</si>
  <si>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</si>
  <si>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</si>
  <si>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</si>
  <si>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</si>
  <si>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</si>
  <si>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</si>
  <si>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</si>
  <si>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</si>
  <si>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</si>
  <si>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</si>
  <si>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</si>
  <si>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</si>
  <si>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</si>
  <si>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</si>
  <si>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</si>
  <si>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</si>
  <si>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</si>
  <si>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</si>
  <si>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</si>
  <si>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</si>
  <si>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</si>
  <si>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</si>
  <si>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</si>
  <si>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</si>
  <si>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</si>
  <si>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</si>
  <si>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</si>
  <si>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</si>
  <si>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</si>
  <si>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</si>
  <si>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</si>
  <si>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</si>
  <si>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</si>
  <si>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</si>
  <si>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</si>
  <si>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</si>
  <si>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</si>
  <si>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</si>
  <si>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</si>
  <si>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</si>
  <si>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</si>
  <si>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</si>
  <si>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</si>
  <si>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</si>
  <si>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</si>
  <si>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</si>
  <si>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</si>
  <si>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</si>
  <si>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</si>
  <si>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</si>
  <si>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</si>
  <si>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</si>
  <si>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</si>
  <si>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</si>
  <si>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</si>
  <si>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</si>
  <si>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</si>
  <si>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</si>
  <si>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</si>
  <si>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</si>
  <si>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</si>
  <si>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</si>
  <si>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</si>
  <si>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</si>
  <si>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</si>
  <si>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</si>
  <si>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</si>
  <si>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</si>
  <si>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</si>
  <si>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</si>
  <si>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</si>
  <si>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</si>
  <si>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</si>
  <si>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</si>
  <si>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</si>
  <si>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</si>
  <si>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</si>
  <si>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</si>
  <si>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</si>
  <si>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</si>
  <si>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</si>
  <si>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</si>
  <si>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</si>
  <si>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</si>
  <si>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</si>
  <si>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</si>
  <si>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</si>
  <si>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</si>
  <si>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</si>
  <si>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</si>
  <si>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</si>
  <si>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</si>
  <si>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</si>
  <si>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</si>
  <si>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</si>
  <si>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</si>
  <si>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</si>
  <si>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</si>
  <si>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</si>
  <si>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</si>
  <si>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</si>
  <si>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</si>
  <si>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</si>
  <si>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</si>
  <si>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</si>
  <si>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</si>
  <si>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</si>
  <si>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</si>
  <si>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</si>
  <si>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</si>
  <si>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</si>
  <si>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</si>
  <si>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</si>
  <si>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</si>
  <si>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</si>
  <si>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</si>
  <si>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</si>
  <si>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</si>
  <si>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</si>
  <si>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</si>
  <si>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</si>
  <si>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</si>
  <si>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</si>
  <si>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</si>
  <si>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</si>
  <si>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</si>
  <si>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</si>
  <si>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</si>
  <si>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</si>
  <si>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</si>
  <si>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</si>
  <si>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</si>
  <si>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</si>
  <si>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</si>
  <si>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</si>
  <si>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</si>
  <si>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</si>
  <si>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</si>
  <si>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</si>
  <si>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</si>
  <si>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</si>
  <si>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</si>
  <si>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</si>
  <si>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</si>
  <si>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</si>
  <si>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</si>
  <si>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</si>
  <si>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</si>
  <si>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</si>
  <si>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</si>
  <si>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</si>
  <si>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</si>
  <si>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</si>
  <si>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</si>
  <si>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</si>
  <si>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</si>
  <si>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</si>
  <si>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</si>
  <si>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</si>
  <si>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</si>
  <si>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</si>
  <si>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</si>
  <si>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</si>
  <si>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</si>
  <si>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</si>
  <si>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</si>
  <si>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</si>
  <si>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</si>
  <si>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</si>
  <si>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</si>
  <si>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</si>
  <si>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</si>
  <si>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</si>
  <si>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</si>
  <si>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</si>
  <si>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</si>
  <si>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</si>
  <si>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</si>
  <si>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</si>
  <si>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</si>
  <si>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</si>
  <si>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</si>
  <si>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</si>
  <si>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</si>
  <si>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</si>
  <si>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</si>
  <si>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</si>
  <si>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</si>
  <si>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</si>
  <si>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</si>
  <si>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</si>
  <si>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</si>
  <si>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</si>
  <si>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</si>
  <si>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</si>
  <si>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</si>
  <si>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</si>
  <si>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</si>
  <si>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</si>
  <si>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</si>
  <si>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</si>
  <si>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</si>
  <si>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</si>
  <si>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</si>
  <si>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</si>
  <si>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</si>
  <si>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</si>
  <si>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</si>
  <si>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</si>
  <si>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</si>
  <si>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</si>
  <si>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</si>
  <si>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</si>
  <si>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</si>
  <si>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</si>
  <si>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</si>
  <si>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</si>
  <si>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</si>
  <si>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</si>
  <si>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</si>
  <si>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</si>
  <si>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</si>
  <si>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</si>
  <si>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</si>
  <si>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</si>
  <si>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</si>
  <si>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</si>
  <si>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</si>
  <si>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</si>
  <si>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</si>
  <si>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</si>
  <si>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</si>
  <si>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</si>
  <si>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</si>
  <si>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</si>
  <si>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</si>
  <si>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</si>
  <si>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</si>
  <si>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</si>
  <si>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</si>
  <si>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</si>
  <si>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</si>
  <si>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</si>
  <si>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</si>
  <si>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</si>
  <si>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</si>
  <si>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</si>
  <si>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</si>
  <si>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</si>
  <si>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</si>
  <si>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</si>
  <si>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</si>
  <si>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</si>
  <si>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</si>
  <si>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</si>
  <si>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</si>
  <si>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</si>
  <si>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</si>
  <si>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</si>
  <si>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</si>
  <si>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</si>
  <si>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</si>
  <si>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</si>
  <si>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</si>
  <si>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</si>
  <si>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</si>
  <si>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</si>
  <si>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</si>
  <si>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</si>
  <si>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</si>
  <si>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</si>
  <si>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</si>
  <si>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</si>
  <si>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</si>
  <si>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</si>
  <si>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</si>
  <si>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</si>
  <si>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</si>
  <si>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</si>
  <si>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</si>
  <si>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</si>
  <si>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</si>
  <si>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</si>
  <si>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</si>
  <si>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</si>
  <si>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</si>
  <si>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</si>
  <si>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</si>
  <si>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</si>
  <si>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</si>
  <si>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</si>
  <si>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</si>
  <si>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</si>
  <si>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</si>
  <si>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</si>
  <si>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</si>
  <si>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</si>
  <si>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</si>
  <si>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</si>
  <si>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</si>
  <si>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</si>
  <si>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</si>
  <si>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</si>
  <si>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</si>
  <si>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</si>
  <si>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</si>
  <si>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</si>
  <si>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</si>
  <si>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</si>
  <si>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</si>
  <si>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</si>
  <si>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</si>
  <si>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</si>
  <si>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</si>
  <si>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</si>
  <si>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</si>
  <si>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</si>
  <si>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</si>
  <si>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</si>
  <si>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</si>
  <si>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</si>
  <si>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</si>
  <si>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</si>
  <si>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</si>
  <si>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</si>
  <si>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</si>
  <si>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</si>
  <si>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</si>
  <si>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</si>
  <si>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</si>
  <si>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</si>
  <si>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</si>
  <si>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</si>
  <si>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</si>
  <si>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</si>
  <si>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</si>
  <si>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</si>
  <si>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</si>
  <si>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</si>
  <si>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</si>
  <si>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</si>
  <si>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</si>
  <si>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</si>
  <si>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</si>
  <si>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</si>
  <si>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</si>
  <si>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</si>
  <si>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</si>
  <si>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</si>
  <si>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</si>
  <si>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</si>
  <si>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</si>
  <si>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</si>
  <si>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</si>
  <si>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</si>
  <si>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</si>
  <si>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</si>
  <si>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</si>
  <si>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</si>
  <si>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</si>
  <si>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</si>
  <si>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</si>
  <si>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</si>
  <si>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</si>
  <si>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</si>
  <si>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</si>
  <si>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</si>
  <si>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</si>
  <si>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</si>
  <si>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</si>
  <si>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</si>
  <si>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</si>
  <si>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</si>
  <si>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</si>
  <si>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</si>
  <si>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</si>
  <si>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</si>
  <si>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</si>
  <si>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</si>
  <si>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</si>
  <si>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</si>
  <si>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</si>
  <si>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</si>
  <si>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</si>
  <si>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</si>
  <si>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</si>
  <si>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</si>
  <si>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</si>
  <si>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</si>
  <si>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</si>
  <si>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</si>
  <si>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</si>
  <si>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</si>
  <si>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</si>
  <si>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</si>
  <si>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</si>
  <si>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</si>
  <si>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</si>
  <si>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</si>
  <si>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</si>
  <si>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</si>
  <si>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</si>
  <si>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</si>
  <si>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</si>
  <si>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</si>
  <si>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</si>
  <si>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</si>
  <si>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</si>
  <si>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</si>
  <si>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</si>
  <si>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</si>
  <si>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</si>
  <si>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</si>
  <si>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</si>
  <si>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</si>
  <si>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</si>
  <si>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</si>
  <si>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</si>
  <si>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</si>
  <si>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</si>
  <si>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</si>
  <si>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</si>
  <si>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</si>
  <si>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</si>
  <si>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</si>
  <si>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</si>
  <si>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</si>
  <si>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</si>
  <si>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</si>
  <si>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</si>
  <si>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</si>
  <si>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</si>
  <si>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</si>
  <si>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</si>
  <si>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</si>
  <si>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</si>
  <si>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</si>
  <si>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</si>
  <si>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</si>
  <si>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</si>
  <si>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</si>
  <si>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</si>
  <si>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</si>
  <si>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</si>
  <si>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</si>
  <si>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</si>
  <si>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</si>
  <si>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</si>
  <si>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</si>
  <si>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</si>
  <si>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</si>
  <si>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</si>
  <si>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</si>
  <si>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</si>
  <si>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</si>
  <si>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</si>
  <si>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</si>
  <si>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</si>
  <si>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</si>
  <si>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</si>
  <si>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</si>
  <si>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</si>
  <si>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</si>
  <si>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</si>
  <si>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</si>
  <si>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</si>
  <si>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</si>
  <si>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</si>
  <si>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</si>
  <si>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</si>
  <si>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</si>
  <si>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</si>
  <si>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</si>
  <si>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</si>
  <si>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</si>
  <si>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</si>
  <si>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</si>
  <si>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</si>
  <si>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</si>
  <si>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</si>
  <si>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</si>
  <si>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</si>
  <si>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</si>
  <si>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</si>
  <si>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</si>
  <si>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</si>
  <si>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</si>
  <si>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</si>
  <si>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</si>
  <si>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</si>
  <si>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</si>
  <si>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</si>
  <si>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</si>
  <si>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</si>
  <si>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</si>
  <si>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</si>
  <si>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</si>
  <si>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</si>
  <si>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</si>
  <si>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</si>
  <si>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</si>
  <si>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</si>
  <si>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</si>
  <si>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</si>
  <si>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</si>
  <si>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</si>
  <si>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</si>
  <si>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</si>
  <si>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</si>
  <si>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</si>
  <si>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</si>
  <si>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</si>
  <si>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</si>
  <si>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</si>
  <si>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</si>
  <si>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</si>
  <si>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</si>
  <si>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</si>
  <si>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</si>
  <si>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</si>
  <si>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</si>
  <si>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</si>
  <si>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</si>
  <si>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</si>
  <si>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</si>
  <si>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</si>
  <si>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</si>
  <si>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</si>
  <si>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</si>
  <si>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</si>
  <si>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</si>
  <si>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</si>
  <si>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</si>
  <si>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</si>
  <si>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</si>
  <si>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</si>
  <si>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</si>
  <si>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</si>
  <si>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</si>
  <si>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</si>
  <si>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13004</t>
  </si>
  <si>
    <t>BEERSE</t>
  </si>
  <si>
    <t>Cultuurgrond (ha)</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</si>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</sst>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163602.71184660925</c:v>
                </c:pt>
                <c:pt idx="1">
                  <c:v>39976.445127212268</c:v>
                </c:pt>
                <c:pt idx="2">
                  <c:v>922.59100000000001</c:v>
                </c:pt>
                <c:pt idx="3">
                  <c:v>37517.283243505583</c:v>
                </c:pt>
                <c:pt idx="4">
                  <c:v>710889.26428886515</c:v>
                </c:pt>
                <c:pt idx="5">
                  <c:v>54999.363389857652</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163602.71184660925</c:v>
                </c:pt>
                <c:pt idx="1">
                  <c:v>39976.445127212268</c:v>
                </c:pt>
                <c:pt idx="2">
                  <c:v>922.59100000000001</c:v>
                </c:pt>
                <c:pt idx="3">
                  <c:v>37517.283243505583</c:v>
                </c:pt>
                <c:pt idx="4">
                  <c:v>710889.26428886515</c:v>
                </c:pt>
                <c:pt idx="5">
                  <c:v>54999.363389857652</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26558.904309065474</c:v>
                </c:pt>
                <c:pt idx="1">
                  <c:v>8285.7288550822977</c:v>
                </c:pt>
                <c:pt idx="2">
                  <c:v>199.27897832402044</c:v>
                </c:pt>
                <c:pt idx="3">
                  <c:v>8899.1767655632339</c:v>
                </c:pt>
                <c:pt idx="4">
                  <c:v>152963.87593620308</c:v>
                </c:pt>
                <c:pt idx="5">
                  <c:v>13896.479266571667</c:v>
                </c:pt>
                <c:pt idx="6">
                  <c:v>711.21974508269534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26558.904309065474</c:v>
                </c:pt>
                <c:pt idx="1">
                  <c:v>8285.7288550822977</c:v>
                </c:pt>
                <c:pt idx="2">
                  <c:v>199.27897832402044</c:v>
                </c:pt>
                <c:pt idx="3">
                  <c:v>8899.1767655632339</c:v>
                </c:pt>
                <c:pt idx="4">
                  <c:v>152963.87593620308</c:v>
                </c:pt>
                <c:pt idx="5">
                  <c:v>13896.479266571667</c:v>
                </c:pt>
                <c:pt idx="6">
                  <c:v>711.21974508269534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13004</v>
      </c>
      <c r="B6" s="398"/>
      <c r="C6" s="399"/>
    </row>
    <row r="7" spans="1:7" s="396" customFormat="1" ht="15.75" customHeight="1">
      <c r="A7" s="400" t="str">
        <f>txtMunicipality</f>
        <v>BEERSE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16314.230768244484</v>
      </c>
      <c r="D10" s="704">
        <f ca="1">tertiair!C16</f>
        <v>300.00000000000006</v>
      </c>
      <c r="E10" s="704">
        <f ca="1">tertiair!D16</f>
        <v>19876.998630753897</v>
      </c>
      <c r="F10" s="704">
        <f>tertiair!E16</f>
        <v>236.21608046230003</v>
      </c>
      <c r="G10" s="704">
        <f ca="1">tertiair!F16</f>
        <v>3076.8203809573065</v>
      </c>
      <c r="H10" s="704">
        <f>tertiair!G16</f>
        <v>0</v>
      </c>
      <c r="I10" s="704">
        <f>tertiair!H16</f>
        <v>0</v>
      </c>
      <c r="J10" s="704">
        <f>tertiair!I16</f>
        <v>0</v>
      </c>
      <c r="K10" s="704">
        <f>tertiair!J16</f>
        <v>0</v>
      </c>
      <c r="L10" s="704">
        <f>tertiair!K16</f>
        <v>0</v>
      </c>
      <c r="M10" s="704">
        <f ca="1">tertiair!L16</f>
        <v>0</v>
      </c>
      <c r="N10" s="704">
        <f>tertiair!M16</f>
        <v>0</v>
      </c>
      <c r="O10" s="704">
        <f ca="1">tertiair!N16</f>
        <v>1056.6369334609451</v>
      </c>
      <c r="P10" s="704">
        <f>tertiair!O16</f>
        <v>0</v>
      </c>
      <c r="Q10" s="705">
        <f>tertiair!P16</f>
        <v>38.133333333333333</v>
      </c>
      <c r="R10" s="707">
        <f ca="1">SUM(C10:Q10)</f>
        <v>40899.036127212268</v>
      </c>
      <c r="S10" s="67"/>
    </row>
    <row r="11" spans="1:19" s="459" customFormat="1">
      <c r="A11" s="858" t="s">
        <v>225</v>
      </c>
      <c r="B11" s="863"/>
      <c r="C11" s="704">
        <f>huishoudens!B8</f>
        <v>32301.32466659994</v>
      </c>
      <c r="D11" s="704">
        <f>huishoudens!C8</f>
        <v>0</v>
      </c>
      <c r="E11" s="704">
        <f>huishoudens!D8</f>
        <v>94292.023056344333</v>
      </c>
      <c r="F11" s="704">
        <f>huishoudens!E8</f>
        <v>2356.1817188230339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33565.985738175281</v>
      </c>
      <c r="P11" s="704">
        <f>huishoudens!O8</f>
        <v>267.33000000000004</v>
      </c>
      <c r="Q11" s="705">
        <f>huishoudens!P8</f>
        <v>819.86666666666667</v>
      </c>
      <c r="R11" s="707">
        <f>SUM(C11:Q11)</f>
        <v>163602.71184660925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242761.5287474879</v>
      </c>
      <c r="D13" s="704">
        <f>industrie!C18</f>
        <v>0</v>
      </c>
      <c r="E13" s="704">
        <f>industrie!D18</f>
        <v>368805.61999665177</v>
      </c>
      <c r="F13" s="704">
        <f>industrie!E18</f>
        <v>3495.0871256598034</v>
      </c>
      <c r="G13" s="704">
        <f>industrie!F18</f>
        <v>54766.201564375748</v>
      </c>
      <c r="H13" s="704">
        <f>industrie!G18</f>
        <v>0</v>
      </c>
      <c r="I13" s="704">
        <f>industrie!H18</f>
        <v>0</v>
      </c>
      <c r="J13" s="704">
        <f>industrie!I18</f>
        <v>0</v>
      </c>
      <c r="K13" s="704">
        <f>industrie!J18</f>
        <v>29979.85369832252</v>
      </c>
      <c r="L13" s="704">
        <f>industrie!K18</f>
        <v>0</v>
      </c>
      <c r="M13" s="704">
        <f>industrie!L18</f>
        <v>0</v>
      </c>
      <c r="N13" s="704">
        <f>industrie!M18</f>
        <v>0</v>
      </c>
      <c r="O13" s="704">
        <f>industrie!N18</f>
        <v>11080.973156367294</v>
      </c>
      <c r="P13" s="704">
        <f>industrie!O18</f>
        <v>0</v>
      </c>
      <c r="Q13" s="705">
        <f>industrie!P18</f>
        <v>0</v>
      </c>
      <c r="R13" s="707">
        <f>SUM(C13:Q13)</f>
        <v>710889.26428886515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291377.08418233233</v>
      </c>
      <c r="D15" s="709">
        <f t="shared" ref="D15:Q15" ca="1" si="0">SUM(D9:D14)</f>
        <v>300.00000000000006</v>
      </c>
      <c r="E15" s="709">
        <f t="shared" ca="1" si="0"/>
        <v>482974.64168374997</v>
      </c>
      <c r="F15" s="709">
        <f t="shared" si="0"/>
        <v>6087.4849249451372</v>
      </c>
      <c r="G15" s="709">
        <f t="shared" ca="1" si="0"/>
        <v>57843.021945333057</v>
      </c>
      <c r="H15" s="709">
        <f t="shared" si="0"/>
        <v>0</v>
      </c>
      <c r="I15" s="709">
        <f t="shared" si="0"/>
        <v>0</v>
      </c>
      <c r="J15" s="709">
        <f t="shared" si="0"/>
        <v>0</v>
      </c>
      <c r="K15" s="709">
        <f t="shared" si="0"/>
        <v>29979.85369832252</v>
      </c>
      <c r="L15" s="709">
        <f t="shared" si="0"/>
        <v>0</v>
      </c>
      <c r="M15" s="709">
        <f t="shared" ca="1" si="0"/>
        <v>0</v>
      </c>
      <c r="N15" s="709">
        <f t="shared" si="0"/>
        <v>0</v>
      </c>
      <c r="O15" s="709">
        <f t="shared" ca="1" si="0"/>
        <v>45703.595828003527</v>
      </c>
      <c r="P15" s="709">
        <f t="shared" si="0"/>
        <v>267.33000000000004</v>
      </c>
      <c r="Q15" s="710">
        <f t="shared" si="0"/>
        <v>858</v>
      </c>
      <c r="R15" s="711">
        <f ca="1">SUM(R9:R14)</f>
        <v>915391.01226268662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2663.7443636056005</v>
      </c>
      <c r="I18" s="704">
        <f>transport!H54</f>
        <v>0</v>
      </c>
      <c r="J18" s="704">
        <f>transport!I54</f>
        <v>0</v>
      </c>
      <c r="K18" s="704">
        <f>transport!J54</f>
        <v>0</v>
      </c>
      <c r="L18" s="704">
        <f>transport!K54</f>
        <v>0</v>
      </c>
      <c r="M18" s="704">
        <f>transport!L54</f>
        <v>0</v>
      </c>
      <c r="N18" s="704">
        <f>transport!M54</f>
        <v>118.46322714550784</v>
      </c>
      <c r="O18" s="704">
        <f>transport!N54</f>
        <v>0</v>
      </c>
      <c r="P18" s="704">
        <f>transport!O54</f>
        <v>0</v>
      </c>
      <c r="Q18" s="705">
        <f>transport!P54</f>
        <v>0</v>
      </c>
      <c r="R18" s="707">
        <f>SUM(C18:Q18)</f>
        <v>2782.2075907511085</v>
      </c>
      <c r="S18" s="67"/>
    </row>
    <row r="19" spans="1:19" s="459" customFormat="1" ht="15" thickBot="1">
      <c r="A19" s="858" t="s">
        <v>307</v>
      </c>
      <c r="B19" s="863"/>
      <c r="C19" s="713">
        <f>transport!B14</f>
        <v>3.6204700276797541</v>
      </c>
      <c r="D19" s="713">
        <f>transport!C14</f>
        <v>0</v>
      </c>
      <c r="E19" s="713">
        <f>transport!D14</f>
        <v>5.6852626527800254</v>
      </c>
      <c r="F19" s="713">
        <f>transport!E14</f>
        <v>175.40233625040736</v>
      </c>
      <c r="G19" s="713">
        <f>transport!F14</f>
        <v>0</v>
      </c>
      <c r="H19" s="713">
        <f>transport!G14</f>
        <v>43907.41819552752</v>
      </c>
      <c r="I19" s="713">
        <f>transport!H14</f>
        <v>8560.047534596375</v>
      </c>
      <c r="J19" s="713">
        <f>transport!I14</f>
        <v>0</v>
      </c>
      <c r="K19" s="713">
        <f>transport!J14</f>
        <v>0</v>
      </c>
      <c r="L19" s="713">
        <f>transport!K14</f>
        <v>0</v>
      </c>
      <c r="M19" s="713">
        <f>transport!L14</f>
        <v>0</v>
      </c>
      <c r="N19" s="713">
        <f>transport!M14</f>
        <v>2347.1895908028955</v>
      </c>
      <c r="O19" s="713">
        <f>transport!N14</f>
        <v>0</v>
      </c>
      <c r="P19" s="713">
        <f>transport!O14</f>
        <v>0</v>
      </c>
      <c r="Q19" s="714">
        <f>transport!P14</f>
        <v>0</v>
      </c>
      <c r="R19" s="715">
        <f>SUM(C19:Q19)</f>
        <v>54999.363389857652</v>
      </c>
      <c r="S19" s="67"/>
    </row>
    <row r="20" spans="1:19" s="459" customFormat="1" ht="15.75" thickBot="1">
      <c r="A20" s="716" t="s">
        <v>230</v>
      </c>
      <c r="B20" s="866"/>
      <c r="C20" s="861">
        <f>SUM(C17:C19)</f>
        <v>3.6204700276797541</v>
      </c>
      <c r="D20" s="717">
        <f t="shared" ref="D20:R20" si="1">SUM(D17:D19)</f>
        <v>0</v>
      </c>
      <c r="E20" s="717">
        <f t="shared" si="1"/>
        <v>5.6852626527800254</v>
      </c>
      <c r="F20" s="717">
        <f t="shared" si="1"/>
        <v>175.40233625040736</v>
      </c>
      <c r="G20" s="717">
        <f t="shared" si="1"/>
        <v>0</v>
      </c>
      <c r="H20" s="717">
        <f t="shared" si="1"/>
        <v>46571.162559133118</v>
      </c>
      <c r="I20" s="717">
        <f t="shared" si="1"/>
        <v>8560.047534596375</v>
      </c>
      <c r="J20" s="717">
        <f t="shared" si="1"/>
        <v>0</v>
      </c>
      <c r="K20" s="717">
        <f t="shared" si="1"/>
        <v>0</v>
      </c>
      <c r="L20" s="717">
        <f t="shared" si="1"/>
        <v>0</v>
      </c>
      <c r="M20" s="717">
        <f t="shared" si="1"/>
        <v>0</v>
      </c>
      <c r="N20" s="717">
        <f t="shared" si="1"/>
        <v>2465.6528179484035</v>
      </c>
      <c r="O20" s="717">
        <f t="shared" si="1"/>
        <v>0</v>
      </c>
      <c r="P20" s="717">
        <f t="shared" si="1"/>
        <v>0</v>
      </c>
      <c r="Q20" s="718">
        <f t="shared" si="1"/>
        <v>0</v>
      </c>
      <c r="R20" s="719">
        <f t="shared" si="1"/>
        <v>57781.570980608762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1405.4562299600921</v>
      </c>
      <c r="D22" s="713">
        <f>+landbouw!C8</f>
        <v>27872.196428571428</v>
      </c>
      <c r="E22" s="713">
        <f>+landbouw!D8</f>
        <v>3161.3793043713376</v>
      </c>
      <c r="F22" s="713">
        <f>+landbouw!E8</f>
        <v>17.710559093252719</v>
      </c>
      <c r="G22" s="713">
        <f>+landbouw!F8</f>
        <v>4849.1760811860322</v>
      </c>
      <c r="H22" s="713">
        <f>+landbouw!G8</f>
        <v>0</v>
      </c>
      <c r="I22" s="713">
        <f>+landbouw!H8</f>
        <v>0</v>
      </c>
      <c r="J22" s="713">
        <f>+landbouw!I8</f>
        <v>0</v>
      </c>
      <c r="K22" s="713">
        <f>+landbouw!J8</f>
        <v>211.36464032344455</v>
      </c>
      <c r="L22" s="713">
        <f>+landbouw!K8</f>
        <v>0</v>
      </c>
      <c r="M22" s="713">
        <f>+landbouw!L8</f>
        <v>0</v>
      </c>
      <c r="N22" s="713">
        <f>+landbouw!M8</f>
        <v>0</v>
      </c>
      <c r="O22" s="713">
        <f>+landbouw!N8</f>
        <v>0</v>
      </c>
      <c r="P22" s="713">
        <f>+landbouw!O8</f>
        <v>0</v>
      </c>
      <c r="Q22" s="714">
        <f>+landbouw!P8</f>
        <v>0</v>
      </c>
      <c r="R22" s="715">
        <f>SUM(C22:Q22)</f>
        <v>37517.283243505583</v>
      </c>
      <c r="S22" s="67"/>
    </row>
    <row r="23" spans="1:19" s="459" customFormat="1" ht="17.25" thickTop="1" thickBot="1">
      <c r="A23" s="720" t="s">
        <v>116</v>
      </c>
      <c r="B23" s="852"/>
      <c r="C23" s="721">
        <f ca="1">C20+C15+C22</f>
        <v>292786.16088232008</v>
      </c>
      <c r="D23" s="721">
        <f t="shared" ref="D23:Q23" ca="1" si="2">D20+D15+D22</f>
        <v>28172.196428571428</v>
      </c>
      <c r="E23" s="721">
        <f t="shared" ca="1" si="2"/>
        <v>486141.70625077409</v>
      </c>
      <c r="F23" s="721">
        <f t="shared" si="2"/>
        <v>6280.5978202887973</v>
      </c>
      <c r="G23" s="721">
        <f t="shared" ca="1" si="2"/>
        <v>62692.198026519087</v>
      </c>
      <c r="H23" s="721">
        <f t="shared" si="2"/>
        <v>46571.162559133118</v>
      </c>
      <c r="I23" s="721">
        <f t="shared" si="2"/>
        <v>8560.047534596375</v>
      </c>
      <c r="J23" s="721">
        <f t="shared" si="2"/>
        <v>0</v>
      </c>
      <c r="K23" s="721">
        <f t="shared" si="2"/>
        <v>30191.218338645966</v>
      </c>
      <c r="L23" s="721">
        <f t="shared" si="2"/>
        <v>0</v>
      </c>
      <c r="M23" s="721">
        <f t="shared" ca="1" si="2"/>
        <v>0</v>
      </c>
      <c r="N23" s="721">
        <f t="shared" si="2"/>
        <v>2465.6528179484035</v>
      </c>
      <c r="O23" s="721">
        <f t="shared" ca="1" si="2"/>
        <v>45703.595828003527</v>
      </c>
      <c r="P23" s="721">
        <f t="shared" si="2"/>
        <v>267.33000000000004</v>
      </c>
      <c r="Q23" s="722">
        <f t="shared" si="2"/>
        <v>858</v>
      </c>
      <c r="R23" s="723">
        <f ca="1">R20+R15+R22</f>
        <v>1010689.8664868011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3523.8618625567124</v>
      </c>
      <c r="D36" s="704">
        <f ca="1">tertiair!C20</f>
        <v>70.860155456775814</v>
      </c>
      <c r="E36" s="704">
        <f ca="1">tertiair!D20</f>
        <v>4015.1537234122875</v>
      </c>
      <c r="F36" s="704">
        <f>tertiair!E20</f>
        <v>53.621050264942106</v>
      </c>
      <c r="G36" s="704">
        <f ca="1">tertiair!F20</f>
        <v>821.51104171560087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8485.0078334063182</v>
      </c>
    </row>
    <row r="37" spans="1:18">
      <c r="A37" s="873" t="s">
        <v>225</v>
      </c>
      <c r="B37" s="880"/>
      <c r="C37" s="704">
        <f ca="1">huishoudens!B12</f>
        <v>6977.062401511088</v>
      </c>
      <c r="D37" s="704">
        <f ca="1">huishoudens!C12</f>
        <v>0</v>
      </c>
      <c r="E37" s="704">
        <f>huishoudens!D12</f>
        <v>19046.988657381557</v>
      </c>
      <c r="F37" s="704">
        <f>huishoudens!E12</f>
        <v>534.85325017282867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26558.904309065474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52436.311892460151</v>
      </c>
      <c r="D39" s="704">
        <f ca="1">industrie!C22</f>
        <v>0</v>
      </c>
      <c r="E39" s="704">
        <f>industrie!D22</f>
        <v>74498.735239323665</v>
      </c>
      <c r="F39" s="704">
        <f>industrie!E22</f>
        <v>793.38477752477536</v>
      </c>
      <c r="G39" s="704">
        <f>industrie!F22</f>
        <v>14622.575817688325</v>
      </c>
      <c r="H39" s="704">
        <f>industrie!G22</f>
        <v>0</v>
      </c>
      <c r="I39" s="704">
        <f>industrie!H22</f>
        <v>0</v>
      </c>
      <c r="J39" s="704">
        <f>industrie!I22</f>
        <v>0</v>
      </c>
      <c r="K39" s="704">
        <f>industrie!J22</f>
        <v>10612.868209206172</v>
      </c>
      <c r="L39" s="704">
        <f>industrie!K22</f>
        <v>0</v>
      </c>
      <c r="M39" s="704">
        <f>industrie!L22</f>
        <v>0</v>
      </c>
      <c r="N39" s="704">
        <f>industrie!M22</f>
        <v>0</v>
      </c>
      <c r="O39" s="704">
        <f>industrie!N22</f>
        <v>0</v>
      </c>
      <c r="P39" s="704">
        <f>industrie!O22</f>
        <v>0</v>
      </c>
      <c r="Q39" s="814">
        <f>industrie!P22</f>
        <v>0</v>
      </c>
      <c r="R39" s="906">
        <f ca="1">SUM(C39:Q39)</f>
        <v>152963.87593620308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62937.23615652795</v>
      </c>
      <c r="D41" s="749">
        <f t="shared" ref="D41:R41" ca="1" si="4">SUM(D35:D40)</f>
        <v>70.860155456775814</v>
      </c>
      <c r="E41" s="749">
        <f t="shared" ca="1" si="4"/>
        <v>97560.877620117506</v>
      </c>
      <c r="F41" s="749">
        <f t="shared" si="4"/>
        <v>1381.8590779625461</v>
      </c>
      <c r="G41" s="749">
        <f t="shared" ca="1" si="4"/>
        <v>15444.086859403926</v>
      </c>
      <c r="H41" s="749">
        <f t="shared" si="4"/>
        <v>0</v>
      </c>
      <c r="I41" s="749">
        <f t="shared" si="4"/>
        <v>0</v>
      </c>
      <c r="J41" s="749">
        <f t="shared" si="4"/>
        <v>0</v>
      </c>
      <c r="K41" s="749">
        <f t="shared" si="4"/>
        <v>10612.868209206172</v>
      </c>
      <c r="L41" s="749">
        <f t="shared" si="4"/>
        <v>0</v>
      </c>
      <c r="M41" s="749">
        <f t="shared" ca="1" si="4"/>
        <v>0</v>
      </c>
      <c r="N41" s="749">
        <f t="shared" si="4"/>
        <v>0</v>
      </c>
      <c r="O41" s="749">
        <f t="shared" ca="1" si="4"/>
        <v>0</v>
      </c>
      <c r="P41" s="749">
        <f t="shared" si="4"/>
        <v>0</v>
      </c>
      <c r="Q41" s="750">
        <f t="shared" si="4"/>
        <v>0</v>
      </c>
      <c r="R41" s="751">
        <f t="shared" ca="1" si="4"/>
        <v>188007.78807867487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711.21974508269534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711.21974508269534</v>
      </c>
    </row>
    <row r="45" spans="1:18" ht="15" thickBot="1">
      <c r="A45" s="876" t="s">
        <v>307</v>
      </c>
      <c r="B45" s="886"/>
      <c r="C45" s="713">
        <f ca="1">transport!B18</f>
        <v>0.78201886661452302</v>
      </c>
      <c r="D45" s="713">
        <f>transport!C18</f>
        <v>0</v>
      </c>
      <c r="E45" s="713">
        <f>transport!D18</f>
        <v>1.1484230558615651</v>
      </c>
      <c r="F45" s="713">
        <f>transport!E18</f>
        <v>39.816330328842469</v>
      </c>
      <c r="G45" s="713">
        <f>transport!F18</f>
        <v>0</v>
      </c>
      <c r="H45" s="713">
        <f>transport!G18</f>
        <v>11723.280658205849</v>
      </c>
      <c r="I45" s="713">
        <f>transport!H18</f>
        <v>2131.4518361144974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13896.479266571667</v>
      </c>
    </row>
    <row r="46" spans="1:18" ht="15.75" thickBot="1">
      <c r="A46" s="874" t="s">
        <v>230</v>
      </c>
      <c r="B46" s="887"/>
      <c r="C46" s="749">
        <f t="shared" ref="C46:R46" ca="1" si="5">SUM(C43:C45)</f>
        <v>0.78201886661452302</v>
      </c>
      <c r="D46" s="749">
        <f t="shared" ca="1" si="5"/>
        <v>0</v>
      </c>
      <c r="E46" s="749">
        <f t="shared" si="5"/>
        <v>1.1484230558615651</v>
      </c>
      <c r="F46" s="749">
        <f t="shared" si="5"/>
        <v>39.816330328842469</v>
      </c>
      <c r="G46" s="749">
        <f t="shared" si="5"/>
        <v>0</v>
      </c>
      <c r="H46" s="749">
        <f t="shared" si="5"/>
        <v>12434.500403288544</v>
      </c>
      <c r="I46" s="749">
        <f t="shared" si="5"/>
        <v>2131.4518361144974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14607.699011654362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303.57751331367496</v>
      </c>
      <c r="D48" s="704">
        <f ca="1">+landbouw!C12</f>
        <v>6583.4272395012085</v>
      </c>
      <c r="E48" s="704">
        <f>+landbouw!D12</f>
        <v>638.59861948301022</v>
      </c>
      <c r="F48" s="704">
        <f>+landbouw!E12</f>
        <v>4.0202969141683678</v>
      </c>
      <c r="G48" s="704">
        <f>+landbouw!F12</f>
        <v>1294.7300136766708</v>
      </c>
      <c r="H48" s="704">
        <f>+landbouw!G12</f>
        <v>0</v>
      </c>
      <c r="I48" s="704">
        <f>+landbouw!H12</f>
        <v>0</v>
      </c>
      <c r="J48" s="704">
        <f>+landbouw!I12</f>
        <v>0</v>
      </c>
      <c r="K48" s="704">
        <f>+landbouw!J12</f>
        <v>74.823082674499361</v>
      </c>
      <c r="L48" s="704">
        <f>+landbouw!K12</f>
        <v>0</v>
      </c>
      <c r="M48" s="704">
        <f>+landbouw!L12</f>
        <v>0</v>
      </c>
      <c r="N48" s="704">
        <f>+landbouw!M12</f>
        <v>0</v>
      </c>
      <c r="O48" s="704">
        <f>+landbouw!N12</f>
        <v>0</v>
      </c>
      <c r="P48" s="704">
        <f>+landbouw!O12</f>
        <v>0</v>
      </c>
      <c r="Q48" s="705">
        <f>+landbouw!P12</f>
        <v>0</v>
      </c>
      <c r="R48" s="747">
        <f ca="1">SUM(C48:Q48)</f>
        <v>8899.1767655632339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63241.595688708243</v>
      </c>
      <c r="D53" s="759">
        <f t="shared" ref="D53:Q53" ca="1" si="6">D41+D46+D48</f>
        <v>6654.2873949579844</v>
      </c>
      <c r="E53" s="759">
        <f t="shared" ca="1" si="6"/>
        <v>98200.624662656366</v>
      </c>
      <c r="F53" s="759">
        <f t="shared" si="6"/>
        <v>1425.6957052055568</v>
      </c>
      <c r="G53" s="759">
        <f t="shared" ca="1" si="6"/>
        <v>16738.816873080596</v>
      </c>
      <c r="H53" s="759">
        <f t="shared" si="6"/>
        <v>12434.500403288544</v>
      </c>
      <c r="I53" s="759">
        <f t="shared" si="6"/>
        <v>2131.4518361144974</v>
      </c>
      <c r="J53" s="759">
        <f t="shared" si="6"/>
        <v>0</v>
      </c>
      <c r="K53" s="759">
        <f t="shared" si="6"/>
        <v>10687.691291880672</v>
      </c>
      <c r="L53" s="759">
        <f t="shared" si="6"/>
        <v>0</v>
      </c>
      <c r="M53" s="759">
        <f t="shared" ca="1" si="6"/>
        <v>0</v>
      </c>
      <c r="N53" s="759">
        <f t="shared" si="6"/>
        <v>0</v>
      </c>
      <c r="O53" s="759">
        <f t="shared" ca="1" si="6"/>
        <v>0</v>
      </c>
      <c r="P53" s="759">
        <f>P41+P46+P48</f>
        <v>0</v>
      </c>
      <c r="Q53" s="760">
        <f t="shared" si="6"/>
        <v>0</v>
      </c>
      <c r="R53" s="761">
        <f ca="1">R41+R46+R48</f>
        <v>211514.66385589246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0.21599926546435033</v>
      </c>
      <c r="D55" s="824">
        <f t="shared" ca="1" si="7"/>
        <v>0.23620051818925267</v>
      </c>
      <c r="E55" s="824">
        <f t="shared" ca="1" si="7"/>
        <v>0.20200000000000001</v>
      </c>
      <c r="F55" s="824">
        <f t="shared" si="7"/>
        <v>0.22699999999999998</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7981.4853178963294</v>
      </c>
      <c r="C66" s="781">
        <f>'lokale energieproductie'!B6</f>
        <v>7981.4853178963294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19720.537500000002</v>
      </c>
      <c r="C67" s="780">
        <f>B67*IFERROR(SUM(J67:L67)/SUM(D67:M67),0)</f>
        <v>120.03750000000001</v>
      </c>
      <c r="D67" s="812">
        <f>'lokale energieproductie'!C7</f>
        <v>23059.411764705888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141.22058823529414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4658.0011764705896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27702.02281789633</v>
      </c>
      <c r="C69" s="789">
        <f>SUM(C64:C68)</f>
        <v>8101.5228178963298</v>
      </c>
      <c r="D69" s="790">
        <f t="shared" ref="D69:M69" si="8">SUM(D67:D68)</f>
        <v>23059.411764705888</v>
      </c>
      <c r="E69" s="790">
        <f t="shared" si="8"/>
        <v>0</v>
      </c>
      <c r="F69" s="790">
        <f t="shared" si="8"/>
        <v>0</v>
      </c>
      <c r="G69" s="790">
        <f t="shared" si="8"/>
        <v>0</v>
      </c>
      <c r="H69" s="790">
        <f t="shared" si="8"/>
        <v>0</v>
      </c>
      <c r="I69" s="790">
        <f t="shared" si="8"/>
        <v>0</v>
      </c>
      <c r="J69" s="790">
        <f t="shared" si="8"/>
        <v>0</v>
      </c>
      <c r="K69" s="790">
        <f t="shared" si="8"/>
        <v>141.22058823529414</v>
      </c>
      <c r="L69" s="790">
        <f t="shared" si="8"/>
        <v>0</v>
      </c>
      <c r="M69" s="918">
        <f t="shared" si="8"/>
        <v>0</v>
      </c>
      <c r="N69" s="791">
        <v>0</v>
      </c>
      <c r="O69" s="791">
        <f>SUM(O67:O68)</f>
        <v>4658.0011764705896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28172.196428571428</v>
      </c>
      <c r="C78" s="803">
        <f>B78*IFERROR(SUM(I78:L78)/SUM(D78:M78),0)</f>
        <v>171.48214285714286</v>
      </c>
      <c r="D78" s="818">
        <f>'lokale energieproductie'!C16</f>
        <v>32942.016806722691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201.74369747899161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6654.2873949579844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28172.196428571428</v>
      </c>
      <c r="C81" s="789">
        <f>SUM(C78:C80)</f>
        <v>171.48214285714286</v>
      </c>
      <c r="D81" s="789">
        <f t="shared" ref="D81:P81" si="9">SUM(D78:D80)</f>
        <v>32942.016806722691</v>
      </c>
      <c r="E81" s="789">
        <f t="shared" si="9"/>
        <v>0</v>
      </c>
      <c r="F81" s="789">
        <f t="shared" si="9"/>
        <v>0</v>
      </c>
      <c r="G81" s="789">
        <f t="shared" si="9"/>
        <v>0</v>
      </c>
      <c r="H81" s="789">
        <f t="shared" si="9"/>
        <v>0</v>
      </c>
      <c r="I81" s="789">
        <f t="shared" si="9"/>
        <v>0</v>
      </c>
      <c r="J81" s="789">
        <f t="shared" si="9"/>
        <v>0</v>
      </c>
      <c r="K81" s="789">
        <f t="shared" si="9"/>
        <v>201.74369747899161</v>
      </c>
      <c r="L81" s="789">
        <f t="shared" si="9"/>
        <v>0</v>
      </c>
      <c r="M81" s="789">
        <f t="shared" si="9"/>
        <v>0</v>
      </c>
      <c r="N81" s="789">
        <v>0</v>
      </c>
      <c r="O81" s="789">
        <f>SUM(O78:O80)</f>
        <v>6654.2873949579844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32301.32466659994</v>
      </c>
      <c r="C4" s="463">
        <f>huishoudens!C8</f>
        <v>0</v>
      </c>
      <c r="D4" s="463">
        <f>huishoudens!D8</f>
        <v>94292.023056344333</v>
      </c>
      <c r="E4" s="463">
        <f>huishoudens!E8</f>
        <v>2356.1817188230339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33565.985738175281</v>
      </c>
      <c r="O4" s="463">
        <f>huishoudens!O8</f>
        <v>267.33000000000004</v>
      </c>
      <c r="P4" s="464">
        <f>huishoudens!P8</f>
        <v>819.86666666666667</v>
      </c>
      <c r="Q4" s="465">
        <f>SUM(B4:P4)</f>
        <v>163602.71184660925</v>
      </c>
    </row>
    <row r="5" spans="1:17">
      <c r="A5" s="462" t="s">
        <v>156</v>
      </c>
      <c r="B5" s="463">
        <f ca="1">tertiair!B16</f>
        <v>15391.639768244484</v>
      </c>
      <c r="C5" s="463">
        <f ca="1">tertiair!C16</f>
        <v>300.00000000000006</v>
      </c>
      <c r="D5" s="463">
        <f ca="1">tertiair!D16</f>
        <v>19876.998630753897</v>
      </c>
      <c r="E5" s="463">
        <f>tertiair!E16</f>
        <v>236.21608046230003</v>
      </c>
      <c r="F5" s="463">
        <f ca="1">tertiair!F16</f>
        <v>3076.8203809573065</v>
      </c>
      <c r="G5" s="463">
        <f>tertiair!G16</f>
        <v>0</v>
      </c>
      <c r="H5" s="463">
        <f>tertiair!H16</f>
        <v>0</v>
      </c>
      <c r="I5" s="463">
        <f>tertiair!I16</f>
        <v>0</v>
      </c>
      <c r="J5" s="463">
        <f>tertiair!J16</f>
        <v>0</v>
      </c>
      <c r="K5" s="463">
        <f>tertiair!K16</f>
        <v>0</v>
      </c>
      <c r="L5" s="463">
        <f ca="1">tertiair!L16</f>
        <v>0</v>
      </c>
      <c r="M5" s="463">
        <f>tertiair!M16</f>
        <v>0</v>
      </c>
      <c r="N5" s="463">
        <f ca="1">tertiair!N16</f>
        <v>1056.6369334609451</v>
      </c>
      <c r="O5" s="463">
        <f>tertiair!O16</f>
        <v>0</v>
      </c>
      <c r="P5" s="464">
        <f>tertiair!P16</f>
        <v>38.133333333333333</v>
      </c>
      <c r="Q5" s="462">
        <f t="shared" ref="Q5:Q13" ca="1" si="0">SUM(B5:P5)</f>
        <v>39976.445127212268</v>
      </c>
    </row>
    <row r="6" spans="1:17">
      <c r="A6" s="462" t="s">
        <v>194</v>
      </c>
      <c r="B6" s="463">
        <f>'openbare verlichting'!B8</f>
        <v>922.59100000000001</v>
      </c>
      <c r="C6" s="463"/>
      <c r="D6" s="463"/>
      <c r="E6" s="463"/>
      <c r="F6" s="463"/>
      <c r="G6" s="463"/>
      <c r="H6" s="463"/>
      <c r="I6" s="463"/>
      <c r="J6" s="463"/>
      <c r="K6" s="463"/>
      <c r="L6" s="463"/>
      <c r="M6" s="463"/>
      <c r="N6" s="463"/>
      <c r="O6" s="463"/>
      <c r="P6" s="464"/>
      <c r="Q6" s="462">
        <f t="shared" si="0"/>
        <v>922.59100000000001</v>
      </c>
    </row>
    <row r="7" spans="1:17">
      <c r="A7" s="462" t="s">
        <v>112</v>
      </c>
      <c r="B7" s="463">
        <f>landbouw!B8</f>
        <v>1405.4562299600921</v>
      </c>
      <c r="C7" s="463">
        <f>landbouw!C8</f>
        <v>27872.196428571428</v>
      </c>
      <c r="D7" s="463">
        <f>landbouw!D8</f>
        <v>3161.3793043713376</v>
      </c>
      <c r="E7" s="463">
        <f>landbouw!E8</f>
        <v>17.710559093252719</v>
      </c>
      <c r="F7" s="463">
        <f>landbouw!F8</f>
        <v>4849.1760811860322</v>
      </c>
      <c r="G7" s="463">
        <f>landbouw!G8</f>
        <v>0</v>
      </c>
      <c r="H7" s="463">
        <f>landbouw!H8</f>
        <v>0</v>
      </c>
      <c r="I7" s="463">
        <f>landbouw!I8</f>
        <v>0</v>
      </c>
      <c r="J7" s="463">
        <f>landbouw!J8</f>
        <v>211.36464032344455</v>
      </c>
      <c r="K7" s="463">
        <f>landbouw!K8</f>
        <v>0</v>
      </c>
      <c r="L7" s="463">
        <f>landbouw!L8</f>
        <v>0</v>
      </c>
      <c r="M7" s="463">
        <f>landbouw!M8</f>
        <v>0</v>
      </c>
      <c r="N7" s="463">
        <f>landbouw!N8</f>
        <v>0</v>
      </c>
      <c r="O7" s="463">
        <f>landbouw!O8</f>
        <v>0</v>
      </c>
      <c r="P7" s="464">
        <f>landbouw!P8</f>
        <v>0</v>
      </c>
      <c r="Q7" s="462">
        <f t="shared" si="0"/>
        <v>37517.283243505583</v>
      </c>
    </row>
    <row r="8" spans="1:17">
      <c r="A8" s="462" t="s">
        <v>657</v>
      </c>
      <c r="B8" s="463">
        <f>industrie!B18</f>
        <v>242761.5287474879</v>
      </c>
      <c r="C8" s="463">
        <f>industrie!C18</f>
        <v>0</v>
      </c>
      <c r="D8" s="463">
        <f>industrie!D18</f>
        <v>368805.61999665177</v>
      </c>
      <c r="E8" s="463">
        <f>industrie!E18</f>
        <v>3495.0871256598034</v>
      </c>
      <c r="F8" s="463">
        <f>industrie!F18</f>
        <v>54766.201564375748</v>
      </c>
      <c r="G8" s="463">
        <f>industrie!G18</f>
        <v>0</v>
      </c>
      <c r="H8" s="463">
        <f>industrie!H18</f>
        <v>0</v>
      </c>
      <c r="I8" s="463">
        <f>industrie!I18</f>
        <v>0</v>
      </c>
      <c r="J8" s="463">
        <f>industrie!J18</f>
        <v>29979.85369832252</v>
      </c>
      <c r="K8" s="463">
        <f>industrie!K18</f>
        <v>0</v>
      </c>
      <c r="L8" s="463">
        <f>industrie!L18</f>
        <v>0</v>
      </c>
      <c r="M8" s="463">
        <f>industrie!M18</f>
        <v>0</v>
      </c>
      <c r="N8" s="463">
        <f>industrie!N18</f>
        <v>11080.973156367294</v>
      </c>
      <c r="O8" s="463">
        <f>industrie!O18</f>
        <v>0</v>
      </c>
      <c r="P8" s="464">
        <f>industrie!P18</f>
        <v>0</v>
      </c>
      <c r="Q8" s="462">
        <f t="shared" si="0"/>
        <v>710889.26428886515</v>
      </c>
    </row>
    <row r="9" spans="1:17" s="468" customFormat="1">
      <c r="A9" s="466" t="s">
        <v>574</v>
      </c>
      <c r="B9" s="467">
        <f>transport!B14</f>
        <v>3.6204700276797541</v>
      </c>
      <c r="C9" s="467">
        <f>transport!C14</f>
        <v>0</v>
      </c>
      <c r="D9" s="467">
        <f>transport!D14</f>
        <v>5.6852626527800254</v>
      </c>
      <c r="E9" s="467">
        <f>transport!E14</f>
        <v>175.40233625040736</v>
      </c>
      <c r="F9" s="467">
        <f>transport!F14</f>
        <v>0</v>
      </c>
      <c r="G9" s="467">
        <f>transport!G14</f>
        <v>43907.41819552752</v>
      </c>
      <c r="H9" s="467">
        <f>transport!H14</f>
        <v>8560.047534596375</v>
      </c>
      <c r="I9" s="467">
        <f>transport!I14</f>
        <v>0</v>
      </c>
      <c r="J9" s="467">
        <f>transport!J14</f>
        <v>0</v>
      </c>
      <c r="K9" s="467">
        <f>transport!K14</f>
        <v>0</v>
      </c>
      <c r="L9" s="467">
        <f>transport!L14</f>
        <v>0</v>
      </c>
      <c r="M9" s="467">
        <f>transport!M14</f>
        <v>2347.1895908028955</v>
      </c>
      <c r="N9" s="467">
        <f>transport!N14</f>
        <v>0</v>
      </c>
      <c r="O9" s="467">
        <f>transport!O14</f>
        <v>0</v>
      </c>
      <c r="P9" s="467">
        <f>transport!P14</f>
        <v>0</v>
      </c>
      <c r="Q9" s="466">
        <f>SUM(B9:P9)</f>
        <v>54999.363389857652</v>
      </c>
    </row>
    <row r="10" spans="1:17">
      <c r="A10" s="462" t="s">
        <v>564</v>
      </c>
      <c r="B10" s="463">
        <f>transport!B54</f>
        <v>0</v>
      </c>
      <c r="C10" s="463">
        <f>transport!C54</f>
        <v>0</v>
      </c>
      <c r="D10" s="463">
        <f>transport!D54</f>
        <v>0</v>
      </c>
      <c r="E10" s="463">
        <f>transport!E54</f>
        <v>0</v>
      </c>
      <c r="F10" s="463">
        <f>transport!F54</f>
        <v>0</v>
      </c>
      <c r="G10" s="463">
        <f>transport!G54</f>
        <v>2663.7443636056005</v>
      </c>
      <c r="H10" s="463">
        <f>transport!H54</f>
        <v>0</v>
      </c>
      <c r="I10" s="463">
        <f>transport!I54</f>
        <v>0</v>
      </c>
      <c r="J10" s="463">
        <f>transport!J54</f>
        <v>0</v>
      </c>
      <c r="K10" s="463">
        <f>transport!K54</f>
        <v>0</v>
      </c>
      <c r="L10" s="463">
        <f>transport!L54</f>
        <v>0</v>
      </c>
      <c r="M10" s="463">
        <f>transport!M54</f>
        <v>118.46322714550784</v>
      </c>
      <c r="N10" s="463">
        <f>transport!N54</f>
        <v>0</v>
      </c>
      <c r="O10" s="463">
        <f>transport!O54</f>
        <v>0</v>
      </c>
      <c r="P10" s="464">
        <f>transport!P54</f>
        <v>0</v>
      </c>
      <c r="Q10" s="462">
        <f t="shared" si="0"/>
        <v>2782.2075907511085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292786.16088232008</v>
      </c>
      <c r="C14" s="473">
        <f t="shared" ref="C14:Q14" ca="1" si="1">SUM(C4:C13)</f>
        <v>28172.196428571428</v>
      </c>
      <c r="D14" s="473">
        <f t="shared" ca="1" si="1"/>
        <v>486141.70625077409</v>
      </c>
      <c r="E14" s="473">
        <f t="shared" si="1"/>
        <v>6280.5978202887973</v>
      </c>
      <c r="F14" s="473">
        <f t="shared" ca="1" si="1"/>
        <v>62692.198026519087</v>
      </c>
      <c r="G14" s="473">
        <f t="shared" si="1"/>
        <v>46571.162559133118</v>
      </c>
      <c r="H14" s="473">
        <f t="shared" si="1"/>
        <v>8560.047534596375</v>
      </c>
      <c r="I14" s="473">
        <f t="shared" si="1"/>
        <v>0</v>
      </c>
      <c r="J14" s="473">
        <f t="shared" si="1"/>
        <v>30191.218338645966</v>
      </c>
      <c r="K14" s="473">
        <f t="shared" si="1"/>
        <v>0</v>
      </c>
      <c r="L14" s="473">
        <f t="shared" ca="1" si="1"/>
        <v>0</v>
      </c>
      <c r="M14" s="473">
        <f t="shared" si="1"/>
        <v>2465.6528179484035</v>
      </c>
      <c r="N14" s="473">
        <f t="shared" ca="1" si="1"/>
        <v>45703.595828003527</v>
      </c>
      <c r="O14" s="473">
        <f t="shared" si="1"/>
        <v>267.33000000000004</v>
      </c>
      <c r="P14" s="474">
        <f t="shared" si="1"/>
        <v>858</v>
      </c>
      <c r="Q14" s="474">
        <f t="shared" ca="1" si="1"/>
        <v>1010689.8664868011</v>
      </c>
    </row>
    <row r="16" spans="1:17">
      <c r="A16" s="476" t="s">
        <v>569</v>
      </c>
      <c r="B16" s="829">
        <f ca="1">huishoudens!B10</f>
        <v>0.21599926546435033</v>
      </c>
      <c r="C16" s="829">
        <f ca="1">huishoudens!C10</f>
        <v>0.23620051818925267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6977.062401511088</v>
      </c>
      <c r="C21" s="463">
        <f t="shared" ref="C21:C30" ca="1" si="3">C4*$C$16</f>
        <v>0</v>
      </c>
      <c r="D21" s="463">
        <f t="shared" ref="D21:D30" si="4">D4*$D$16</f>
        <v>19046.988657381557</v>
      </c>
      <c r="E21" s="463">
        <f t="shared" ref="E21:E30" si="5">E4*$E$16</f>
        <v>534.85325017282867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26558.904309065474</v>
      </c>
    </row>
    <row r="22" spans="1:17">
      <c r="A22" s="462" t="s">
        <v>156</v>
      </c>
      <c r="B22" s="463">
        <f t="shared" ca="1" si="2"/>
        <v>3324.5828842326919</v>
      </c>
      <c r="C22" s="463">
        <f t="shared" ca="1" si="3"/>
        <v>70.860155456775814</v>
      </c>
      <c r="D22" s="463">
        <f t="shared" ca="1" si="4"/>
        <v>4015.1537234122875</v>
      </c>
      <c r="E22" s="463">
        <f t="shared" si="5"/>
        <v>53.621050264942106</v>
      </c>
      <c r="F22" s="463">
        <f t="shared" ca="1" si="6"/>
        <v>821.51104171560087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8285.7288550822977</v>
      </c>
    </row>
    <row r="23" spans="1:17">
      <c r="A23" s="462" t="s">
        <v>194</v>
      </c>
      <c r="B23" s="463">
        <f t="shared" ca="1" si="2"/>
        <v>199.27897832402044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199.27897832402044</v>
      </c>
    </row>
    <row r="24" spans="1:17">
      <c r="A24" s="462" t="s">
        <v>112</v>
      </c>
      <c r="B24" s="463">
        <f t="shared" ca="1" si="2"/>
        <v>303.57751331367496</v>
      </c>
      <c r="C24" s="463">
        <f t="shared" ca="1" si="3"/>
        <v>6583.4272395012085</v>
      </c>
      <c r="D24" s="463">
        <f t="shared" si="4"/>
        <v>638.59861948301022</v>
      </c>
      <c r="E24" s="463">
        <f t="shared" si="5"/>
        <v>4.0202969141683678</v>
      </c>
      <c r="F24" s="463">
        <f t="shared" si="6"/>
        <v>1294.7300136766708</v>
      </c>
      <c r="G24" s="463">
        <f t="shared" si="7"/>
        <v>0</v>
      </c>
      <c r="H24" s="463">
        <f t="shared" si="8"/>
        <v>0</v>
      </c>
      <c r="I24" s="463">
        <f t="shared" si="9"/>
        <v>0</v>
      </c>
      <c r="J24" s="463">
        <f t="shared" si="10"/>
        <v>74.823082674499361</v>
      </c>
      <c r="K24" s="463">
        <f t="shared" si="11"/>
        <v>0</v>
      </c>
      <c r="L24" s="463">
        <f t="shared" si="12"/>
        <v>0</v>
      </c>
      <c r="M24" s="463">
        <f t="shared" si="13"/>
        <v>0</v>
      </c>
      <c r="N24" s="463">
        <f t="shared" si="14"/>
        <v>0</v>
      </c>
      <c r="O24" s="463">
        <f t="shared" si="15"/>
        <v>0</v>
      </c>
      <c r="P24" s="464">
        <f t="shared" si="16"/>
        <v>0</v>
      </c>
      <c r="Q24" s="462">
        <f t="shared" ca="1" si="17"/>
        <v>8899.1767655632339</v>
      </c>
    </row>
    <row r="25" spans="1:17">
      <c r="A25" s="462" t="s">
        <v>657</v>
      </c>
      <c r="B25" s="463">
        <f t="shared" ca="1" si="2"/>
        <v>52436.311892460151</v>
      </c>
      <c r="C25" s="463">
        <f t="shared" ca="1" si="3"/>
        <v>0</v>
      </c>
      <c r="D25" s="463">
        <f t="shared" si="4"/>
        <v>74498.735239323665</v>
      </c>
      <c r="E25" s="463">
        <f t="shared" si="5"/>
        <v>793.38477752477536</v>
      </c>
      <c r="F25" s="463">
        <f t="shared" si="6"/>
        <v>14622.575817688325</v>
      </c>
      <c r="G25" s="463">
        <f t="shared" si="7"/>
        <v>0</v>
      </c>
      <c r="H25" s="463">
        <f t="shared" si="8"/>
        <v>0</v>
      </c>
      <c r="I25" s="463">
        <f t="shared" si="9"/>
        <v>0</v>
      </c>
      <c r="J25" s="463">
        <f t="shared" si="10"/>
        <v>10612.868209206172</v>
      </c>
      <c r="K25" s="463">
        <f t="shared" si="11"/>
        <v>0</v>
      </c>
      <c r="L25" s="463">
        <f t="shared" si="12"/>
        <v>0</v>
      </c>
      <c r="M25" s="463">
        <f t="shared" si="13"/>
        <v>0</v>
      </c>
      <c r="N25" s="463">
        <f t="shared" si="14"/>
        <v>0</v>
      </c>
      <c r="O25" s="463">
        <f t="shared" si="15"/>
        <v>0</v>
      </c>
      <c r="P25" s="464">
        <f t="shared" si="16"/>
        <v>0</v>
      </c>
      <c r="Q25" s="462">
        <f t="shared" ca="1" si="17"/>
        <v>152963.87593620308</v>
      </c>
    </row>
    <row r="26" spans="1:17" s="468" customFormat="1">
      <c r="A26" s="466" t="s">
        <v>574</v>
      </c>
      <c r="B26" s="823">
        <f t="shared" ca="1" si="2"/>
        <v>0.78201886661452302</v>
      </c>
      <c r="C26" s="467">
        <f t="shared" ca="1" si="3"/>
        <v>0</v>
      </c>
      <c r="D26" s="467">
        <f t="shared" si="4"/>
        <v>1.1484230558615651</v>
      </c>
      <c r="E26" s="467">
        <f t="shared" si="5"/>
        <v>39.816330328842469</v>
      </c>
      <c r="F26" s="467">
        <f t="shared" si="6"/>
        <v>0</v>
      </c>
      <c r="G26" s="467">
        <f t="shared" si="7"/>
        <v>11723.280658205849</v>
      </c>
      <c r="H26" s="467">
        <f t="shared" si="8"/>
        <v>2131.4518361144974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13896.479266571667</v>
      </c>
    </row>
    <row r="27" spans="1:17">
      <c r="A27" s="462" t="s">
        <v>564</v>
      </c>
      <c r="B27" s="463">
        <f t="shared" ca="1" si="2"/>
        <v>0</v>
      </c>
      <c r="C27" s="463">
        <f t="shared" ca="1" si="3"/>
        <v>0</v>
      </c>
      <c r="D27" s="463">
        <f t="shared" si="4"/>
        <v>0</v>
      </c>
      <c r="E27" s="463">
        <f t="shared" si="5"/>
        <v>0</v>
      </c>
      <c r="F27" s="463">
        <f t="shared" si="6"/>
        <v>0</v>
      </c>
      <c r="G27" s="463">
        <f t="shared" si="7"/>
        <v>711.21974508269534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711.21974508269534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63241.595688708243</v>
      </c>
      <c r="C31" s="473">
        <f t="shared" ca="1" si="18"/>
        <v>6654.2873949579844</v>
      </c>
      <c r="D31" s="473">
        <f t="shared" ca="1" si="18"/>
        <v>98200.624662656381</v>
      </c>
      <c r="E31" s="473">
        <f t="shared" si="18"/>
        <v>1425.695705205557</v>
      </c>
      <c r="F31" s="473">
        <f t="shared" ca="1" si="18"/>
        <v>16738.816873080596</v>
      </c>
      <c r="G31" s="473">
        <f t="shared" si="18"/>
        <v>12434.500403288544</v>
      </c>
      <c r="H31" s="473">
        <f t="shared" si="18"/>
        <v>2131.4518361144974</v>
      </c>
      <c r="I31" s="473">
        <f t="shared" si="18"/>
        <v>0</v>
      </c>
      <c r="J31" s="473">
        <f t="shared" si="18"/>
        <v>10687.691291880672</v>
      </c>
      <c r="K31" s="473">
        <f t="shared" si="18"/>
        <v>0</v>
      </c>
      <c r="L31" s="473">
        <f t="shared" ca="1" si="18"/>
        <v>0</v>
      </c>
      <c r="M31" s="473">
        <f t="shared" si="18"/>
        <v>0</v>
      </c>
      <c r="N31" s="473">
        <f t="shared" ca="1" si="18"/>
        <v>0</v>
      </c>
      <c r="O31" s="473">
        <f t="shared" si="18"/>
        <v>0</v>
      </c>
      <c r="P31" s="474">
        <f t="shared" si="18"/>
        <v>0</v>
      </c>
      <c r="Q31" s="474">
        <f t="shared" ca="1" si="18"/>
        <v>211514.66385589249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0.21599926546435033</v>
      </c>
      <c r="C17" s="513">
        <f ca="1">'EF ele_warmte'!B22</f>
        <v>0.23620051818925267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0.21599926546435033</v>
      </c>
      <c r="C17" s="513">
        <f ca="1">'EF ele_warmte'!B22</f>
        <v>0.23620051818925267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0.21599926546435033</v>
      </c>
      <c r="C29" s="514">
        <f ca="1">'EF ele_warmte'!B22</f>
        <v>0.23620051818925267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6751</v>
      </c>
      <c r="C9" s="338">
        <v>7178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1461</v>
      </c>
    </row>
    <row r="15" spans="1:6">
      <c r="A15" s="1212" t="s">
        <v>184</v>
      </c>
      <c r="B15" s="335">
        <v>3117</v>
      </c>
    </row>
    <row r="16" spans="1:6">
      <c r="A16" s="1212" t="s">
        <v>6</v>
      </c>
      <c r="B16" s="335">
        <v>602</v>
      </c>
    </row>
    <row r="17" spans="1:6">
      <c r="A17" s="1212" t="s">
        <v>7</v>
      </c>
      <c r="B17" s="335">
        <v>395</v>
      </c>
    </row>
    <row r="18" spans="1:6">
      <c r="A18" s="1212" t="s">
        <v>8</v>
      </c>
      <c r="B18" s="335">
        <v>587</v>
      </c>
    </row>
    <row r="19" spans="1:6">
      <c r="A19" s="1212" t="s">
        <v>9</v>
      </c>
      <c r="B19" s="335">
        <v>432</v>
      </c>
    </row>
    <row r="20" spans="1:6">
      <c r="A20" s="1212" t="s">
        <v>10</v>
      </c>
      <c r="B20" s="335">
        <v>563</v>
      </c>
    </row>
    <row r="21" spans="1:6">
      <c r="A21" s="1212" t="s">
        <v>11</v>
      </c>
      <c r="B21" s="335">
        <v>147</v>
      </c>
    </row>
    <row r="22" spans="1:6">
      <c r="A22" s="1212" t="s">
        <v>12</v>
      </c>
      <c r="B22" s="335">
        <v>2175</v>
      </c>
    </row>
    <row r="23" spans="1:6">
      <c r="A23" s="1212" t="s">
        <v>13</v>
      </c>
      <c r="B23" s="335">
        <v>3</v>
      </c>
    </row>
    <row r="24" spans="1:6">
      <c r="A24" s="1212" t="s">
        <v>14</v>
      </c>
      <c r="B24" s="335">
        <v>1</v>
      </c>
    </row>
    <row r="25" spans="1:6">
      <c r="A25" s="1212" t="s">
        <v>15</v>
      </c>
      <c r="B25" s="335">
        <v>19</v>
      </c>
    </row>
    <row r="26" spans="1:6">
      <c r="A26" s="1212" t="s">
        <v>16</v>
      </c>
      <c r="B26" s="335">
        <v>15</v>
      </c>
    </row>
    <row r="27" spans="1:6">
      <c r="A27" s="1212" t="s">
        <v>17</v>
      </c>
      <c r="B27" s="335">
        <v>16</v>
      </c>
    </row>
    <row r="28" spans="1:6" s="341" customFormat="1">
      <c r="A28" s="1213" t="s">
        <v>18</v>
      </c>
      <c r="B28" s="1213">
        <v>189310</v>
      </c>
    </row>
    <row r="29" spans="1:6">
      <c r="A29" s="1213" t="s">
        <v>836</v>
      </c>
      <c r="B29" s="1213">
        <v>104</v>
      </c>
      <c r="C29" s="341"/>
      <c r="D29" s="341"/>
      <c r="E29" s="341"/>
      <c r="F29" s="341"/>
    </row>
    <row r="30" spans="1:6">
      <c r="A30" s="1208" t="s">
        <v>837</v>
      </c>
      <c r="B30" s="1208">
        <v>39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31509.810670385501</v>
      </c>
    </row>
    <row r="39" spans="1:6">
      <c r="A39" s="1212" t="s">
        <v>30</v>
      </c>
      <c r="B39" s="1212" t="s">
        <v>31</v>
      </c>
      <c r="C39" s="335">
        <v>5043</v>
      </c>
      <c r="D39" s="335">
        <v>104536610.927211</v>
      </c>
      <c r="E39" s="335">
        <v>6708</v>
      </c>
      <c r="F39" s="335">
        <v>28249748.040628601</v>
      </c>
    </row>
    <row r="40" spans="1:6">
      <c r="A40" s="1212" t="s">
        <v>30</v>
      </c>
      <c r="B40" s="1212" t="s">
        <v>29</v>
      </c>
      <c r="C40" s="335">
        <v>0</v>
      </c>
      <c r="D40" s="335">
        <v>0</v>
      </c>
      <c r="E40" s="335">
        <v>1</v>
      </c>
      <c r="F40" s="335">
        <v>499</v>
      </c>
    </row>
    <row r="41" spans="1:6">
      <c r="A41" s="1212" t="s">
        <v>32</v>
      </c>
      <c r="B41" s="1212" t="s">
        <v>33</v>
      </c>
      <c r="C41" s="335">
        <v>72</v>
      </c>
      <c r="D41" s="335">
        <v>1460848.9996124599</v>
      </c>
      <c r="E41" s="335">
        <v>168</v>
      </c>
      <c r="F41" s="335">
        <v>2059792.3561204299</v>
      </c>
    </row>
    <row r="42" spans="1:6">
      <c r="A42" s="1212" t="s">
        <v>32</v>
      </c>
      <c r="B42" s="1212" t="s">
        <v>34</v>
      </c>
      <c r="C42" s="335">
        <v>5</v>
      </c>
      <c r="D42" s="335">
        <v>144875776.45317599</v>
      </c>
      <c r="E42" s="335">
        <v>5</v>
      </c>
      <c r="F42" s="335">
        <v>90959759.349407196</v>
      </c>
    </row>
    <row r="43" spans="1:6">
      <c r="A43" s="1212" t="s">
        <v>32</v>
      </c>
      <c r="B43" s="1212" t="s">
        <v>35</v>
      </c>
      <c r="C43" s="335">
        <v>0</v>
      </c>
      <c r="D43" s="335">
        <v>0</v>
      </c>
      <c r="E43" s="335">
        <v>0</v>
      </c>
      <c r="F43" s="335">
        <v>0</v>
      </c>
    </row>
    <row r="44" spans="1:6">
      <c r="A44" s="1212" t="s">
        <v>32</v>
      </c>
      <c r="B44" s="1212" t="s">
        <v>36</v>
      </c>
      <c r="C44" s="335">
        <v>3</v>
      </c>
      <c r="D44" s="335">
        <v>74313.585780480906</v>
      </c>
      <c r="E44" s="335">
        <v>20</v>
      </c>
      <c r="F44" s="335">
        <v>1382319.2215714301</v>
      </c>
    </row>
    <row r="45" spans="1:6">
      <c r="A45" s="1212" t="s">
        <v>32</v>
      </c>
      <c r="B45" s="1212" t="s">
        <v>37</v>
      </c>
      <c r="C45" s="335">
        <v>6</v>
      </c>
      <c r="D45" s="335">
        <v>249292846.715278</v>
      </c>
      <c r="E45" s="335">
        <v>8</v>
      </c>
      <c r="F45" s="335">
        <v>18977360.997401301</v>
      </c>
    </row>
    <row r="46" spans="1:6">
      <c r="A46" s="1212" t="s">
        <v>32</v>
      </c>
      <c r="B46" s="1212" t="s">
        <v>38</v>
      </c>
      <c r="C46" s="335">
        <v>3</v>
      </c>
      <c r="D46" s="335">
        <v>31577463.335105099</v>
      </c>
      <c r="E46" s="335">
        <v>6</v>
      </c>
      <c r="F46" s="335">
        <v>93494236.509176105</v>
      </c>
    </row>
    <row r="47" spans="1:6">
      <c r="A47" s="1212" t="s">
        <v>32</v>
      </c>
      <c r="B47" s="1212" t="s">
        <v>39</v>
      </c>
      <c r="C47" s="335">
        <v>0</v>
      </c>
      <c r="D47" s="335">
        <v>0</v>
      </c>
      <c r="E47" s="335">
        <v>0</v>
      </c>
      <c r="F47" s="335">
        <v>0</v>
      </c>
    </row>
    <row r="48" spans="1:6">
      <c r="A48" s="1212" t="s">
        <v>32</v>
      </c>
      <c r="B48" s="1212" t="s">
        <v>29</v>
      </c>
      <c r="C48" s="335">
        <v>37</v>
      </c>
      <c r="D48" s="335">
        <v>12646525.7714143</v>
      </c>
      <c r="E48" s="335">
        <v>33</v>
      </c>
      <c r="F48" s="335">
        <v>24326514.7917911</v>
      </c>
    </row>
    <row r="49" spans="1:6">
      <c r="A49" s="1212" t="s">
        <v>32</v>
      </c>
      <c r="B49" s="1212" t="s">
        <v>40</v>
      </c>
      <c r="C49" s="335">
        <v>3</v>
      </c>
      <c r="D49" s="335">
        <v>91051.721854354706</v>
      </c>
      <c r="E49" s="335">
        <v>3</v>
      </c>
      <c r="F49" s="335">
        <v>26880.552000742999</v>
      </c>
    </row>
    <row r="50" spans="1:6">
      <c r="A50" s="1212" t="s">
        <v>32</v>
      </c>
      <c r="B50" s="1212" t="s">
        <v>41</v>
      </c>
      <c r="C50" s="335">
        <v>6</v>
      </c>
      <c r="D50" s="335">
        <v>434046.94872890803</v>
      </c>
      <c r="E50" s="335">
        <v>15</v>
      </c>
      <c r="F50" s="335">
        <v>11534664.970019599</v>
      </c>
    </row>
    <row r="51" spans="1:6">
      <c r="A51" s="1212" t="s">
        <v>42</v>
      </c>
      <c r="B51" s="1212" t="s">
        <v>43</v>
      </c>
      <c r="C51" s="335">
        <v>7</v>
      </c>
      <c r="D51" s="335">
        <v>134350.30124950799</v>
      </c>
      <c r="E51" s="335">
        <v>59</v>
      </c>
      <c r="F51" s="335">
        <v>1185438.81339002</v>
      </c>
    </row>
    <row r="52" spans="1:6">
      <c r="A52" s="1212" t="s">
        <v>42</v>
      </c>
      <c r="B52" s="1212" t="s">
        <v>29</v>
      </c>
      <c r="C52" s="335">
        <v>8</v>
      </c>
      <c r="D52" s="335">
        <v>61907959.039453797</v>
      </c>
      <c r="E52" s="335">
        <v>5</v>
      </c>
      <c r="F52" s="335">
        <v>220017.416570072</v>
      </c>
    </row>
    <row r="53" spans="1:6">
      <c r="A53" s="1212" t="s">
        <v>44</v>
      </c>
      <c r="B53" s="1212" t="s">
        <v>45</v>
      </c>
      <c r="C53" s="335">
        <v>84</v>
      </c>
      <c r="D53" s="335">
        <v>2883198.2821347299</v>
      </c>
      <c r="E53" s="335">
        <v>185</v>
      </c>
      <c r="F53" s="335">
        <v>781981.12951582402</v>
      </c>
    </row>
    <row r="54" spans="1:6">
      <c r="A54" s="1212" t="s">
        <v>46</v>
      </c>
      <c r="B54" s="1212" t="s">
        <v>47</v>
      </c>
      <c r="C54" s="335">
        <v>0</v>
      </c>
      <c r="D54" s="335">
        <v>0</v>
      </c>
      <c r="E54" s="335">
        <v>1</v>
      </c>
      <c r="F54" s="335">
        <v>922591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v>
      </c>
      <c r="D57" s="335">
        <v>890710.89857188601</v>
      </c>
      <c r="E57" s="335">
        <v>43</v>
      </c>
      <c r="F57" s="335">
        <v>1006109.3985451499</v>
      </c>
    </row>
    <row r="58" spans="1:6">
      <c r="A58" s="1212" t="s">
        <v>49</v>
      </c>
      <c r="B58" s="1212" t="s">
        <v>51</v>
      </c>
      <c r="C58" s="335">
        <v>11</v>
      </c>
      <c r="D58" s="335">
        <v>1983132.8774806501</v>
      </c>
      <c r="E58" s="335">
        <v>15</v>
      </c>
      <c r="F58" s="335">
        <v>320690.54704289802</v>
      </c>
    </row>
    <row r="59" spans="1:6">
      <c r="A59" s="1212" t="s">
        <v>49</v>
      </c>
      <c r="B59" s="1212" t="s">
        <v>52</v>
      </c>
      <c r="C59" s="335">
        <v>73</v>
      </c>
      <c r="D59" s="335">
        <v>2923868.2262044698</v>
      </c>
      <c r="E59" s="335">
        <v>135</v>
      </c>
      <c r="F59" s="335">
        <v>3894605.2666273299</v>
      </c>
    </row>
    <row r="60" spans="1:6">
      <c r="A60" s="1212" t="s">
        <v>49</v>
      </c>
      <c r="B60" s="1212" t="s">
        <v>53</v>
      </c>
      <c r="C60" s="335">
        <v>76</v>
      </c>
      <c r="D60" s="335">
        <v>8073152.4272490703</v>
      </c>
      <c r="E60" s="335">
        <v>134</v>
      </c>
      <c r="F60" s="335">
        <v>1949785.3744206999</v>
      </c>
    </row>
    <row r="61" spans="1:6">
      <c r="A61" s="1212" t="s">
        <v>49</v>
      </c>
      <c r="B61" s="1212" t="s">
        <v>54</v>
      </c>
      <c r="C61" s="335">
        <v>93</v>
      </c>
      <c r="D61" s="335">
        <v>3767704.4731086101</v>
      </c>
      <c r="E61" s="335">
        <v>243</v>
      </c>
      <c r="F61" s="335">
        <v>3387531.4176876298</v>
      </c>
    </row>
    <row r="62" spans="1:6">
      <c r="A62" s="1212" t="s">
        <v>49</v>
      </c>
      <c r="B62" s="1212" t="s">
        <v>55</v>
      </c>
      <c r="C62" s="335">
        <v>0</v>
      </c>
      <c r="D62" s="335">
        <v>0</v>
      </c>
      <c r="E62" s="335">
        <v>7</v>
      </c>
      <c r="F62" s="335">
        <v>353050.082321366</v>
      </c>
    </row>
    <row r="63" spans="1:6">
      <c r="A63" s="1212" t="s">
        <v>49</v>
      </c>
      <c r="B63" s="1212" t="s">
        <v>29</v>
      </c>
      <c r="C63" s="335">
        <v>80</v>
      </c>
      <c r="D63" s="335">
        <v>5063203.4152942896</v>
      </c>
      <c r="E63" s="335">
        <v>94</v>
      </c>
      <c r="F63" s="335">
        <v>4269867.6815994103</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78975.888222027002</v>
      </c>
      <c r="E68" s="335">
        <v>10</v>
      </c>
      <c r="F68" s="335">
        <v>42889.1232431229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57071576</v>
      </c>
      <c r="E73" s="335">
        <v>59147916.398571007</v>
      </c>
    </row>
    <row r="74" spans="1:6">
      <c r="A74" s="1212" t="s">
        <v>64</v>
      </c>
      <c r="B74" s="1212" t="s">
        <v>727</v>
      </c>
      <c r="C74" s="1212" t="s">
        <v>728</v>
      </c>
      <c r="D74" s="335">
        <v>4707416.9660087116</v>
      </c>
      <c r="E74" s="335">
        <v>4967340.6231166851</v>
      </c>
    </row>
    <row r="75" spans="1:6">
      <c r="A75" s="1212" t="s">
        <v>65</v>
      </c>
      <c r="B75" s="1212" t="s">
        <v>725</v>
      </c>
      <c r="C75" s="1212" t="s">
        <v>729</v>
      </c>
      <c r="D75" s="335">
        <v>9232607</v>
      </c>
      <c r="E75" s="335">
        <v>9586454.2257981431</v>
      </c>
    </row>
    <row r="76" spans="1:6">
      <c r="A76" s="1212" t="s">
        <v>65</v>
      </c>
      <c r="B76" s="1212" t="s">
        <v>727</v>
      </c>
      <c r="C76" s="1212" t="s">
        <v>730</v>
      </c>
      <c r="D76" s="335">
        <v>124128.9660087119</v>
      </c>
      <c r="E76" s="335">
        <v>138674.61174463044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735026.06798257621</v>
      </c>
      <c r="C83" s="335">
        <v>726157.90266095451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4051.0776259713402</v>
      </c>
    </row>
    <row r="92" spans="1:6">
      <c r="A92" s="1208" t="s">
        <v>69</v>
      </c>
      <c r="B92" s="338">
        <v>3930.4076919249896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3245</v>
      </c>
    </row>
    <row r="98" spans="1:6">
      <c r="A98" s="1212" t="s">
        <v>72</v>
      </c>
      <c r="B98" s="335">
        <v>5</v>
      </c>
    </row>
    <row r="99" spans="1:6">
      <c r="A99" s="1212" t="s">
        <v>73</v>
      </c>
      <c r="B99" s="335">
        <v>40</v>
      </c>
    </row>
    <row r="100" spans="1:6">
      <c r="A100" s="1212" t="s">
        <v>74</v>
      </c>
      <c r="B100" s="335">
        <v>397</v>
      </c>
    </row>
    <row r="101" spans="1:6">
      <c r="A101" s="1212" t="s">
        <v>75</v>
      </c>
      <c r="B101" s="335">
        <v>152</v>
      </c>
    </row>
    <row r="102" spans="1:6">
      <c r="A102" s="1212" t="s">
        <v>76</v>
      </c>
      <c r="B102" s="335">
        <v>60</v>
      </c>
    </row>
    <row r="103" spans="1:6">
      <c r="A103" s="1212" t="s">
        <v>77</v>
      </c>
      <c r="B103" s="335">
        <v>156</v>
      </c>
    </row>
    <row r="104" spans="1:6">
      <c r="A104" s="1212" t="s">
        <v>78</v>
      </c>
      <c r="B104" s="335">
        <v>1690</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142</v>
      </c>
    </row>
    <row r="130" spans="1:6">
      <c r="A130" s="1212" t="s">
        <v>295</v>
      </c>
      <c r="B130" s="335">
        <v>0</v>
      </c>
    </row>
    <row r="131" spans="1:6">
      <c r="A131" s="1212" t="s">
        <v>296</v>
      </c>
      <c r="B131" s="335">
        <v>2</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292786.16088232008</v>
      </c>
      <c r="C3" s="43" t="s">
        <v>170</v>
      </c>
      <c r="D3" s="43"/>
      <c r="E3" s="156"/>
      <c r="F3" s="43"/>
      <c r="G3" s="43"/>
      <c r="H3" s="43"/>
      <c r="I3" s="43"/>
      <c r="J3" s="43"/>
      <c r="K3" s="96"/>
    </row>
    <row r="4" spans="1:11">
      <c r="A4" s="366" t="s">
        <v>171</v>
      </c>
      <c r="B4" s="49">
        <f>IF(ISERROR('SEAP template'!B69),0,'SEAP template'!B69)</f>
        <v>27702.02281789633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4658.0011764705896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0.21599926546435033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6654.2873949579844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28172.196428571428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0.23620051818925267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0.21599926546435033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199.27897832402044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B46*B57</f>
        <v>2356.1817188230339</v>
      </c>
      <c r="F5" s="17">
        <f>B51*B62</f>
        <v>0</v>
      </c>
      <c r="G5" s="18"/>
      <c r="H5" s="17"/>
      <c r="I5" s="17"/>
      <c r="J5" s="17">
        <f>B50*B61+C50*C61</f>
        <v>0</v>
      </c>
      <c r="K5" s="17"/>
      <c r="L5" s="17"/>
      <c r="M5" s="17"/>
      <c r="N5" s="17">
        <f>B48*B59+C48*C59</f>
        <v>33565.985738175281</v>
      </c>
      <c r="O5" s="17">
        <f>B69*B70*B71</f>
        <v>267.33000000000004</v>
      </c>
      <c r="P5" s="17">
        <f>B77*B78*B79/1000-B77*B78*B79/1000/B80</f>
        <v>819.86666666666667</v>
      </c>
    </row>
    <row r="6" spans="1:16">
      <c r="A6" s="16" t="s">
        <v>634</v>
      </c>
      <c r="B6" s="831">
        <f>kWh_PV_kleiner_dan_10kW</f>
        <v>4051.0776259713402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32301.32466659994</v>
      </c>
      <c r="C8" s="21">
        <f>C5</f>
        <v>0</v>
      </c>
      <c r="D8" s="21">
        <f>D5</f>
        <v>94292.023056344333</v>
      </c>
      <c r="E8" s="21">
        <f>E5</f>
        <v>2356.1817188230339</v>
      </c>
      <c r="F8" s="21">
        <f>F5</f>
        <v>0</v>
      </c>
      <c r="G8" s="21"/>
      <c r="H8" s="21"/>
      <c r="I8" s="21"/>
      <c r="J8" s="21">
        <f>J5</f>
        <v>0</v>
      </c>
      <c r="K8" s="21"/>
      <c r="L8" s="21">
        <f>L5</f>
        <v>0</v>
      </c>
      <c r="M8" s="21">
        <f>M5</f>
        <v>0</v>
      </c>
      <c r="N8" s="21">
        <f>N5</f>
        <v>33565.985738175281</v>
      </c>
      <c r="O8" s="21">
        <f>O5</f>
        <v>267.33000000000004</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0.21599926546435033</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6977.062401511088</v>
      </c>
      <c r="C12" s="23">
        <f ca="1">C10*C8</f>
        <v>0</v>
      </c>
      <c r="D12" s="23">
        <f>D8*D10</f>
        <v>19046.988657381557</v>
      </c>
      <c r="E12" s="23">
        <f>E10*E8</f>
        <v>534.85325017282867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3245</v>
      </c>
      <c r="C18" s="168" t="s">
        <v>111</v>
      </c>
      <c r="D18" s="230"/>
      <c r="E18" s="15"/>
    </row>
    <row r="19" spans="1:7">
      <c r="A19" s="173" t="s">
        <v>72</v>
      </c>
      <c r="B19" s="37">
        <f>aantalw2001_ander</f>
        <v>5</v>
      </c>
      <c r="C19" s="168" t="s">
        <v>111</v>
      </c>
      <c r="D19" s="231"/>
      <c r="E19" s="15"/>
    </row>
    <row r="20" spans="1:7">
      <c r="A20" s="173" t="s">
        <v>73</v>
      </c>
      <c r="B20" s="37">
        <f>aantalw2001_propaan</f>
        <v>40</v>
      </c>
      <c r="C20" s="169">
        <f>IF(ISERROR(B20/SUM($B$20,$B$21,$B$22)*100),0,B20/SUM($B$20,$B$21,$B$22)*100)</f>
        <v>6.7911714770797964</v>
      </c>
      <c r="D20" s="231"/>
      <c r="E20" s="15"/>
    </row>
    <row r="21" spans="1:7">
      <c r="A21" s="173" t="s">
        <v>74</v>
      </c>
      <c r="B21" s="37">
        <f>aantalw2001_elektriciteit</f>
        <v>397</v>
      </c>
      <c r="C21" s="169">
        <f>IF(ISERROR(B21/SUM($B$20,$B$21,$B$22)*100),0,B21/SUM($B$20,$B$21,$B$22)*100)</f>
        <v>67.402376910016983</v>
      </c>
      <c r="D21" s="231"/>
      <c r="E21" s="15"/>
    </row>
    <row r="22" spans="1:7">
      <c r="A22" s="173" t="s">
        <v>75</v>
      </c>
      <c r="B22" s="37">
        <f>aantalw2001_hout</f>
        <v>152</v>
      </c>
      <c r="C22" s="169">
        <f>IF(ISERROR(B22/SUM($B$20,$B$21,$B$22)*100),0,B22/SUM($B$20,$B$21,$B$22)*100)</f>
        <v>25.806451612903224</v>
      </c>
      <c r="D22" s="231"/>
      <c r="E22" s="15"/>
    </row>
    <row r="23" spans="1:7">
      <c r="A23" s="173" t="s">
        <v>76</v>
      </c>
      <c r="B23" s="37">
        <f>aantalw2001_niet_gespec</f>
        <v>60</v>
      </c>
      <c r="C23" s="168" t="s">
        <v>111</v>
      </c>
      <c r="D23" s="230"/>
      <c r="E23" s="15"/>
    </row>
    <row r="24" spans="1:7">
      <c r="A24" s="173" t="s">
        <v>77</v>
      </c>
      <c r="B24" s="37">
        <f>aantalw2001_steenkool</f>
        <v>156</v>
      </c>
      <c r="C24" s="168" t="s">
        <v>111</v>
      </c>
      <c r="D24" s="231"/>
      <c r="E24" s="15"/>
    </row>
    <row r="25" spans="1:7">
      <c r="A25" s="173" t="s">
        <v>78</v>
      </c>
      <c r="B25" s="37">
        <f>aantalw2001_stookolie</f>
        <v>1690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6751</v>
      </c>
      <c r="C28" s="36"/>
      <c r="D28" s="230"/>
    </row>
    <row r="29" spans="1:7" s="15" customFormat="1">
      <c r="A29" s="232" t="s">
        <v>746</v>
      </c>
      <c r="B29" s="37">
        <f>SUM(HH_hh_gas_aantal,HH_rest_gas_aantal)</f>
        <v>5043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5043</v>
      </c>
      <c r="C32" s="169">
        <f>IF(ISERROR(B32/SUM($B$32,$B$34,$B$35,$B$36,$B$38,$B$39)*100),0,B32/SUM($B$32,$B$34,$B$35,$B$36,$B$38,$B$39)*100)</f>
        <v>75.178890876565291</v>
      </c>
      <c r="D32" s="235"/>
      <c r="G32" s="15"/>
    </row>
    <row r="33" spans="1:7">
      <c r="A33" s="173" t="s">
        <v>72</v>
      </c>
      <c r="B33" s="34" t="s">
        <v>111</v>
      </c>
      <c r="C33" s="169"/>
      <c r="D33" s="235"/>
      <c r="G33" s="15"/>
    </row>
    <row r="34" spans="1:7">
      <c r="A34" s="173" t="s">
        <v>73</v>
      </c>
      <c r="B34" s="33">
        <f>IF((($B$28-$B$32-$B$39-$B$77-$B$38)*C20/100)&lt;0,0,($B$28-$B$32-$B$39-$B$77-$B$38)*C20/100)</f>
        <v>113.07300509337861</v>
      </c>
      <c r="C34" s="169">
        <f>IF(ISERROR(B34/SUM($B$32,$B$34,$B$35,$B$36,$B$38,$B$39)*100),0,B34/SUM($B$32,$B$34,$B$35,$B$36,$B$38,$B$39)*100)</f>
        <v>1.6856440830855486</v>
      </c>
      <c r="D34" s="235"/>
      <c r="G34" s="15"/>
    </row>
    <row r="35" spans="1:7">
      <c r="A35" s="173" t="s">
        <v>74</v>
      </c>
      <c r="B35" s="33">
        <f>IF((($B$28-$B$32-$B$39-$B$77-$B$38)*C21/100)&lt;0,0,($B$28-$B$32-$B$39-$B$77-$B$38)*C21/100)</f>
        <v>1122.2495755517828</v>
      </c>
      <c r="C35" s="169">
        <f>IF(ISERROR(B35/SUM($B$32,$B$34,$B$35,$B$36,$B$38,$B$39)*100),0,B35/SUM($B$32,$B$34,$B$35,$B$36,$B$38,$B$39)*100)</f>
        <v>16.730017524624071</v>
      </c>
      <c r="D35" s="235"/>
      <c r="G35" s="15"/>
    </row>
    <row r="36" spans="1:7">
      <c r="A36" s="173" t="s">
        <v>75</v>
      </c>
      <c r="B36" s="33">
        <f>IF((($B$28-$B$32-$B$39-$B$77-$B$38)*C22/100)&lt;0,0,($B$28-$B$32-$B$39-$B$77-$B$38)*C22/100)</f>
        <v>429.67741935483872</v>
      </c>
      <c r="C36" s="169">
        <f>IF(ISERROR(B36/SUM($B$32,$B$34,$B$35,$B$36,$B$38,$B$39)*100),0,B36/SUM($B$32,$B$34,$B$35,$B$36,$B$38,$B$39)*100)</f>
        <v>6.4054475157250836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5043</v>
      </c>
      <c r="C44" s="34" t="s">
        <v>111</v>
      </c>
      <c r="D44" s="176"/>
    </row>
    <row r="45" spans="1:7">
      <c r="A45" s="173" t="s">
        <v>72</v>
      </c>
      <c r="B45" s="33" t="str">
        <f t="shared" si="0"/>
        <v>-</v>
      </c>
      <c r="C45" s="34" t="s">
        <v>111</v>
      </c>
      <c r="D45" s="176"/>
    </row>
    <row r="46" spans="1:7">
      <c r="A46" s="173" t="s">
        <v>73</v>
      </c>
      <c r="B46" s="33">
        <f t="shared" si="0"/>
        <v>113.07300509337861</v>
      </c>
      <c r="C46" s="34" t="s">
        <v>111</v>
      </c>
      <c r="D46" s="176"/>
    </row>
    <row r="47" spans="1:7">
      <c r="A47" s="173" t="s">
        <v>74</v>
      </c>
      <c r="B47" s="33">
        <f t="shared" si="0"/>
        <v>1122.2495755517828</v>
      </c>
      <c r="C47" s="34" t="s">
        <v>111</v>
      </c>
      <c r="D47" s="176"/>
    </row>
    <row r="48" spans="1:7">
      <c r="A48" s="173" t="s">
        <v>75</v>
      </c>
      <c r="B48" s="33">
        <f t="shared" si="0"/>
        <v>429.67741935483872</v>
      </c>
      <c r="C48" s="33">
        <f>B48*10</f>
        <v>4296.7741935483873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54</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53</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52</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51</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50</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55</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497</v>
      </c>
      <c r="B13" s="249">
        <f ca="1">'lokale energieproductie'!N90+'lokale energieproductie'!N59</f>
        <v>210.00000000000003</v>
      </c>
      <c r="C13" s="249">
        <f ca="1">'lokale energieproductie'!O90+'lokale energieproductie'!O59</f>
        <v>300.00000000000006</v>
      </c>
      <c r="D13" s="312">
        <f ca="1">('lokale energieproductie'!P59+'lokale energieproductie'!P90)*(-1)</f>
        <v>-600.00000000000011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0.21599926546435033</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3324.5828842326919</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3387.53141768763</v>
      </c>
      <c r="C26" s="39">
        <f>IF(ISERROR(B26*3.6/1000000/'E Balans VL '!Z12*100),0,B26*3.6/1000000/'E Balans VL '!Z12*100)</f>
        <v>7.1952845276617119E-2</v>
      </c>
      <c r="D26" s="239" t="s">
        <v>692</v>
      </c>
      <c r="F26" s="6"/>
    </row>
    <row r="27" spans="1:18">
      <c r="A27" s="233" t="s">
        <v>53</v>
      </c>
      <c r="B27" s="33">
        <f>IF(ISERROR(TER_horeca_ele_kWh/1000),0,TER_horeca_ele_kWh/1000)</f>
        <v>1949.7853744207</v>
      </c>
      <c r="C27" s="39">
        <f>IF(ISERROR(B27*3.6/1000000/'E Balans VL '!Z9*100),0,B27*3.6/1000000/'E Balans VL '!Z9*100)</f>
        <v>0.15160768720679962</v>
      </c>
      <c r="D27" s="239" t="s">
        <v>692</v>
      </c>
      <c r="F27" s="6"/>
    </row>
    <row r="28" spans="1:18">
      <c r="A28" s="173" t="s">
        <v>52</v>
      </c>
      <c r="B28" s="33">
        <f>IF(ISERROR(TER_handel_ele_kWh/1000),0,TER_handel_ele_kWh/1000)</f>
        <v>3894.6052666273299</v>
      </c>
      <c r="C28" s="39">
        <f>IF(ISERROR(B28*3.6/1000000/'E Balans VL '!Z13*100),0,B28*3.6/1000000/'E Balans VL '!Z13*100)</f>
        <v>0.11142924017009677</v>
      </c>
      <c r="D28" s="239" t="s">
        <v>692</v>
      </c>
      <c r="F28" s="6"/>
    </row>
    <row r="29" spans="1:18">
      <c r="A29" s="233" t="s">
        <v>51</v>
      </c>
      <c r="B29" s="33">
        <f>IF(ISERROR(TER_gezond_ele_kWh/1000),0,TER_gezond_ele_kWh/1000)</f>
        <v>320.690547042898</v>
      </c>
      <c r="C29" s="39">
        <f>IF(ISERROR(B29*3.6/1000000/'E Balans VL '!Z10*100),0,B29*3.6/1000000/'E Balans VL '!Z10*100)</f>
        <v>3.4962721582262643E-2</v>
      </c>
      <c r="D29" s="239" t="s">
        <v>692</v>
      </c>
      <c r="F29" s="6"/>
    </row>
    <row r="30" spans="1:18">
      <c r="A30" s="233" t="s">
        <v>50</v>
      </c>
      <c r="B30" s="33">
        <f>IF(ISERROR(TER_ander_ele_kWh/1000),0,TER_ander_ele_kWh/1000)</f>
        <v>1006.1093985451499</v>
      </c>
      <c r="C30" s="39">
        <f>IF(ISERROR(B30*3.6/1000000/'E Balans VL '!Z14*100),0,B30*3.6/1000000/'E Balans VL '!Z14*100)</f>
        <v>7.362480348046653E-2</v>
      </c>
      <c r="D30" s="239" t="s">
        <v>692</v>
      </c>
      <c r="F30" s="6"/>
    </row>
    <row r="31" spans="1:18">
      <c r="A31" s="233" t="s">
        <v>55</v>
      </c>
      <c r="B31" s="33">
        <f>IF(ISERROR(TER_onderwijs_ele_kWh/1000),0,TER_onderwijs_ele_kWh/1000)</f>
        <v>353.05008232136601</v>
      </c>
      <c r="C31" s="39">
        <f>IF(ISERROR(B31*3.6/1000000/'E Balans VL '!Z11*100),0,B31*3.6/1000000/'E Balans VL '!Z11*100)</f>
        <v>7.0910371202008243E-2</v>
      </c>
      <c r="D31" s="239" t="s">
        <v>692</v>
      </c>
    </row>
    <row r="32" spans="1:18">
      <c r="A32" s="233" t="s">
        <v>260</v>
      </c>
      <c r="B32" s="33">
        <f>IF(ISERROR(TER_rest_ele_kWh/1000),0,TER_rest_ele_kWh/1000)</f>
        <v>4269.8676815994104</v>
      </c>
      <c r="C32" s="39">
        <f>IF(ISERROR(B32*3.6/1000000/'E Balans VL '!Z8*100),0,B32*3.6/1000000/'E Balans VL '!Z8*100)</f>
        <v>3.4796830353998609E-2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11080.973156367294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36</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33</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672.48798819301214</v>
      </c>
      <c r="O9" s="33"/>
      <c r="P9" s="33"/>
      <c r="R9" s="32"/>
    </row>
    <row r="10" spans="1:18">
      <c r="A10" s="6" t="s">
        <v>41</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40</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37</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270</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4774.1546007580264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11080.973156367294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0.21599926546435033</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52436.311892460151</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93494.236509176102</v>
      </c>
      <c r="C29" s="39">
        <f>IF(ISERROR(B29*3.6/1000000/'E Balans VL '!Z17*100),0,B29*3.6/1000000/'E Balans VL '!Z17*100)</f>
        <v>101.60792941647368</v>
      </c>
      <c r="D29" s="239" t="s">
        <v>692</v>
      </c>
    </row>
    <row r="30" spans="1:18">
      <c r="A30" s="173" t="s">
        <v>36</v>
      </c>
      <c r="B30" s="37">
        <f>IF( ISERROR(IND_metaal_ele_kWh/1000),0,IND_metaal_ele_kWh/1000)</f>
        <v>1382.31922157143</v>
      </c>
      <c r="C30" s="39">
        <f>IF(ISERROR(B30*3.6/1000000/'E Balans VL '!Z18*100),0,B30*3.6/1000000/'E Balans VL '!Z18*100)</f>
        <v>0.13601668271754941</v>
      </c>
      <c r="D30" s="239" t="s">
        <v>692</v>
      </c>
    </row>
    <row r="31" spans="1:18">
      <c r="A31" s="6" t="s">
        <v>33</v>
      </c>
      <c r="B31" s="37">
        <f>IF( ISERROR(IND_ander_ele_kWh/1000),0,IND_ander_ele_kWh/1000)</f>
        <v>2059.7923561204298</v>
      </c>
      <c r="C31" s="39">
        <f>IF(ISERROR(B31*3.6/1000000/'E Balans VL '!Z19*100),0,B31*3.6/1000000/'E Balans VL '!Z19*100)</f>
        <v>8.970231402886765E-2</v>
      </c>
      <c r="D31" s="239" t="s">
        <v>692</v>
      </c>
    </row>
    <row r="32" spans="1:18">
      <c r="A32" s="173" t="s">
        <v>41</v>
      </c>
      <c r="B32" s="37">
        <f>IF( ISERROR(IND_voed_ele_kWh/1000),0,IND_voed_ele_kWh/1000)</f>
        <v>11534.664970019599</v>
      </c>
      <c r="C32" s="39">
        <f>IF(ISERROR(B32*3.6/1000000/'E Balans VL '!Z20*100),0,B32*3.6/1000000/'E Balans VL '!Z20*100)</f>
        <v>2.1885363300958547</v>
      </c>
      <c r="D32" s="239" t="s">
        <v>692</v>
      </c>
    </row>
    <row r="33" spans="1:5">
      <c r="A33" s="173" t="s">
        <v>40</v>
      </c>
      <c r="B33" s="37">
        <f>IF( ISERROR(IND_textiel_ele_kWh/1000),0,IND_textiel_ele_kWh/1000)</f>
        <v>26.880552000742998</v>
      </c>
      <c r="C33" s="39">
        <f>IF(ISERROR(B33*3.6/1000000/'E Balans VL '!Z21*100),0,B33*3.6/1000000/'E Balans VL '!Z21*100)</f>
        <v>1.5347432010988707E-3</v>
      </c>
      <c r="D33" s="239" t="s">
        <v>692</v>
      </c>
    </row>
    <row r="34" spans="1:5">
      <c r="A34" s="173" t="s">
        <v>37</v>
      </c>
      <c r="B34" s="37">
        <f>IF( ISERROR(IND_min_ele_kWh/1000),0,IND_min_ele_kWh/1000)</f>
        <v>18977.360997401302</v>
      </c>
      <c r="C34" s="39">
        <f>IF(ISERROR(B34*3.6/1000000/'E Balans VL '!Z22*100),0,B34*3.6/1000000/'E Balans VL '!Z22*100)</f>
        <v>2.6684075209539269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90959.759349407192</v>
      </c>
      <c r="C36" s="39">
        <f>IF(ISERROR(B36*3.6/1000000/'E Balans VL '!Z24*100),0,B36*3.6/1000000/'E Balans VL '!Z24*100)</f>
        <v>2.6508361682943629</v>
      </c>
      <c r="D36" s="239" t="s">
        <v>692</v>
      </c>
    </row>
    <row r="37" spans="1:5">
      <c r="A37" s="173" t="s">
        <v>270</v>
      </c>
      <c r="B37" s="37">
        <f>IF( ISERROR(IND_rest_ele_kWh/1000),0,IND_rest_ele_kWh/1000)</f>
        <v>24326.514791791102</v>
      </c>
      <c r="C37" s="39">
        <f>IF(ISERROR(B37*3.6/1000000/'E Balans VL '!Z15*100),0,B37*3.6/1000000/'E Balans VL '!Z15*100)</f>
        <v>0.18746567558985416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1405.4562299600921</v>
      </c>
      <c r="C5" s="17">
        <f>'Eigen informatie GS &amp; warmtenet'!B60</f>
        <v>0</v>
      </c>
      <c r="D5" s="30">
        <f>IF(ISERROR(SUM(LB_lb_gas_kWh,LB_rest_gas_kWh,onbekend_gas_kWh)/1000),0,SUM(LB_lb_gas_kWh,LB_rest_gas_kWh,onbekend_gas_kWh)/1000)*0.902</f>
        <v>58562.80787579991</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497</v>
      </c>
      <c r="B6" s="17" t="s">
        <v>211</v>
      </c>
      <c r="C6" s="17">
        <f>'lokale energieproductie'!O91+'lokale energieproductie'!O60</f>
        <v>27872.196428571428</v>
      </c>
      <c r="D6" s="312">
        <f>('lokale energieproductie'!P60+'lokale energieproductie'!P91)*(-1)</f>
        <v>-55401.428571428572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1405.4562299600921</v>
      </c>
      <c r="C8" s="21">
        <f>C5+C6</f>
        <v>27872.196428571428</v>
      </c>
      <c r="D8" s="21">
        <f>MAX((D5+D6),0)</f>
        <v>3161.3793043713376</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0.21599926546435033</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303.57751331367496</v>
      </c>
      <c r="C12" s="23">
        <f ca="1">C8*C10</f>
        <v>6583.4272395012085</v>
      </c>
      <c r="D12" s="23">
        <f>D8*D10</f>
        <v>638.59861948301022</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0.19601684667036517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207.56040058941298</v>
      </c>
      <c r="C26" s="249">
        <f>B26*'GWP N2O_CH4'!B5</f>
        <v>4358.7684123776726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58.925503464574561</v>
      </c>
      <c r="C27" s="249">
        <f>B27*'GWP N2O_CH4'!B5</f>
        <v>1237.4355727560658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9">
        <f>B28*'GWP N2O_CH4'!B4</f>
        <v>1699.6763562561223</v>
      </c>
      <c r="D28" s="50"/>
    </row>
    <row r="29" spans="1:4">
      <c r="A29" s="41" t="s">
        <v>277</v>
      </c>
      <c r="B29" s="249">
        <f>B34*'ha_N2O bodem landbouw'!B4</f>
        <v>8.7026278914462711</v>
      </c>
      <c r="C29" s="249">
        <f>B29*'GWP N2O_CH4'!B4</f>
        <v>2697.814646348344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2.172959225409196E-3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1.3033692099647114E-5</v>
      </c>
      <c r="C5" s="448" t="s">
        <v>211</v>
      </c>
      <c r="D5" s="433">
        <f>SUM(D6:D11)</f>
        <v>2.046694555000809E-5</v>
      </c>
      <c r="E5" s="433">
        <f>SUM(E6:E11)</f>
        <v>6.3144841050146653E-4</v>
      </c>
      <c r="F5" s="446" t="s">
        <v>211</v>
      </c>
      <c r="G5" s="433">
        <f>SUM(G6:G11)</f>
        <v>0.15806670550389906</v>
      </c>
      <c r="H5" s="433">
        <f>SUM(H6:H11)</f>
        <v>3.0816171124546952E-2</v>
      </c>
      <c r="I5" s="448" t="s">
        <v>211</v>
      </c>
      <c r="J5" s="448" t="s">
        <v>211</v>
      </c>
      <c r="K5" s="448" t="s">
        <v>211</v>
      </c>
      <c r="L5" s="448" t="s">
        <v>211</v>
      </c>
      <c r="M5" s="433">
        <f>SUM(M6:M11)</f>
        <v>8.4498825268904225E-3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1.1218799713218846E-5</v>
      </c>
      <c r="C6" s="949"/>
      <c r="D6" s="949">
        <f>vkm_2011_GW_PW*SUMIFS(TableVerdeelsleutelVkm[CNG],TableVerdeelsleutelVkm[Voertuigtype],"Lichte voertuigen")*SUMIFS(TableECFTransport[EnergieConsumptieFactor (PJ per km)],TableECFTransport[Index],CONCATENATE($A6,"_CNG_CNG"))</f>
        <v>1.5888014573659145E-5</v>
      </c>
      <c r="E6" s="949">
        <f>vkm_2011_GW_PW*SUMIFS(TableVerdeelsleutelVkm[LPG],TableVerdeelsleutelVkm[Voertuigtype],"Lichte voertuigen")*SUMIFS(TableECFTransport[EnergieConsumptieFactor (PJ per km)],TableECFTransport[Index],CONCATENATE($A6,"_LPG_LPG"))</f>
        <v>4.9899023303380172E-4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8.9682208246313608E-2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2.4098425237521783E-2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5.0773961221679889E-3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4.443683161576531E-2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1.5832197125062554E-5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2.0052493264293998E-3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1.8148923864282686E-6</v>
      </c>
      <c r="C8" s="949"/>
      <c r="D8" s="436">
        <f>vkm_2011_NGW_PW*SUMIFS(TableVerdeelsleutelVkm[CNG],TableVerdeelsleutelVkm[Voertuigtype],"Lichte voertuigen")*SUMIFS(TableECFTransport[EnergieConsumptieFactor (PJ per km)],TableECFTransport[Index],CONCATENATE($A8,"_CNG_CNG"))</f>
        <v>4.5789309763489446E-6</v>
      </c>
      <c r="E8" s="436">
        <f>vkm_2011_NGW_PW*SUMIFS(TableVerdeelsleutelVkm[LPG],TableVerdeelsleutelVkm[Voertuigtype],"Lichte voertuigen")*SUMIFS(TableECFTransport[EnergieConsumptieFactor (PJ per km)],TableECFTransport[Index],CONCATENATE($A8,"_LPG_LPG"))</f>
        <v>1.3245817746766484E-4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2.2452945527265324E-2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6.7014097454306532E-3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1.2997878030983265E-3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1.4947201145548475E-3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5.0394446945257924E-7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6.7449275194708192E-5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3.6204700276797541</v>
      </c>
      <c r="C14" s="21"/>
      <c r="D14" s="21">
        <f t="shared" ref="D14:M14" si="0">((D5)*10^9/3600)+D12</f>
        <v>5.6852626527800254</v>
      </c>
      <c r="E14" s="21">
        <f t="shared" si="0"/>
        <v>175.40233625040736</v>
      </c>
      <c r="F14" s="21"/>
      <c r="G14" s="21">
        <f t="shared" si="0"/>
        <v>43907.41819552752</v>
      </c>
      <c r="H14" s="21">
        <f t="shared" si="0"/>
        <v>8560.047534596375</v>
      </c>
      <c r="I14" s="21"/>
      <c r="J14" s="21"/>
      <c r="K14" s="21"/>
      <c r="L14" s="21"/>
      <c r="M14" s="21">
        <f t="shared" si="0"/>
        <v>2347.1895908028955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0.21599926546435033</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0.78201886661452302</v>
      </c>
      <c r="C18" s="23"/>
      <c r="D18" s="23">
        <f t="shared" ref="D18:M18" si="1">D14*D16</f>
        <v>1.1484230558615651</v>
      </c>
      <c r="E18" s="23">
        <f t="shared" si="1"/>
        <v>39.816330328842469</v>
      </c>
      <c r="F18" s="23"/>
      <c r="G18" s="23">
        <f t="shared" si="1"/>
        <v>11723.280658205849</v>
      </c>
      <c r="H18" s="23">
        <f t="shared" si="1"/>
        <v>2131.4518361144974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9.5894797089801625E-3</v>
      </c>
      <c r="H50" s="323">
        <f t="shared" si="2"/>
        <v>0</v>
      </c>
      <c r="I50" s="323">
        <f t="shared" si="2"/>
        <v>0</v>
      </c>
      <c r="J50" s="323">
        <f t="shared" si="2"/>
        <v>0</v>
      </c>
      <c r="K50" s="323">
        <f t="shared" si="2"/>
        <v>0</v>
      </c>
      <c r="L50" s="323">
        <f t="shared" si="2"/>
        <v>0</v>
      </c>
      <c r="M50" s="323">
        <f t="shared" si="2"/>
        <v>4.2646761772382823E-4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9.5894797089801625E-3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4.2646761772382823E-4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2663.7443636056005</v>
      </c>
      <c r="H54" s="21">
        <f t="shared" si="3"/>
        <v>0</v>
      </c>
      <c r="I54" s="21">
        <f t="shared" si="3"/>
        <v>0</v>
      </c>
      <c r="J54" s="21">
        <f t="shared" si="3"/>
        <v>0</v>
      </c>
      <c r="K54" s="21">
        <f t="shared" si="3"/>
        <v>0</v>
      </c>
      <c r="L54" s="21">
        <f t="shared" si="3"/>
        <v>0</v>
      </c>
      <c r="M54" s="21">
        <f t="shared" si="3"/>
        <v>118.46322714550784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0.21599926546435033</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711.21974508269534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7981.4853178963294</v>
      </c>
      <c r="C6" s="1142"/>
      <c r="D6" s="1145"/>
      <c r="E6" s="1145"/>
      <c r="F6" s="1148"/>
      <c r="G6" s="1151"/>
      <c r="H6" s="1139"/>
      <c r="I6" s="1145"/>
      <c r="J6" s="1145"/>
      <c r="K6" s="1145"/>
      <c r="L6" s="1175"/>
      <c r="M6" s="561"/>
      <c r="N6" s="1187"/>
      <c r="O6" s="1188"/>
      <c r="Q6" s="559"/>
      <c r="R6" s="1172"/>
      <c r="S6" s="1172"/>
    </row>
    <row r="7" spans="1:19" s="549" customFormat="1">
      <c r="A7" s="562" t="s">
        <v>252</v>
      </c>
      <c r="B7" s="563">
        <f>N57</f>
        <v>19720.537500000002</v>
      </c>
      <c r="C7" s="564">
        <f>B100</f>
        <v>23059.411764705888</v>
      </c>
      <c r="D7" s="565"/>
      <c r="E7" s="565">
        <f>E100</f>
        <v>0</v>
      </c>
      <c r="F7" s="566"/>
      <c r="G7" s="567"/>
      <c r="H7" s="565">
        <f>I100</f>
        <v>0</v>
      </c>
      <c r="I7" s="565">
        <f>G100+F100</f>
        <v>0</v>
      </c>
      <c r="J7" s="565">
        <f>H100+D100+C100</f>
        <v>141.22058823529414</v>
      </c>
      <c r="K7" s="565"/>
      <c r="L7" s="568"/>
      <c r="M7" s="569">
        <f>C7*$C$11+D7*$D$11+E7*$E$11+F7*$F$11+G7*$G$11+H7*$H$11+I7*$I$11+J7*$J$11</f>
        <v>4658.0011764705896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27702.02281789633</v>
      </c>
      <c r="C9" s="580">
        <f t="shared" ref="C9:L9" si="0">SUM(C7:C8)</f>
        <v>23059.411764705888</v>
      </c>
      <c r="D9" s="580">
        <f t="shared" si="0"/>
        <v>0</v>
      </c>
      <c r="E9" s="580">
        <f t="shared" si="0"/>
        <v>0</v>
      </c>
      <c r="F9" s="580">
        <f t="shared" si="0"/>
        <v>0</v>
      </c>
      <c r="G9" s="580">
        <f t="shared" si="0"/>
        <v>0</v>
      </c>
      <c r="H9" s="580">
        <f t="shared" si="0"/>
        <v>0</v>
      </c>
      <c r="I9" s="580">
        <f t="shared" si="0"/>
        <v>0</v>
      </c>
      <c r="J9" s="580">
        <f t="shared" si="0"/>
        <v>141.22058823529414</v>
      </c>
      <c r="K9" s="580">
        <f t="shared" si="0"/>
        <v>0</v>
      </c>
      <c r="L9" s="580">
        <f t="shared" si="0"/>
        <v>0</v>
      </c>
      <c r="M9" s="581">
        <f>SUM(M4:M8)</f>
        <v>4658.0011764705896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28172.196428571428</v>
      </c>
      <c r="C16" s="596">
        <f>B101</f>
        <v>32942.016806722691</v>
      </c>
      <c r="D16" s="597"/>
      <c r="E16" s="597">
        <f>E101</f>
        <v>0</v>
      </c>
      <c r="F16" s="598"/>
      <c r="G16" s="599"/>
      <c r="H16" s="596">
        <f>I101</f>
        <v>0</v>
      </c>
      <c r="I16" s="597">
        <f>G101+F101</f>
        <v>0</v>
      </c>
      <c r="J16" s="597">
        <f>H101+D101+C101</f>
        <v>201.74369747899161</v>
      </c>
      <c r="K16" s="597"/>
      <c r="L16" s="600"/>
      <c r="M16" s="601">
        <f>C16*$C$21+E16*$E$21+H16*$H$21+I16*$I$21+J16*$J$21+D16*$D$21+F16*$F$21+G16*$G$21+K16*$K$21+L16*$L$21</f>
        <v>6654.2873949579844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28172.196428571428</v>
      </c>
      <c r="C19" s="579">
        <f>SUM(C16:C18)</f>
        <v>32942.016806722691</v>
      </c>
      <c r="D19" s="579">
        <f t="shared" ref="D19:M19" si="1">SUM(D16:D18)</f>
        <v>0</v>
      </c>
      <c r="E19" s="579">
        <f t="shared" si="1"/>
        <v>0</v>
      </c>
      <c r="F19" s="579">
        <f t="shared" si="1"/>
        <v>0</v>
      </c>
      <c r="G19" s="579">
        <f t="shared" si="1"/>
        <v>0</v>
      </c>
      <c r="H19" s="579">
        <f t="shared" si="1"/>
        <v>0</v>
      </c>
      <c r="I19" s="579">
        <f t="shared" si="1"/>
        <v>0</v>
      </c>
      <c r="J19" s="579">
        <f t="shared" si="1"/>
        <v>201.74369747899161</v>
      </c>
      <c r="K19" s="579">
        <f t="shared" si="1"/>
        <v>0</v>
      </c>
      <c r="L19" s="579">
        <f t="shared" si="1"/>
        <v>0</v>
      </c>
      <c r="M19" s="606">
        <f t="shared" si="1"/>
        <v>6654.2873949579844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13004</v>
      </c>
      <c r="C27" s="839">
        <v>2340</v>
      </c>
      <c r="D27" s="658" t="s">
        <v>840</v>
      </c>
      <c r="E27" s="657" t="s">
        <v>841</v>
      </c>
      <c r="F27" s="657" t="s">
        <v>842</v>
      </c>
      <c r="G27" s="657" t="s">
        <v>843</v>
      </c>
      <c r="H27" s="657" t="s">
        <v>844</v>
      </c>
      <c r="I27" s="657" t="s">
        <v>841</v>
      </c>
      <c r="J27" s="838">
        <v>40149</v>
      </c>
      <c r="K27" s="838">
        <v>40149</v>
      </c>
      <c r="L27" s="657" t="s">
        <v>845</v>
      </c>
      <c r="M27" s="657">
        <v>4309</v>
      </c>
      <c r="N27" s="657">
        <v>19390.5</v>
      </c>
      <c r="O27" s="657">
        <v>27700.714285714286</v>
      </c>
      <c r="P27" s="657">
        <v>55401.428571428572</v>
      </c>
      <c r="Q27" s="657">
        <v>0</v>
      </c>
      <c r="R27" s="657">
        <v>0</v>
      </c>
      <c r="S27" s="657">
        <v>0</v>
      </c>
      <c r="T27" s="657">
        <v>0</v>
      </c>
      <c r="U27" s="657">
        <v>0</v>
      </c>
      <c r="V27" s="657">
        <v>0</v>
      </c>
      <c r="W27" s="657">
        <v>0</v>
      </c>
      <c r="X27" s="657">
        <v>10</v>
      </c>
      <c r="Y27" s="657" t="s">
        <v>112</v>
      </c>
      <c r="Z27" s="659" t="s">
        <v>112</v>
      </c>
    </row>
    <row r="28" spans="1:26" s="611" customFormat="1" ht="25.5">
      <c r="A28" s="610"/>
      <c r="B28" s="839">
        <v>13004</v>
      </c>
      <c r="C28" s="839">
        <v>2340</v>
      </c>
      <c r="D28" s="658" t="s">
        <v>846</v>
      </c>
      <c r="E28" s="657" t="s">
        <v>847</v>
      </c>
      <c r="F28" s="657" t="s">
        <v>848</v>
      </c>
      <c r="G28" s="657" t="s">
        <v>843</v>
      </c>
      <c r="H28" s="657" t="s">
        <v>844</v>
      </c>
      <c r="I28" s="657" t="s">
        <v>849</v>
      </c>
      <c r="J28" s="838">
        <v>41165</v>
      </c>
      <c r="K28" s="838">
        <v>41275</v>
      </c>
      <c r="L28" s="657" t="s">
        <v>845</v>
      </c>
      <c r="M28" s="657">
        <v>9.6999999999999993</v>
      </c>
      <c r="N28" s="657">
        <v>40.012499999999996</v>
      </c>
      <c r="O28" s="657">
        <v>57.160714285714278</v>
      </c>
      <c r="P28" s="657">
        <v>0</v>
      </c>
      <c r="Q28" s="657">
        <v>114.32142857142857</v>
      </c>
      <c r="R28" s="657">
        <v>0</v>
      </c>
      <c r="S28" s="657">
        <v>0</v>
      </c>
      <c r="T28" s="657">
        <v>0</v>
      </c>
      <c r="U28" s="657">
        <v>0</v>
      </c>
      <c r="V28" s="657">
        <v>0</v>
      </c>
      <c r="W28" s="657">
        <v>0</v>
      </c>
      <c r="X28" s="657">
        <v>10</v>
      </c>
      <c r="Y28" s="657" t="s">
        <v>112</v>
      </c>
      <c r="Z28" s="659" t="s">
        <v>112</v>
      </c>
    </row>
    <row r="29" spans="1:26" s="611" customFormat="1" ht="25.5">
      <c r="A29" s="610"/>
      <c r="B29" s="839">
        <v>13004</v>
      </c>
      <c r="C29" s="839">
        <v>2340</v>
      </c>
      <c r="D29" s="658" t="s">
        <v>846</v>
      </c>
      <c r="E29" s="657" t="s">
        <v>847</v>
      </c>
      <c r="F29" s="657" t="s">
        <v>850</v>
      </c>
      <c r="G29" s="657" t="s">
        <v>843</v>
      </c>
      <c r="H29" s="657" t="s">
        <v>844</v>
      </c>
      <c r="I29" s="657" t="s">
        <v>851</v>
      </c>
      <c r="J29" s="838">
        <v>41236</v>
      </c>
      <c r="K29" s="838">
        <v>41275</v>
      </c>
      <c r="L29" s="657" t="s">
        <v>845</v>
      </c>
      <c r="M29" s="657">
        <v>19.399999999999999</v>
      </c>
      <c r="N29" s="657">
        <v>80.024999999999991</v>
      </c>
      <c r="O29" s="657">
        <v>114.32142857142856</v>
      </c>
      <c r="P29" s="657">
        <v>0</v>
      </c>
      <c r="Q29" s="657">
        <v>228.64285714285714</v>
      </c>
      <c r="R29" s="657">
        <v>0</v>
      </c>
      <c r="S29" s="657">
        <v>0</v>
      </c>
      <c r="T29" s="657">
        <v>0</v>
      </c>
      <c r="U29" s="657">
        <v>0</v>
      </c>
      <c r="V29" s="657">
        <v>0</v>
      </c>
      <c r="W29" s="657">
        <v>0</v>
      </c>
      <c r="X29" s="657">
        <v>10</v>
      </c>
      <c r="Y29" s="657" t="s">
        <v>112</v>
      </c>
      <c r="Z29" s="659" t="s">
        <v>112</v>
      </c>
    </row>
    <row r="30" spans="1:26" s="611" customFormat="1" ht="63.75">
      <c r="A30" s="610"/>
      <c r="B30" s="839">
        <v>13004</v>
      </c>
      <c r="C30" s="839">
        <v>2340</v>
      </c>
      <c r="D30" s="658" t="s">
        <v>852</v>
      </c>
      <c r="E30" s="657" t="s">
        <v>853</v>
      </c>
      <c r="F30" s="657" t="s">
        <v>854</v>
      </c>
      <c r="G30" s="657" t="s">
        <v>843</v>
      </c>
      <c r="H30" s="657" t="s">
        <v>844</v>
      </c>
      <c r="I30" s="657" t="s">
        <v>853</v>
      </c>
      <c r="J30" s="838">
        <v>41397</v>
      </c>
      <c r="K30" s="838">
        <v>41375</v>
      </c>
      <c r="L30" s="657" t="s">
        <v>845</v>
      </c>
      <c r="M30" s="657">
        <v>70</v>
      </c>
      <c r="N30" s="657">
        <v>210.00000000000003</v>
      </c>
      <c r="O30" s="657">
        <v>300.00000000000006</v>
      </c>
      <c r="P30" s="657">
        <v>600.00000000000011</v>
      </c>
      <c r="Q30" s="657">
        <v>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4408.0999999999995</v>
      </c>
      <c r="N57" s="615">
        <f>SUM(N27:N56)</f>
        <v>19720.537500000002</v>
      </c>
      <c r="O57" s="615">
        <f t="shared" ref="O57:W57" si="2">SUM(O27:O56)</f>
        <v>28172.196428571428</v>
      </c>
      <c r="P57" s="615">
        <f t="shared" si="2"/>
        <v>56001.428571428572</v>
      </c>
      <c r="Q57" s="615">
        <f t="shared" si="2"/>
        <v>342.96428571428572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70</v>
      </c>
      <c r="N59" s="615">
        <f ca="1">SUMIF($Z$27:AB56,"tertiair",N27:N56)</f>
        <v>210.00000000000003</v>
      </c>
      <c r="O59" s="615">
        <f ca="1">SUMIF($Z$27:AC56,"tertiair",O27:O56)</f>
        <v>300.00000000000006</v>
      </c>
      <c r="P59" s="615">
        <f ca="1">SUMIF($Z$27:AD56,"tertiair",P27:P56)</f>
        <v>600.00000000000011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4338.0999999999995</v>
      </c>
      <c r="N60" s="620">
        <f t="shared" ref="N60:W60" si="4">SUMIF($Z$27:$Z$56,"landbouw",N27:N56)</f>
        <v>19510.537500000002</v>
      </c>
      <c r="O60" s="620">
        <f t="shared" si="4"/>
        <v>27872.196428571428</v>
      </c>
      <c r="P60" s="620">
        <f t="shared" si="4"/>
        <v>55401.428571428572</v>
      </c>
      <c r="Q60" s="620">
        <f t="shared" si="4"/>
        <v>342.96428571428572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0.41176470588235303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23059.411764705888</v>
      </c>
      <c r="C100" s="649">
        <f t="shared" si="9"/>
        <v>141.22058823529414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32942.016806722691</v>
      </c>
      <c r="C101" s="652">
        <f t="shared" ref="C101:H101" si="10">$B$97*Q57</f>
        <v>201.74369747899161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2018-06-27T09:29:15Z</dcterms:modified>
</cp:coreProperties>
</file>