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D6" i="17" s="1"/>
  <c r="O60" i="18"/>
  <c r="N60"/>
  <c r="M60"/>
  <c r="W59"/>
  <c r="V59"/>
  <c r="U59"/>
  <c r="T59"/>
  <c r="S59"/>
  <c r="F13" i="15" s="1"/>
  <c r="R59" i="18"/>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B8" i="9"/>
  <c r="C16" i="15"/>
  <c r="D10" i="14" s="1"/>
  <c r="I14" i="15"/>
  <c r="I16" s="1"/>
  <c r="J10" i="14" s="1"/>
  <c r="J15" s="1"/>
  <c r="B13" i="16"/>
  <c r="C35"/>
  <c r="E9" i="14"/>
  <c r="D14" i="15"/>
  <c r="P22" i="16"/>
  <c r="Q39" i="14" s="1"/>
  <c r="P18" i="16"/>
  <c r="L16"/>
  <c r="L18" s="1"/>
  <c r="N6" i="17"/>
  <c r="N5" s="1"/>
  <c r="K22" i="14"/>
  <c r="J8" i="17"/>
  <c r="J12" s="1"/>
  <c r="K48"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E22"/>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P15"/>
  <c r="P23" s="1"/>
  <c r="E7" i="48"/>
  <c r="E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Q7" i="48"/>
  <c r="E4"/>
  <c r="E21" s="1"/>
  <c r="F11" i="14"/>
  <c r="J4" i="48"/>
  <c r="J12" i="13"/>
  <c r="K37" i="14" s="1"/>
  <c r="K11"/>
  <c r="N5" i="48"/>
  <c r="L20" i="15"/>
  <c r="O31" i="48" l="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Q4" i="48"/>
  <c r="N22"/>
  <c r="R11" i="14"/>
  <c r="J21" i="48"/>
  <c r="R10" i="14"/>
  <c r="N22" i="16" l="1"/>
  <c r="O39" i="14" s="1"/>
  <c r="O41" s="1"/>
  <c r="O53" s="1"/>
  <c r="F8" i="48"/>
  <c r="Q8" s="1"/>
  <c r="Q14" s="1"/>
  <c r="N25"/>
  <c r="N31" s="1"/>
  <c r="N14"/>
  <c r="E25"/>
  <c r="E31" s="1"/>
  <c r="E14"/>
  <c r="H55" i="14"/>
  <c r="E55"/>
  <c r="C78"/>
  <c r="C81" s="1"/>
  <c r="J14" i="48"/>
  <c r="J31"/>
  <c r="R19" i="14"/>
  <c r="R20" s="1"/>
  <c r="H14" i="48"/>
  <c r="G31"/>
  <c r="H26"/>
  <c r="H31" s="1"/>
  <c r="F55" i="14"/>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<sst xmlns="http://schemas.openxmlformats.org/spreadsheetml/2006/main" count="1961" uniqueCount="840">
  <si>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</si>
  <si>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</si>
  <si>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</si>
  <si>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</si>
  <si>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</si>
  <si>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</si>
  <si>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</si>
  <si>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</si>
  <si>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</si>
  <si>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</si>
  <si>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</si>
  <si>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</si>
  <si>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</si>
  <si>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</si>
  <si>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</si>
  <si>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</si>
  <si>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</si>
  <si>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</si>
  <si>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</si>
  <si>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</si>
  <si>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</si>
  <si>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</si>
  <si>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</si>
  <si>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</si>
  <si>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</si>
  <si>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</si>
  <si>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</si>
  <si>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</si>
  <si>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</si>
  <si>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</si>
  <si>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</si>
  <si>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</si>
  <si>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</si>
  <si>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</si>
  <si>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</si>
  <si>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</si>
  <si>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</si>
  <si>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</si>
  <si>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</si>
  <si>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</si>
  <si>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</si>
  <si>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</si>
  <si>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</si>
  <si>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</si>
  <si>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</si>
  <si>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</si>
  <si>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</si>
  <si>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</si>
  <si>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</si>
  <si>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</si>
  <si>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</si>
  <si>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</si>
  <si>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</si>
  <si>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</si>
  <si>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</si>
  <si>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</si>
  <si>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</si>
  <si>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</si>
  <si>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</si>
  <si>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</si>
  <si>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</si>
  <si>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</si>
  <si>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</si>
  <si>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</si>
  <si>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</si>
  <si>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</si>
  <si>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</si>
  <si>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</si>
  <si>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</si>
  <si>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</si>
  <si>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</si>
  <si>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</si>
  <si>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</si>
  <si>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</si>
  <si>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</si>
  <si>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</si>
  <si>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</si>
  <si>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</si>
  <si>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</si>
  <si>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</si>
  <si>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</si>
  <si>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</si>
  <si>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</si>
  <si>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</si>
  <si>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</si>
  <si>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</si>
  <si>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</si>
  <si>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</si>
  <si>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</si>
  <si>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</si>
  <si>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</si>
  <si>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</si>
  <si>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</si>
  <si>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</si>
  <si>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</si>
  <si>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</si>
  <si>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</si>
  <si>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</si>
  <si>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</si>
  <si>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</si>
  <si>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</si>
  <si>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</si>
  <si>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</si>
  <si>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</si>
  <si>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</si>
  <si>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</si>
  <si>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</si>
  <si>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</si>
  <si>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</si>
  <si>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</si>
  <si>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</si>
  <si>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</si>
  <si>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</si>
  <si>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</si>
  <si>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</si>
  <si>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</si>
  <si>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</si>
  <si>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</si>
  <si>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</si>
  <si>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</si>
  <si>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</si>
  <si>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</si>
  <si>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</si>
  <si>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</si>
  <si>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</si>
  <si>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</si>
  <si>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</si>
  <si>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</si>
  <si>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</si>
  <si>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</si>
  <si>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</si>
  <si>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</si>
  <si>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</si>
  <si>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</si>
  <si>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</si>
  <si>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</si>
  <si>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</si>
  <si>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</si>
  <si>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</si>
  <si>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</si>
  <si>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</si>
  <si>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</si>
  <si>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</si>
  <si>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</si>
  <si>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</si>
  <si>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</si>
  <si>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</si>
  <si>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</si>
  <si>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</si>
  <si>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</si>
  <si>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</si>
  <si>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</si>
  <si>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</si>
  <si>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</si>
  <si>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</si>
  <si>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</si>
  <si>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</si>
  <si>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</si>
  <si>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</si>
  <si>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</si>
  <si>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</si>
  <si>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</si>
  <si>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</si>
  <si>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</si>
  <si>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</si>
  <si>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</si>
  <si>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</si>
  <si>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</si>
  <si>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</si>
  <si>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</si>
  <si>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</si>
  <si>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</si>
  <si>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</si>
  <si>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</si>
  <si>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</si>
  <si>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</si>
  <si>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</si>
  <si>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</si>
  <si>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</si>
  <si>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</si>
  <si>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</si>
  <si>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</si>
  <si>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</si>
  <si>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</si>
  <si>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</si>
  <si>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</si>
  <si>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</si>
  <si>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</si>
  <si>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</si>
  <si>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</si>
  <si>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</si>
  <si>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</si>
  <si>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</si>
  <si>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</si>
  <si>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</si>
  <si>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</si>
  <si>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</si>
  <si>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</si>
  <si>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</si>
  <si>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</si>
  <si>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</si>
  <si>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</si>
  <si>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</si>
  <si>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</si>
  <si>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</si>
  <si>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</si>
  <si>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</si>
  <si>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</si>
  <si>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</si>
  <si>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</si>
  <si>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</si>
  <si>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</si>
  <si>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</si>
  <si>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</si>
  <si>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</si>
  <si>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</si>
  <si>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</si>
  <si>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</si>
  <si>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</si>
  <si>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</si>
  <si>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</si>
  <si>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</si>
  <si>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</si>
  <si>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</si>
  <si>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</si>
  <si>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</si>
  <si>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</si>
  <si>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</si>
  <si>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</si>
  <si>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</si>
  <si>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</si>
  <si>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</si>
  <si>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</si>
  <si>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</si>
  <si>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</si>
  <si>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</si>
  <si>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</si>
  <si>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</si>
  <si>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</si>
  <si>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</si>
  <si>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</si>
  <si>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</si>
  <si>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</si>
  <si>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</si>
  <si>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</si>
  <si>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</si>
  <si>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</si>
  <si>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</si>
  <si>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</si>
  <si>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</si>
  <si>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</si>
  <si>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</si>
  <si>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</si>
  <si>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</si>
  <si>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</si>
  <si>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</si>
  <si>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</si>
  <si>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</si>
  <si>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</si>
  <si>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</si>
  <si>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</si>
  <si>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</si>
  <si>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</si>
  <si>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</si>
  <si>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</si>
  <si>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</si>
  <si>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</si>
  <si>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</si>
  <si>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</si>
  <si>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</si>
  <si>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</si>
  <si>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</si>
  <si>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</si>
  <si>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</si>
  <si>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</si>
  <si>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</si>
  <si>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</si>
  <si>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</si>
  <si>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</si>
  <si>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</si>
  <si>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</si>
  <si>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</si>
  <si>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</si>
  <si>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</si>
  <si>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</si>
  <si>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</si>
  <si>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</si>
  <si>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</si>
  <si>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</si>
  <si>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</si>
  <si>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</si>
  <si>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</si>
  <si>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</si>
  <si>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</si>
  <si>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</si>
  <si>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</si>
  <si>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</si>
  <si>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</si>
  <si>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</si>
  <si>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</si>
  <si>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</si>
  <si>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</si>
  <si>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</si>
  <si>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</si>
  <si>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</si>
  <si>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</si>
  <si>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</si>
  <si>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</si>
  <si>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</si>
  <si>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</si>
  <si>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</si>
  <si>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</si>
  <si>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</si>
  <si>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</si>
  <si>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</si>
  <si>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</si>
  <si>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</si>
  <si>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</si>
  <si>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</si>
  <si>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</si>
  <si>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</si>
  <si>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</si>
  <si>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</si>
  <si>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</si>
  <si>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</si>
  <si>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</si>
  <si>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</si>
  <si>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</si>
  <si>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</si>
  <si>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</si>
  <si>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</si>
  <si>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</si>
  <si>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</si>
  <si>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</si>
  <si>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</si>
  <si>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</si>
  <si>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</si>
  <si>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</si>
  <si>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</si>
  <si>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</si>
  <si>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</si>
  <si>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</si>
  <si>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</si>
  <si>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</si>
  <si>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</si>
  <si>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</si>
  <si>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</si>
  <si>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</si>
  <si>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</si>
  <si>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</si>
  <si>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</si>
  <si>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</si>
  <si>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</si>
  <si>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</si>
  <si>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</si>
  <si>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</si>
  <si>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</si>
  <si>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</si>
  <si>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</si>
  <si>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</si>
  <si>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</si>
  <si>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</si>
  <si>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</si>
  <si>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</si>
  <si>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</si>
  <si>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</si>
  <si>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</si>
  <si>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</si>
  <si>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</si>
  <si>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</si>
  <si>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</si>
  <si>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</si>
  <si>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</si>
  <si>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</si>
  <si>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</si>
  <si>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</si>
  <si>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</si>
  <si>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</si>
  <si>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</si>
  <si>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</si>
  <si>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</si>
  <si>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</si>
  <si>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</si>
  <si>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</si>
  <si>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</si>
  <si>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</si>
  <si>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</si>
  <si>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</si>
  <si>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</si>
  <si>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</si>
  <si>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</si>
  <si>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</si>
  <si>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</si>
  <si>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</si>
  <si>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</si>
  <si>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</si>
  <si>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</si>
  <si>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</si>
  <si>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</si>
  <si>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</si>
  <si>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</si>
  <si>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</si>
  <si>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</si>
  <si>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</si>
  <si>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</si>
  <si>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</si>
  <si>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</si>
  <si>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</si>
  <si>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</si>
  <si>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</si>
  <si>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</si>
  <si>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</si>
  <si>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</si>
  <si>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</si>
  <si>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</si>
  <si>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</si>
  <si>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</si>
  <si>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</si>
  <si>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</si>
  <si>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</si>
  <si>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</si>
  <si>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</si>
  <si>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</si>
  <si>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</si>
  <si>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</si>
  <si>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</si>
  <si>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</si>
  <si>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</si>
  <si>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</si>
  <si>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</si>
  <si>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</si>
  <si>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</si>
  <si>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</si>
  <si>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</si>
  <si>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</si>
  <si>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</si>
  <si>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</si>
  <si>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</si>
  <si>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</si>
  <si>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</si>
  <si>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</si>
  <si>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</si>
  <si>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</si>
  <si>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</si>
  <si>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</si>
  <si>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</si>
  <si>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</si>
  <si>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</si>
  <si>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</si>
  <si>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</si>
  <si>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</si>
  <si>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</si>
  <si>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</si>
  <si>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</si>
  <si>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</si>
  <si>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</si>
  <si>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</si>
  <si>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</si>
  <si>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</si>
  <si>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</si>
  <si>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</si>
  <si>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</si>
  <si>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</si>
  <si>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</si>
  <si>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</si>
  <si>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</si>
  <si>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</si>
  <si>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</si>
  <si>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</si>
  <si>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</si>
  <si>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</si>
  <si>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</si>
  <si>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</si>
  <si>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</si>
  <si>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</si>
  <si>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</si>
  <si>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</si>
  <si>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</si>
  <si>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</si>
  <si>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</si>
  <si>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</si>
  <si>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</si>
  <si>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</si>
  <si>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</si>
  <si>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</si>
  <si>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</si>
  <si>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</si>
  <si>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</si>
  <si>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</si>
  <si>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</si>
  <si>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</si>
  <si>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</si>
  <si>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</si>
  <si>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</si>
  <si>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</si>
  <si>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</si>
  <si>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</si>
  <si>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</si>
  <si>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</si>
  <si>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</si>
  <si>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</si>
  <si>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</si>
  <si>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</si>
  <si>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</si>
  <si>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</si>
  <si>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</si>
  <si>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</si>
  <si>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</si>
  <si>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</si>
  <si>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</si>
  <si>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</si>
  <si>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</si>
  <si>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</si>
  <si>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</si>
  <si>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</si>
  <si>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</si>
  <si>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</si>
  <si>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</si>
  <si>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</si>
  <si>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</si>
  <si>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</si>
  <si>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</si>
  <si>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</si>
  <si>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</si>
  <si>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</si>
  <si>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</si>
  <si>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</si>
  <si>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</si>
  <si>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</si>
  <si>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</si>
  <si>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</si>
  <si>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</si>
  <si>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</si>
  <si>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</si>
  <si>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</si>
  <si>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</si>
  <si>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</si>
  <si>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</si>
  <si>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</si>
  <si>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</si>
  <si>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</si>
  <si>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</si>
  <si>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</si>
  <si>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</si>
  <si>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</si>
  <si>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</si>
  <si>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</si>
  <si>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</si>
  <si>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</si>
  <si>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</si>
  <si>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</si>
  <si>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</si>
  <si>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</si>
  <si>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</si>
  <si>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</si>
  <si>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</si>
  <si>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</si>
  <si>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</si>
  <si>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</si>
  <si>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</si>
  <si>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</si>
  <si>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</si>
  <si>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</si>
  <si>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</si>
  <si>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</si>
  <si>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</si>
  <si>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</si>
  <si>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</si>
  <si>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</si>
  <si>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</si>
  <si>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</si>
  <si>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</si>
  <si>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</si>
  <si>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</si>
  <si>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</si>
  <si>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</si>
  <si>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</si>
  <si>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</si>
  <si>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</si>
  <si>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</si>
  <si>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</si>
  <si>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</si>
  <si>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</si>
  <si>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</si>
  <si>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</si>
  <si>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</si>
  <si>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</si>
  <si>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</si>
  <si>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</si>
  <si>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</si>
  <si>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</si>
  <si>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</si>
  <si>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</si>
  <si>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</si>
  <si>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</si>
  <si>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</si>
  <si>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</si>
  <si>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</si>
  <si>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</si>
  <si>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</si>
  <si>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</si>
  <si>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</si>
  <si>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</si>
  <si>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</si>
  <si>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</si>
  <si>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</si>
  <si>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</si>
  <si>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</si>
  <si>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</si>
  <si>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</si>
  <si>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</si>
  <si>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</si>
  <si>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</si>
  <si>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</si>
  <si>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</si>
  <si>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</si>
  <si>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</si>
  <si>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</si>
  <si>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</si>
  <si>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</si>
  <si>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</si>
  <si>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</si>
  <si>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</si>
  <si>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</si>
  <si>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</si>
  <si>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</si>
  <si>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</si>
  <si>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</si>
  <si>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</si>
  <si>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</si>
  <si>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</si>
  <si>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</si>
  <si>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</si>
  <si>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</si>
  <si>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</si>
  <si>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</si>
  <si>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</si>
  <si>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</si>
  <si>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</si>
  <si>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</si>
  <si>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</si>
  <si>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</si>
  <si>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</si>
  <si>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</si>
  <si>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</si>
  <si>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</si>
  <si>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</si>
  <si>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</si>
  <si>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</si>
  <si>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</si>
  <si>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</si>
  <si>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</si>
  <si>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</si>
  <si>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</si>
  <si>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</si>
  <si>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</si>
  <si>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</si>
  <si>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</si>
  <si>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</si>
  <si>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</si>
  <si>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</si>
  <si>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</si>
  <si>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</si>
  <si>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</si>
  <si>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</si>
  <si>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</si>
  <si>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</si>
  <si>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</si>
  <si>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</si>
  <si>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</si>
  <si>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</si>
  <si>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</si>
  <si>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</si>
  <si>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</si>
  <si>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</si>
  <si>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</si>
  <si>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</si>
  <si>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</si>
  <si>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</si>
  <si>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</si>
  <si>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</si>
  <si>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</si>
  <si>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</si>
  <si>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</si>
  <si>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</si>
  <si>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</si>
  <si>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</si>
  <si>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</si>
  <si>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</si>
  <si>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</si>
  <si>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</si>
  <si>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</si>
  <si>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</si>
  <si>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</si>
  <si>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</si>
  <si>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</si>
  <si>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</si>
  <si>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</si>
  <si>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</si>
  <si>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</si>
  <si>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</si>
  <si>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</si>
  <si>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</si>
  <si>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</si>
  <si>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</si>
  <si>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</si>
  <si>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</si>
  <si>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</si>
  <si>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</si>
  <si>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</si>
  <si>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</si>
  <si>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</si>
  <si>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</si>
  <si>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</si>
  <si>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</si>
  <si>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</si>
  <si>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</si>
  <si>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</si>
  <si>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</si>
  <si>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</si>
  <si>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</si>
  <si>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</si>
  <si>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</si>
  <si>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</si>
  <si>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</si>
  <si>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</si>
  <si>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</si>
  <si>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</si>
  <si>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</si>
  <si>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</si>
  <si>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</si>
  <si>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</si>
  <si>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</si>
  <si>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</si>
  <si>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</si>
  <si>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</si>
  <si>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</si>
  <si>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</si>
  <si>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</si>
  <si>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</si>
  <si>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</si>
  <si>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</si>
  <si>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</si>
  <si>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</si>
  <si>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</si>
  <si>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</si>
  <si>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</si>
  <si>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</si>
  <si>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</si>
  <si>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</si>
  <si>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</si>
  <si>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</si>
  <si>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</si>
  <si>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</si>
  <si>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</si>
  <si>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</si>
  <si>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</si>
  <si>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</si>
  <si>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</si>
  <si>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</si>
  <si>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</si>
  <si>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</si>
  <si>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</si>
  <si>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</si>
  <si>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</si>
  <si>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</si>
  <si>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</si>
  <si>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</si>
  <si>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</si>
  <si>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</si>
  <si>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</si>
  <si>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</si>
  <si>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</si>
  <si>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</si>
  <si>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</si>
  <si>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</si>
  <si>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</si>
  <si>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</si>
  <si>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</si>
  <si>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</si>
  <si>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</si>
  <si>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</si>
  <si>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</si>
  <si>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</si>
  <si>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</si>
  <si>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</si>
  <si>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</si>
  <si>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</si>
  <si>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</si>
  <si>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</si>
  <si>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</si>
  <si>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</si>
  <si>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</si>
  <si>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</si>
  <si>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</si>
  <si>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</si>
  <si>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</si>
  <si>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</si>
  <si>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</si>
  <si>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</si>
  <si>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</si>
  <si>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</si>
  <si>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</si>
  <si>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</si>
  <si>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</si>
  <si>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</si>
  <si>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</si>
  <si>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</si>
  <si>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</si>
  <si>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</si>
  <si>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</si>
  <si>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</si>
  <si>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</si>
  <si>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</si>
  <si>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</si>
  <si>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</si>
  <si>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</si>
  <si>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</si>
  <si>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</si>
  <si>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</si>
  <si>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</si>
  <si>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</si>
  <si>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</si>
  <si>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</si>
  <si>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</si>
  <si>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</si>
  <si>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</si>
  <si>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</si>
  <si>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</si>
  <si>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</si>
  <si>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</si>
  <si>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</si>
  <si>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</si>
  <si>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12040</t>
  </si>
  <si>
    <t>WILLEBROEK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</si>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</sst>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191528.84610673846</c:v>
                </c:pt>
                <c:pt idx="1">
                  <c:v>123046.07466468817</c:v>
                </c:pt>
                <c:pt idx="2">
                  <c:v>1642.248</c:v>
                </c:pt>
                <c:pt idx="3">
                  <c:v>7598.2081250729852</c:v>
                </c:pt>
                <c:pt idx="4">
                  <c:v>298468.96317346999</c:v>
                </c:pt>
                <c:pt idx="5">
                  <c:v>299533.61745220242</c:v>
                </c:pt>
                <c:pt idx="6">
                  <c:v>2232.6484513836863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31744"/>
        <c:axId val="182433280"/>
      </c:barChart>
      <c:catAx>
        <c:axId val="182431744"/>
        <c:scaling>
          <c:orientation val="minMax"/>
        </c:scaling>
        <c:axPos val="b"/>
        <c:numFmt formatCode="General" sourceLinked="0"/>
        <c:tickLblPos val="nextTo"/>
        <c:crossAx val="182433280"/>
        <c:crosses val="autoZero"/>
        <c:auto val="1"/>
        <c:lblAlgn val="ctr"/>
        <c:lblOffset val="100"/>
      </c:catAx>
      <c:valAx>
        <c:axId val="182433280"/>
        <c:scaling>
          <c:orientation val="minMax"/>
        </c:scaling>
        <c:axPos val="l"/>
        <c:majorGridlines/>
        <c:numFmt formatCode="#,##0" sourceLinked="1"/>
        <c:tickLblPos val="nextTo"/>
        <c:crossAx val="18243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191528.84610673846</c:v>
                </c:pt>
                <c:pt idx="1">
                  <c:v>123046.07466468817</c:v>
                </c:pt>
                <c:pt idx="2">
                  <c:v>1642.248</c:v>
                </c:pt>
                <c:pt idx="3">
                  <c:v>7598.2081250729852</c:v>
                </c:pt>
                <c:pt idx="4">
                  <c:v>298468.96317346999</c:v>
                </c:pt>
                <c:pt idx="5">
                  <c:v>299533.61745220242</c:v>
                </c:pt>
                <c:pt idx="6">
                  <c:v>2232.6484513836863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34812.154722423307</c:v>
                </c:pt>
                <c:pt idx="1">
                  <c:v>24249.057615881142</c:v>
                </c:pt>
                <c:pt idx="2">
                  <c:v>315.1618148044106</c:v>
                </c:pt>
                <c:pt idx="3">
                  <c:v>1603.6147091290441</c:v>
                </c:pt>
                <c:pt idx="4">
                  <c:v>58036.464550643293</c:v>
                </c:pt>
                <c:pt idx="5">
                  <c:v>75896.606023464497</c:v>
                </c:pt>
                <c:pt idx="6">
                  <c:v>570.73514849540607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1776"/>
        <c:axId val="182501760"/>
      </c:barChart>
      <c:catAx>
        <c:axId val="182491776"/>
        <c:scaling>
          <c:orientation val="minMax"/>
        </c:scaling>
        <c:axPos val="b"/>
        <c:numFmt formatCode="General" sourceLinked="0"/>
        <c:tickLblPos val="nextTo"/>
        <c:crossAx val="182501760"/>
        <c:crosses val="autoZero"/>
        <c:auto val="1"/>
        <c:lblAlgn val="ctr"/>
        <c:lblOffset val="100"/>
      </c:catAx>
      <c:valAx>
        <c:axId val="182501760"/>
        <c:scaling>
          <c:orientation val="minMax"/>
        </c:scaling>
        <c:axPos val="l"/>
        <c:majorGridlines/>
        <c:numFmt formatCode="#,##0" sourceLinked="1"/>
        <c:tickLblPos val="nextTo"/>
        <c:crossAx val="182491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34812.154722423307</c:v>
                </c:pt>
                <c:pt idx="1">
                  <c:v>24249.057615881142</c:v>
                </c:pt>
                <c:pt idx="2">
                  <c:v>315.1618148044106</c:v>
                </c:pt>
                <c:pt idx="3">
                  <c:v>1603.6147091290441</c:v>
                </c:pt>
                <c:pt idx="4">
                  <c:v>58036.464550643293</c:v>
                </c:pt>
                <c:pt idx="5">
                  <c:v>75896.606023464497</c:v>
                </c:pt>
                <c:pt idx="6">
                  <c:v>570.73514849540607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12040</v>
      </c>
      <c r="B6" s="398"/>
      <c r="C6" s="399"/>
    </row>
    <row r="7" spans="1:7" s="396" customFormat="1" ht="15.75" customHeight="1">
      <c r="A7" s="400" t="str">
        <f>txtMunicipality</f>
        <v>WILLEBROEK</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57112.306809351699</v>
      </c>
      <c r="D10" s="704">
        <f ca="1">tertiair!C16</f>
        <v>0</v>
      </c>
      <c r="E10" s="704">
        <f ca="1">tertiair!D16</f>
        <v>53261.385733458163</v>
      </c>
      <c r="F10" s="704">
        <f>tertiair!E16</f>
        <v>570.38714689751248</v>
      </c>
      <c r="G10" s="704">
        <f ca="1">tertiair!F16</f>
        <v>10170.742865580853</v>
      </c>
      <c r="H10" s="704">
        <f>tertiair!G16</f>
        <v>0</v>
      </c>
      <c r="I10" s="704">
        <f>tertiair!H16</f>
        <v>0</v>
      </c>
      <c r="J10" s="704">
        <f>tertiair!I16</f>
        <v>0</v>
      </c>
      <c r="K10" s="704">
        <f>tertiair!J16</f>
        <v>0</v>
      </c>
      <c r="L10" s="704">
        <f>tertiair!K16</f>
        <v>0</v>
      </c>
      <c r="M10" s="704">
        <f ca="1">tertiair!L16</f>
        <v>0</v>
      </c>
      <c r="N10" s="704">
        <f>tertiair!M16</f>
        <v>0</v>
      </c>
      <c r="O10" s="704">
        <f ca="1">tertiair!N16</f>
        <v>3552.870109399948</v>
      </c>
      <c r="P10" s="704">
        <f>tertiair!O16</f>
        <v>1.5633333333333335</v>
      </c>
      <c r="Q10" s="705">
        <f>tertiair!P16</f>
        <v>19.066666666666666</v>
      </c>
      <c r="R10" s="707">
        <f ca="1">SUM(C10:Q10)</f>
        <v>124688.32266468817</v>
      </c>
      <c r="S10" s="67"/>
    </row>
    <row r="11" spans="1:19" s="459" customFormat="1">
      <c r="A11" s="858" t="s">
        <v>225</v>
      </c>
      <c r="B11" s="863"/>
      <c r="C11" s="704">
        <f>huishoudens!B8</f>
        <v>37414.712305835295</v>
      </c>
      <c r="D11" s="704">
        <f>huishoudens!C8</f>
        <v>0</v>
      </c>
      <c r="E11" s="704">
        <f>huishoudens!D8</f>
        <v>134820.22702269617</v>
      </c>
      <c r="F11" s="704">
        <f>huishoudens!E8</f>
        <v>1754.435968497904</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17052.137476375723</v>
      </c>
      <c r="P11" s="704">
        <f>huishoudens!O8</f>
        <v>125.06666666666666</v>
      </c>
      <c r="Q11" s="705">
        <f>huishoudens!P8</f>
        <v>362.26666666666665</v>
      </c>
      <c r="R11" s="707">
        <f>SUM(C11:Q11)</f>
        <v>191528.84610673846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72920.878272194153</v>
      </c>
      <c r="D13" s="704">
        <f>industrie!C18</f>
        <v>0</v>
      </c>
      <c r="E13" s="704">
        <f>industrie!D18</f>
        <v>185776.4541447807</v>
      </c>
      <c r="F13" s="704">
        <f>industrie!E18</f>
        <v>4721.6271420781486</v>
      </c>
      <c r="G13" s="704">
        <f>industrie!F18</f>
        <v>20157.366374897494</v>
      </c>
      <c r="H13" s="704">
        <f>industrie!G18</f>
        <v>0</v>
      </c>
      <c r="I13" s="704">
        <f>industrie!H18</f>
        <v>0</v>
      </c>
      <c r="J13" s="704">
        <f>industrie!I18</f>
        <v>0</v>
      </c>
      <c r="K13" s="704">
        <f>industrie!J18</f>
        <v>174.11761885600993</v>
      </c>
      <c r="L13" s="704">
        <f>industrie!K18</f>
        <v>0</v>
      </c>
      <c r="M13" s="704">
        <f>industrie!L18</f>
        <v>0</v>
      </c>
      <c r="N13" s="704">
        <f>industrie!M18</f>
        <v>0</v>
      </c>
      <c r="O13" s="704">
        <f>industrie!N18</f>
        <v>14718.519620663494</v>
      </c>
      <c r="P13" s="704">
        <f>industrie!O18</f>
        <v>0</v>
      </c>
      <c r="Q13" s="705">
        <f>industrie!P18</f>
        <v>0</v>
      </c>
      <c r="R13" s="707">
        <f>SUM(C13:Q13)</f>
        <v>298468.96317346999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167447.89738738115</v>
      </c>
      <c r="D15" s="709">
        <f t="shared" ref="D15:Q15" ca="1" si="0">SUM(D9:D14)</f>
        <v>0</v>
      </c>
      <c r="E15" s="709">
        <f t="shared" ca="1" si="0"/>
        <v>373858.06690093502</v>
      </c>
      <c r="F15" s="709">
        <f t="shared" si="0"/>
        <v>7046.4502574735652</v>
      </c>
      <c r="G15" s="709">
        <f t="shared" ca="1" si="0"/>
        <v>30328.109240478349</v>
      </c>
      <c r="H15" s="709">
        <f t="shared" si="0"/>
        <v>0</v>
      </c>
      <c r="I15" s="709">
        <f t="shared" si="0"/>
        <v>0</v>
      </c>
      <c r="J15" s="709">
        <f t="shared" si="0"/>
        <v>0</v>
      </c>
      <c r="K15" s="709">
        <f t="shared" si="0"/>
        <v>174.11761885600993</v>
      </c>
      <c r="L15" s="709">
        <f t="shared" si="0"/>
        <v>0</v>
      </c>
      <c r="M15" s="709">
        <f t="shared" ca="1" si="0"/>
        <v>0</v>
      </c>
      <c r="N15" s="709">
        <f t="shared" si="0"/>
        <v>0</v>
      </c>
      <c r="O15" s="709">
        <f t="shared" ca="1" si="0"/>
        <v>35323.527206439161</v>
      </c>
      <c r="P15" s="709">
        <f t="shared" si="0"/>
        <v>126.63</v>
      </c>
      <c r="Q15" s="710">
        <f t="shared" si="0"/>
        <v>381.33333333333331</v>
      </c>
      <c r="R15" s="711">
        <f ca="1">SUM(R9:R14)</f>
        <v>614686.13194489665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2137.584825825491</v>
      </c>
      <c r="I18" s="704">
        <f>transport!H54</f>
        <v>0</v>
      </c>
      <c r="J18" s="704">
        <f>transport!I54</f>
        <v>0</v>
      </c>
      <c r="K18" s="704">
        <f>transport!J54</f>
        <v>0</v>
      </c>
      <c r="L18" s="704">
        <f>transport!K54</f>
        <v>0</v>
      </c>
      <c r="M18" s="704">
        <f>transport!L54</f>
        <v>0</v>
      </c>
      <c r="N18" s="704">
        <f>transport!M54</f>
        <v>95.06362555819527</v>
      </c>
      <c r="O18" s="704">
        <f>transport!N54</f>
        <v>0</v>
      </c>
      <c r="P18" s="704">
        <f>transport!O54</f>
        <v>0</v>
      </c>
      <c r="Q18" s="705">
        <f>transport!P54</f>
        <v>0</v>
      </c>
      <c r="R18" s="707">
        <f>SUM(C18:Q18)</f>
        <v>2232.6484513836863</v>
      </c>
      <c r="S18" s="67"/>
    </row>
    <row r="19" spans="1:19" s="459" customFormat="1" ht="15" thickBot="1">
      <c r="A19" s="858" t="s">
        <v>307</v>
      </c>
      <c r="B19" s="863"/>
      <c r="C19" s="713">
        <f>transport!B14</f>
        <v>13.95140627004403</v>
      </c>
      <c r="D19" s="713">
        <f>transport!C14</f>
        <v>0</v>
      </c>
      <c r="E19" s="713">
        <f>transport!D14</f>
        <v>22.872677088382062</v>
      </c>
      <c r="F19" s="713">
        <f>transport!E14</f>
        <v>737.08132331840966</v>
      </c>
      <c r="G19" s="713">
        <f>transport!F14</f>
        <v>0</v>
      </c>
      <c r="H19" s="713">
        <f>transport!G14</f>
        <v>251268.97375135962</v>
      </c>
      <c r="I19" s="713">
        <f>transport!H14</f>
        <v>34671.38511361499</v>
      </c>
      <c r="J19" s="713">
        <f>transport!I14</f>
        <v>0</v>
      </c>
      <c r="K19" s="713">
        <f>transport!J14</f>
        <v>0</v>
      </c>
      <c r="L19" s="713">
        <f>transport!K14</f>
        <v>0</v>
      </c>
      <c r="M19" s="713">
        <f>transport!L14</f>
        <v>0</v>
      </c>
      <c r="N19" s="713">
        <f>transport!M14</f>
        <v>12819.353180550985</v>
      </c>
      <c r="O19" s="713">
        <f>transport!N14</f>
        <v>0</v>
      </c>
      <c r="P19" s="713">
        <f>transport!O14</f>
        <v>0</v>
      </c>
      <c r="Q19" s="714">
        <f>transport!P14</f>
        <v>0</v>
      </c>
      <c r="R19" s="715">
        <f>SUM(C19:Q19)</f>
        <v>299533.61745220242</v>
      </c>
      <c r="S19" s="67"/>
    </row>
    <row r="20" spans="1:19" s="459" customFormat="1" ht="15.75" thickBot="1">
      <c r="A20" s="716" t="s">
        <v>230</v>
      </c>
      <c r="B20" s="866"/>
      <c r="C20" s="861">
        <f>SUM(C17:C19)</f>
        <v>13.95140627004403</v>
      </c>
      <c r="D20" s="717">
        <f t="shared" ref="D20:R20" si="1">SUM(D17:D19)</f>
        <v>0</v>
      </c>
      <c r="E20" s="717">
        <f t="shared" si="1"/>
        <v>22.872677088382062</v>
      </c>
      <c r="F20" s="717">
        <f t="shared" si="1"/>
        <v>737.08132331840966</v>
      </c>
      <c r="G20" s="717">
        <f t="shared" si="1"/>
        <v>0</v>
      </c>
      <c r="H20" s="717">
        <f t="shared" si="1"/>
        <v>253406.55857718512</v>
      </c>
      <c r="I20" s="717">
        <f t="shared" si="1"/>
        <v>34671.38511361499</v>
      </c>
      <c r="J20" s="717">
        <f t="shared" si="1"/>
        <v>0</v>
      </c>
      <c r="K20" s="717">
        <f t="shared" si="1"/>
        <v>0</v>
      </c>
      <c r="L20" s="717">
        <f t="shared" si="1"/>
        <v>0</v>
      </c>
      <c r="M20" s="717">
        <f t="shared" si="1"/>
        <v>0</v>
      </c>
      <c r="N20" s="717">
        <f t="shared" si="1"/>
        <v>12914.41680610918</v>
      </c>
      <c r="O20" s="717">
        <f t="shared" si="1"/>
        <v>0</v>
      </c>
      <c r="P20" s="717">
        <f t="shared" si="1"/>
        <v>0</v>
      </c>
      <c r="Q20" s="718">
        <f t="shared" si="1"/>
        <v>0</v>
      </c>
      <c r="R20" s="719">
        <f t="shared" si="1"/>
        <v>301766.26590358611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289.76999446433535</v>
      </c>
      <c r="D22" s="713">
        <f>+landbouw!C8</f>
        <v>0</v>
      </c>
      <c r="E22" s="713">
        <f>+landbouw!D8</f>
        <v>6261.4294695772496</v>
      </c>
      <c r="F22" s="713">
        <f>+landbouw!E8</f>
        <v>3.6514752299029971</v>
      </c>
      <c r="G22" s="713">
        <f>+landbouw!F8</f>
        <v>999.77907262310373</v>
      </c>
      <c r="H22" s="713">
        <f>+landbouw!G8</f>
        <v>0</v>
      </c>
      <c r="I22" s="713">
        <f>+landbouw!H8</f>
        <v>0</v>
      </c>
      <c r="J22" s="713">
        <f>+landbouw!I8</f>
        <v>0</v>
      </c>
      <c r="K22" s="713">
        <f>+landbouw!J8</f>
        <v>43.578113178394666</v>
      </c>
      <c r="L22" s="713">
        <f>+landbouw!K8</f>
        <v>0</v>
      </c>
      <c r="M22" s="713">
        <f>+landbouw!L8</f>
        <v>0</v>
      </c>
      <c r="N22" s="713">
        <f>+landbouw!M8</f>
        <v>0</v>
      </c>
      <c r="O22" s="713">
        <f>+landbouw!N8</f>
        <v>0</v>
      </c>
      <c r="P22" s="713">
        <f>+landbouw!O8</f>
        <v>0</v>
      </c>
      <c r="Q22" s="714">
        <f>+landbouw!P8</f>
        <v>0</v>
      </c>
      <c r="R22" s="715">
        <f>SUM(C22:Q22)</f>
        <v>7598.2081250729852</v>
      </c>
      <c r="S22" s="67"/>
    </row>
    <row r="23" spans="1:19" s="459" customFormat="1" ht="17.25" thickTop="1" thickBot="1">
      <c r="A23" s="720" t="s">
        <v>116</v>
      </c>
      <c r="B23" s="852"/>
      <c r="C23" s="721">
        <f ca="1">C20+C15+C22</f>
        <v>167751.61878811551</v>
      </c>
      <c r="D23" s="721">
        <f t="shared" ref="D23:Q23" ca="1" si="2">D20+D15+D22</f>
        <v>0</v>
      </c>
      <c r="E23" s="721">
        <f t="shared" ca="1" si="2"/>
        <v>380142.36904760066</v>
      </c>
      <c r="F23" s="721">
        <f t="shared" si="2"/>
        <v>7787.1830560218777</v>
      </c>
      <c r="G23" s="721">
        <f t="shared" ca="1" si="2"/>
        <v>31327.888313101452</v>
      </c>
      <c r="H23" s="721">
        <f t="shared" si="2"/>
        <v>253406.55857718512</v>
      </c>
      <c r="I23" s="721">
        <f t="shared" si="2"/>
        <v>34671.38511361499</v>
      </c>
      <c r="J23" s="721">
        <f t="shared" si="2"/>
        <v>0</v>
      </c>
      <c r="K23" s="721">
        <f t="shared" si="2"/>
        <v>217.69573203440459</v>
      </c>
      <c r="L23" s="721">
        <f t="shared" si="2"/>
        <v>0</v>
      </c>
      <c r="M23" s="721">
        <f t="shared" ca="1" si="2"/>
        <v>0</v>
      </c>
      <c r="N23" s="721">
        <f t="shared" si="2"/>
        <v>12914.41680610918</v>
      </c>
      <c r="O23" s="721">
        <f t="shared" ca="1" si="2"/>
        <v>35323.527206439161</v>
      </c>
      <c r="P23" s="721">
        <f t="shared" si="2"/>
        <v>126.63</v>
      </c>
      <c r="Q23" s="722">
        <f t="shared" si="2"/>
        <v>381.33333333333331</v>
      </c>
      <c r="R23" s="723">
        <f ca="1">R20+R15+R22</f>
        <v>924050.60597355571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10960.353285071182</v>
      </c>
      <c r="D36" s="704">
        <f ca="1">tertiair!C20</f>
        <v>0</v>
      </c>
      <c r="E36" s="704">
        <f ca="1">tertiair!D20</f>
        <v>10758.799918158549</v>
      </c>
      <c r="F36" s="704">
        <f>tertiair!E20</f>
        <v>129.47788234573534</v>
      </c>
      <c r="G36" s="704">
        <f ca="1">tertiair!F20</f>
        <v>2715.5883451100876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24564.219430685556</v>
      </c>
    </row>
    <row r="37" spans="1:18">
      <c r="A37" s="873" t="s">
        <v>225</v>
      </c>
      <c r="B37" s="880"/>
      <c r="C37" s="704">
        <f ca="1">huishoudens!B12</f>
        <v>7180.2118989896562</v>
      </c>
      <c r="D37" s="704">
        <f ca="1">huishoudens!C12</f>
        <v>0</v>
      </c>
      <c r="E37" s="704">
        <f>huishoudens!D12</f>
        <v>27233.685858584628</v>
      </c>
      <c r="F37" s="704">
        <f>huishoudens!E12</f>
        <v>398.2569648490242</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34812.154722423307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13994.156992973181</v>
      </c>
      <c r="D39" s="704">
        <f ca="1">industrie!C22</f>
        <v>0</v>
      </c>
      <c r="E39" s="704">
        <f>industrie!D22</f>
        <v>37526.843737245705</v>
      </c>
      <c r="F39" s="704">
        <f>industrie!E22</f>
        <v>1071.8093612517398</v>
      </c>
      <c r="G39" s="704">
        <f>industrie!F22</f>
        <v>5382.0168220976311</v>
      </c>
      <c r="H39" s="704">
        <f>industrie!G22</f>
        <v>0</v>
      </c>
      <c r="I39" s="704">
        <f>industrie!H22</f>
        <v>0</v>
      </c>
      <c r="J39" s="704">
        <f>industrie!I22</f>
        <v>0</v>
      </c>
      <c r="K39" s="704">
        <f>industrie!J22</f>
        <v>61.637637075027513</v>
      </c>
      <c r="L39" s="704">
        <f>industrie!K22</f>
        <v>0</v>
      </c>
      <c r="M39" s="704">
        <f>industrie!L22</f>
        <v>0</v>
      </c>
      <c r="N39" s="704">
        <f>industrie!M22</f>
        <v>0</v>
      </c>
      <c r="O39" s="704">
        <f>industrie!N22</f>
        <v>0</v>
      </c>
      <c r="P39" s="704">
        <f>industrie!O22</f>
        <v>0</v>
      </c>
      <c r="Q39" s="814">
        <f>industrie!P22</f>
        <v>0</v>
      </c>
      <c r="R39" s="906">
        <f ca="1">SUM(C39:Q39)</f>
        <v>58036.464550643293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32134.722177034018</v>
      </c>
      <c r="D41" s="749">
        <f t="shared" ref="D41:R41" ca="1" si="4">SUM(D35:D40)</f>
        <v>0</v>
      </c>
      <c r="E41" s="749">
        <f t="shared" ca="1" si="4"/>
        <v>75519.32951398888</v>
      </c>
      <c r="F41" s="749">
        <f t="shared" si="4"/>
        <v>1599.5442084464994</v>
      </c>
      <c r="G41" s="749">
        <f t="shared" ca="1" si="4"/>
        <v>8097.6051672077192</v>
      </c>
      <c r="H41" s="749">
        <f t="shared" si="4"/>
        <v>0</v>
      </c>
      <c r="I41" s="749">
        <f t="shared" si="4"/>
        <v>0</v>
      </c>
      <c r="J41" s="749">
        <f t="shared" si="4"/>
        <v>0</v>
      </c>
      <c r="K41" s="749">
        <f t="shared" si="4"/>
        <v>61.637637075027513</v>
      </c>
      <c r="L41" s="749">
        <f t="shared" si="4"/>
        <v>0</v>
      </c>
      <c r="M41" s="749">
        <f t="shared" ca="1" si="4"/>
        <v>0</v>
      </c>
      <c r="N41" s="749">
        <f t="shared" si="4"/>
        <v>0</v>
      </c>
      <c r="O41" s="749">
        <f t="shared" ca="1" si="4"/>
        <v>0</v>
      </c>
      <c r="P41" s="749">
        <f t="shared" si="4"/>
        <v>0</v>
      </c>
      <c r="Q41" s="750">
        <f t="shared" si="4"/>
        <v>0</v>
      </c>
      <c r="R41" s="751">
        <f t="shared" ca="1" si="4"/>
        <v>117412.83870375215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570.73514849540607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570.73514849540607</v>
      </c>
    </row>
    <row r="45" spans="1:18" ht="15" thickBot="1">
      <c r="A45" s="876" t="s">
        <v>307</v>
      </c>
      <c r="B45" s="886"/>
      <c r="C45" s="713">
        <f ca="1">transport!B18</f>
        <v>2.6773973962158633</v>
      </c>
      <c r="D45" s="713">
        <f>transport!C18</f>
        <v>0</v>
      </c>
      <c r="E45" s="713">
        <f>transport!D18</f>
        <v>4.6202807718531771</v>
      </c>
      <c r="F45" s="713">
        <f>transport!E18</f>
        <v>167.31746039327899</v>
      </c>
      <c r="G45" s="713">
        <f>transport!F18</f>
        <v>0</v>
      </c>
      <c r="H45" s="713">
        <f>transport!G18</f>
        <v>67088.815991613024</v>
      </c>
      <c r="I45" s="713">
        <f>transport!H18</f>
        <v>8633.1748932901319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75896.606023464497</v>
      </c>
    </row>
    <row r="46" spans="1:18" ht="15.75" thickBot="1">
      <c r="A46" s="874" t="s">
        <v>230</v>
      </c>
      <c r="B46" s="887"/>
      <c r="C46" s="749">
        <f t="shared" ref="C46:R46" ca="1" si="5">SUM(C43:C45)</f>
        <v>2.6773973962158633</v>
      </c>
      <c r="D46" s="749">
        <f t="shared" ca="1" si="5"/>
        <v>0</v>
      </c>
      <c r="E46" s="749">
        <f t="shared" si="5"/>
        <v>4.6202807718531771</v>
      </c>
      <c r="F46" s="749">
        <f t="shared" si="5"/>
        <v>167.31746039327899</v>
      </c>
      <c r="G46" s="749">
        <f t="shared" si="5"/>
        <v>0</v>
      </c>
      <c r="H46" s="749">
        <f t="shared" si="5"/>
        <v>67659.551140108437</v>
      </c>
      <c r="I46" s="749">
        <f t="shared" si="5"/>
        <v>8633.1748932901319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76467.34117195991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55.609406941731052</v>
      </c>
      <c r="D48" s="704">
        <f ca="1">+landbouw!C12</f>
        <v>0</v>
      </c>
      <c r="E48" s="704">
        <f>+landbouw!D12</f>
        <v>1264.8087528546046</v>
      </c>
      <c r="F48" s="704">
        <f>+landbouw!E12</f>
        <v>0.82888487718798032</v>
      </c>
      <c r="G48" s="704">
        <f>+landbouw!F12</f>
        <v>266.94101239036871</v>
      </c>
      <c r="H48" s="704">
        <f>+landbouw!G12</f>
        <v>0</v>
      </c>
      <c r="I48" s="704">
        <f>+landbouw!H12</f>
        <v>0</v>
      </c>
      <c r="J48" s="704">
        <f>+landbouw!I12</f>
        <v>0</v>
      </c>
      <c r="K48" s="704">
        <f>+landbouw!J12</f>
        <v>15.426652065151711</v>
      </c>
      <c r="L48" s="704">
        <f>+landbouw!K12</f>
        <v>0</v>
      </c>
      <c r="M48" s="704">
        <f>+landbouw!L12</f>
        <v>0</v>
      </c>
      <c r="N48" s="704">
        <f>+landbouw!M12</f>
        <v>0</v>
      </c>
      <c r="O48" s="704">
        <f>+landbouw!N12</f>
        <v>0</v>
      </c>
      <c r="P48" s="704">
        <f>+landbouw!O12</f>
        <v>0</v>
      </c>
      <c r="Q48" s="705">
        <f>+landbouw!P12</f>
        <v>0</v>
      </c>
      <c r="R48" s="747">
        <f ca="1">SUM(C48:Q48)</f>
        <v>1603.6147091290441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32193.008981371964</v>
      </c>
      <c r="D53" s="759">
        <f t="shared" ref="D53:Q53" ca="1" si="6">D41+D46+D48</f>
        <v>0</v>
      </c>
      <c r="E53" s="759">
        <f t="shared" ca="1" si="6"/>
        <v>76788.758547615333</v>
      </c>
      <c r="F53" s="759">
        <f t="shared" si="6"/>
        <v>1767.6905537169662</v>
      </c>
      <c r="G53" s="759">
        <f t="shared" ca="1" si="6"/>
        <v>8364.5461795980882</v>
      </c>
      <c r="H53" s="759">
        <f t="shared" si="6"/>
        <v>67659.551140108437</v>
      </c>
      <c r="I53" s="759">
        <f t="shared" si="6"/>
        <v>8633.1748932901319</v>
      </c>
      <c r="J53" s="759">
        <f t="shared" si="6"/>
        <v>0</v>
      </c>
      <c r="K53" s="759">
        <f t="shared" si="6"/>
        <v>77.064289140179227</v>
      </c>
      <c r="L53" s="759">
        <f t="shared" si="6"/>
        <v>0</v>
      </c>
      <c r="M53" s="759">
        <f t="shared" ca="1" si="6"/>
        <v>0</v>
      </c>
      <c r="N53" s="759">
        <f t="shared" si="6"/>
        <v>0</v>
      </c>
      <c r="O53" s="759">
        <f t="shared" ca="1" si="6"/>
        <v>0</v>
      </c>
      <c r="P53" s="759">
        <f>P41+P46+P48</f>
        <v>0</v>
      </c>
      <c r="Q53" s="760">
        <f t="shared" si="6"/>
        <v>0</v>
      </c>
      <c r="R53" s="761">
        <f ca="1">R41+R46+R48</f>
        <v>195483.79458484109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0.19190878284181842</v>
      </c>
      <c r="D55" s="824">
        <f t="shared" ca="1" si="7"/>
        <v>0</v>
      </c>
      <c r="E55" s="824">
        <f t="shared" ca="1" si="7"/>
        <v>0.20199999999999999</v>
      </c>
      <c r="F55" s="824">
        <f t="shared" si="7"/>
        <v>0.22699999999999998</v>
      </c>
      <c r="G55" s="824">
        <f t="shared" ca="1" si="7"/>
        <v>0.26700000000000002</v>
      </c>
      <c r="H55" s="824">
        <f t="shared" si="7"/>
        <v>0.26700000000000002</v>
      </c>
      <c r="I55" s="824">
        <f t="shared" si="7"/>
        <v>0.24899999999999997</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7360.6182115571346</v>
      </c>
      <c r="C64" s="781">
        <f>'lokale energieproductie'!B4</f>
        <v>7360.6182115571346</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14721.276678947706</v>
      </c>
      <c r="C66" s="781">
        <f>'lokale energieproductie'!B6</f>
        <v>14721.276678947706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22081.894890504842</v>
      </c>
      <c r="C69" s="789">
        <f>SUM(C64:C68)</f>
        <v>22081.894890504842</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37414.712305835295</v>
      </c>
      <c r="C4" s="463">
        <f>huishoudens!C8</f>
        <v>0</v>
      </c>
      <c r="D4" s="463">
        <f>huishoudens!D8</f>
        <v>134820.22702269617</v>
      </c>
      <c r="E4" s="463">
        <f>huishoudens!E8</f>
        <v>1754.435968497904</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17052.137476375723</v>
      </c>
      <c r="O4" s="463">
        <f>huishoudens!O8</f>
        <v>125.06666666666666</v>
      </c>
      <c r="P4" s="464">
        <f>huishoudens!P8</f>
        <v>362.26666666666665</v>
      </c>
      <c r="Q4" s="465">
        <f>SUM(B4:P4)</f>
        <v>191528.84610673846</v>
      </c>
    </row>
    <row r="5" spans="1:17">
      <c r="A5" s="462" t="s">
        <v>156</v>
      </c>
      <c r="B5" s="463">
        <f ca="1">tertiair!B16</f>
        <v>55470.0588093517</v>
      </c>
      <c r="C5" s="463">
        <f ca="1">tertiair!C16</f>
        <v>0</v>
      </c>
      <c r="D5" s="463">
        <f ca="1">tertiair!D16</f>
        <v>53261.385733458163</v>
      </c>
      <c r="E5" s="463">
        <f>tertiair!E16</f>
        <v>570.38714689751248</v>
      </c>
      <c r="F5" s="463">
        <f ca="1">tertiair!F16</f>
        <v>10170.742865580853</v>
      </c>
      <c r="G5" s="463">
        <f>tertiair!G16</f>
        <v>0</v>
      </c>
      <c r="H5" s="463">
        <f>tertiair!H16</f>
        <v>0</v>
      </c>
      <c r="I5" s="463">
        <f>tertiair!I16</f>
        <v>0</v>
      </c>
      <c r="J5" s="463">
        <f>tertiair!J16</f>
        <v>0</v>
      </c>
      <c r="K5" s="463">
        <f>tertiair!K16</f>
        <v>0</v>
      </c>
      <c r="L5" s="463">
        <f ca="1">tertiair!L16</f>
        <v>0</v>
      </c>
      <c r="M5" s="463">
        <f>tertiair!M16</f>
        <v>0</v>
      </c>
      <c r="N5" s="463">
        <f ca="1">tertiair!N16</f>
        <v>3552.870109399948</v>
      </c>
      <c r="O5" s="463">
        <f>tertiair!O16</f>
        <v>1.5633333333333335</v>
      </c>
      <c r="P5" s="464">
        <f>tertiair!P16</f>
        <v>19.066666666666666</v>
      </c>
      <c r="Q5" s="462">
        <f t="shared" ref="Q5:Q13" ca="1" si="0">SUM(B5:P5)</f>
        <v>123046.07466468817</v>
      </c>
    </row>
    <row r="6" spans="1:17">
      <c r="A6" s="462" t="s">
        <v>194</v>
      </c>
      <c r="B6" s="463">
        <f>'openbare verlichting'!B8</f>
        <v>1642.248</v>
      </c>
      <c r="C6" s="463"/>
      <c r="D6" s="463"/>
      <c r="E6" s="463"/>
      <c r="F6" s="463"/>
      <c r="G6" s="463"/>
      <c r="H6" s="463"/>
      <c r="I6" s="463"/>
      <c r="J6" s="463"/>
      <c r="K6" s="463"/>
      <c r="L6" s="463"/>
      <c r="M6" s="463"/>
      <c r="N6" s="463"/>
      <c r="O6" s="463"/>
      <c r="P6" s="464"/>
      <c r="Q6" s="462">
        <f t="shared" si="0"/>
        <v>1642.248</v>
      </c>
    </row>
    <row r="7" spans="1:17">
      <c r="A7" s="462" t="s">
        <v>112</v>
      </c>
      <c r="B7" s="463">
        <f>landbouw!B8</f>
        <v>289.76999446433535</v>
      </c>
      <c r="C7" s="463">
        <f>landbouw!C8</f>
        <v>0</v>
      </c>
      <c r="D7" s="463">
        <f>landbouw!D8</f>
        <v>6261.4294695772496</v>
      </c>
      <c r="E7" s="463">
        <f>landbouw!E8</f>
        <v>3.6514752299029971</v>
      </c>
      <c r="F7" s="463">
        <f>landbouw!F8</f>
        <v>999.77907262310373</v>
      </c>
      <c r="G7" s="463">
        <f>landbouw!G8</f>
        <v>0</v>
      </c>
      <c r="H7" s="463">
        <f>landbouw!H8</f>
        <v>0</v>
      </c>
      <c r="I7" s="463">
        <f>landbouw!I8</f>
        <v>0</v>
      </c>
      <c r="J7" s="463">
        <f>landbouw!J8</f>
        <v>43.578113178394666</v>
      </c>
      <c r="K7" s="463">
        <f>landbouw!K8</f>
        <v>0</v>
      </c>
      <c r="L7" s="463">
        <f>landbouw!L8</f>
        <v>0</v>
      </c>
      <c r="M7" s="463">
        <f>landbouw!M8</f>
        <v>0</v>
      </c>
      <c r="N7" s="463">
        <f>landbouw!N8</f>
        <v>0</v>
      </c>
      <c r="O7" s="463">
        <f>landbouw!O8</f>
        <v>0</v>
      </c>
      <c r="P7" s="464">
        <f>landbouw!P8</f>
        <v>0</v>
      </c>
      <c r="Q7" s="462">
        <f t="shared" si="0"/>
        <v>7598.2081250729852</v>
      </c>
    </row>
    <row r="8" spans="1:17">
      <c r="A8" s="462" t="s">
        <v>657</v>
      </c>
      <c r="B8" s="463">
        <f>industrie!B18</f>
        <v>72920.878272194153</v>
      </c>
      <c r="C8" s="463">
        <f>industrie!C18</f>
        <v>0</v>
      </c>
      <c r="D8" s="463">
        <f>industrie!D18</f>
        <v>185776.4541447807</v>
      </c>
      <c r="E8" s="463">
        <f>industrie!E18</f>
        <v>4721.6271420781486</v>
      </c>
      <c r="F8" s="463">
        <f>industrie!F18</f>
        <v>20157.366374897494</v>
      </c>
      <c r="G8" s="463">
        <f>industrie!G18</f>
        <v>0</v>
      </c>
      <c r="H8" s="463">
        <f>industrie!H18</f>
        <v>0</v>
      </c>
      <c r="I8" s="463">
        <f>industrie!I18</f>
        <v>0</v>
      </c>
      <c r="J8" s="463">
        <f>industrie!J18</f>
        <v>174.11761885600993</v>
      </c>
      <c r="K8" s="463">
        <f>industrie!K18</f>
        <v>0</v>
      </c>
      <c r="L8" s="463">
        <f>industrie!L18</f>
        <v>0</v>
      </c>
      <c r="M8" s="463">
        <f>industrie!M18</f>
        <v>0</v>
      </c>
      <c r="N8" s="463">
        <f>industrie!N18</f>
        <v>14718.519620663494</v>
      </c>
      <c r="O8" s="463">
        <f>industrie!O18</f>
        <v>0</v>
      </c>
      <c r="P8" s="464">
        <f>industrie!P18</f>
        <v>0</v>
      </c>
      <c r="Q8" s="462">
        <f t="shared" si="0"/>
        <v>298468.96317346999</v>
      </c>
    </row>
    <row r="9" spans="1:17" s="468" customFormat="1">
      <c r="A9" s="466" t="s">
        <v>574</v>
      </c>
      <c r="B9" s="467">
        <f>transport!B14</f>
        <v>13.95140627004403</v>
      </c>
      <c r="C9" s="467">
        <f>transport!C14</f>
        <v>0</v>
      </c>
      <c r="D9" s="467">
        <f>transport!D14</f>
        <v>22.872677088382062</v>
      </c>
      <c r="E9" s="467">
        <f>transport!E14</f>
        <v>737.08132331840966</v>
      </c>
      <c r="F9" s="467">
        <f>transport!F14</f>
        <v>0</v>
      </c>
      <c r="G9" s="467">
        <f>transport!G14</f>
        <v>251268.97375135962</v>
      </c>
      <c r="H9" s="467">
        <f>transport!H14</f>
        <v>34671.38511361499</v>
      </c>
      <c r="I9" s="467">
        <f>transport!I14</f>
        <v>0</v>
      </c>
      <c r="J9" s="467">
        <f>transport!J14</f>
        <v>0</v>
      </c>
      <c r="K9" s="467">
        <f>transport!K14</f>
        <v>0</v>
      </c>
      <c r="L9" s="467">
        <f>transport!L14</f>
        <v>0</v>
      </c>
      <c r="M9" s="467">
        <f>transport!M14</f>
        <v>12819.353180550985</v>
      </c>
      <c r="N9" s="467">
        <f>transport!N14</f>
        <v>0</v>
      </c>
      <c r="O9" s="467">
        <f>transport!O14</f>
        <v>0</v>
      </c>
      <c r="P9" s="467">
        <f>transport!P14</f>
        <v>0</v>
      </c>
      <c r="Q9" s="466">
        <f>SUM(B9:P9)</f>
        <v>299533.61745220242</v>
      </c>
    </row>
    <row r="10" spans="1:17">
      <c r="A10" s="462" t="s">
        <v>564</v>
      </c>
      <c r="B10" s="463">
        <f>transport!B54</f>
        <v>0</v>
      </c>
      <c r="C10" s="463">
        <f>transport!C54</f>
        <v>0</v>
      </c>
      <c r="D10" s="463">
        <f>transport!D54</f>
        <v>0</v>
      </c>
      <c r="E10" s="463">
        <f>transport!E54</f>
        <v>0</v>
      </c>
      <c r="F10" s="463">
        <f>transport!F54</f>
        <v>0</v>
      </c>
      <c r="G10" s="463">
        <f>transport!G54</f>
        <v>2137.584825825491</v>
      </c>
      <c r="H10" s="463">
        <f>transport!H54</f>
        <v>0</v>
      </c>
      <c r="I10" s="463">
        <f>transport!I54</f>
        <v>0</v>
      </c>
      <c r="J10" s="463">
        <f>transport!J54</f>
        <v>0</v>
      </c>
      <c r="K10" s="463">
        <f>transport!K54</f>
        <v>0</v>
      </c>
      <c r="L10" s="463">
        <f>transport!L54</f>
        <v>0</v>
      </c>
      <c r="M10" s="463">
        <f>transport!M54</f>
        <v>95.06362555819527</v>
      </c>
      <c r="N10" s="463">
        <f>transport!N54</f>
        <v>0</v>
      </c>
      <c r="O10" s="463">
        <f>transport!O54</f>
        <v>0</v>
      </c>
      <c r="P10" s="464">
        <f>transport!P54</f>
        <v>0</v>
      </c>
      <c r="Q10" s="462">
        <f t="shared" si="0"/>
        <v>2232.6484513836863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167751.61878811553</v>
      </c>
      <c r="C14" s="473">
        <f t="shared" ref="C14:Q14" ca="1" si="1">SUM(C4:C13)</f>
        <v>0</v>
      </c>
      <c r="D14" s="473">
        <f t="shared" ca="1" si="1"/>
        <v>380142.36904760066</v>
      </c>
      <c r="E14" s="473">
        <f t="shared" si="1"/>
        <v>7787.1830560218777</v>
      </c>
      <c r="F14" s="473">
        <f t="shared" ca="1" si="1"/>
        <v>31327.888313101452</v>
      </c>
      <c r="G14" s="473">
        <f t="shared" si="1"/>
        <v>253406.55857718512</v>
      </c>
      <c r="H14" s="473">
        <f t="shared" si="1"/>
        <v>34671.38511361499</v>
      </c>
      <c r="I14" s="473">
        <f t="shared" si="1"/>
        <v>0</v>
      </c>
      <c r="J14" s="473">
        <f t="shared" si="1"/>
        <v>217.69573203440459</v>
      </c>
      <c r="K14" s="473">
        <f t="shared" si="1"/>
        <v>0</v>
      </c>
      <c r="L14" s="473">
        <f t="shared" ca="1" si="1"/>
        <v>0</v>
      </c>
      <c r="M14" s="473">
        <f t="shared" si="1"/>
        <v>12914.41680610918</v>
      </c>
      <c r="N14" s="473">
        <f t="shared" ca="1" si="1"/>
        <v>35323.527206439161</v>
      </c>
      <c r="O14" s="473">
        <f t="shared" si="1"/>
        <v>126.63</v>
      </c>
      <c r="P14" s="474">
        <f t="shared" si="1"/>
        <v>381.33333333333331</v>
      </c>
      <c r="Q14" s="474">
        <f t="shared" ca="1" si="1"/>
        <v>924050.60597355571</v>
      </c>
    </row>
    <row r="16" spans="1:17">
      <c r="A16" s="476" t="s">
        <v>569</v>
      </c>
      <c r="B16" s="829">
        <f ca="1">huishoudens!B10</f>
        <v>0.19190878284181839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7180.2118989896562</v>
      </c>
      <c r="C21" s="463">
        <f t="shared" ref="C21:C30" ca="1" si="3">C4*$C$16</f>
        <v>0</v>
      </c>
      <c r="D21" s="463">
        <f t="shared" ref="D21:D30" si="4">D4*$D$16</f>
        <v>27233.685858584628</v>
      </c>
      <c r="E21" s="463">
        <f t="shared" ref="E21:E30" si="5">E4*$E$16</f>
        <v>398.2569648490242</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34812.154722423307</v>
      </c>
    </row>
    <row r="22" spans="1:17">
      <c r="A22" s="462" t="s">
        <v>156</v>
      </c>
      <c r="B22" s="463">
        <f t="shared" ca="1" si="2"/>
        <v>10645.191470266771</v>
      </c>
      <c r="C22" s="463">
        <f t="shared" ca="1" si="3"/>
        <v>0</v>
      </c>
      <c r="D22" s="463">
        <f t="shared" ca="1" si="4"/>
        <v>10758.799918158549</v>
      </c>
      <c r="E22" s="463">
        <f t="shared" si="5"/>
        <v>129.47788234573534</v>
      </c>
      <c r="F22" s="463">
        <f t="shared" ca="1" si="6"/>
        <v>2715.5883451100876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24249.057615881142</v>
      </c>
    </row>
    <row r="23" spans="1:17">
      <c r="A23" s="462" t="s">
        <v>194</v>
      </c>
      <c r="B23" s="463">
        <f t="shared" ca="1" si="2"/>
        <v>315.1618148044106</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315.1618148044106</v>
      </c>
    </row>
    <row r="24" spans="1:17">
      <c r="A24" s="462" t="s">
        <v>112</v>
      </c>
      <c r="B24" s="463">
        <f t="shared" ca="1" si="2"/>
        <v>55.609406941731052</v>
      </c>
      <c r="C24" s="463">
        <f t="shared" ca="1" si="3"/>
        <v>0</v>
      </c>
      <c r="D24" s="463">
        <f t="shared" si="4"/>
        <v>1264.8087528546046</v>
      </c>
      <c r="E24" s="463">
        <f t="shared" si="5"/>
        <v>0.82888487718798032</v>
      </c>
      <c r="F24" s="463">
        <f t="shared" si="6"/>
        <v>266.94101239036871</v>
      </c>
      <c r="G24" s="463">
        <f t="shared" si="7"/>
        <v>0</v>
      </c>
      <c r="H24" s="463">
        <f t="shared" si="8"/>
        <v>0</v>
      </c>
      <c r="I24" s="463">
        <f t="shared" si="9"/>
        <v>0</v>
      </c>
      <c r="J24" s="463">
        <f t="shared" si="10"/>
        <v>15.426652065151711</v>
      </c>
      <c r="K24" s="463">
        <f t="shared" si="11"/>
        <v>0</v>
      </c>
      <c r="L24" s="463">
        <f t="shared" si="12"/>
        <v>0</v>
      </c>
      <c r="M24" s="463">
        <f t="shared" si="13"/>
        <v>0</v>
      </c>
      <c r="N24" s="463">
        <f t="shared" si="14"/>
        <v>0</v>
      </c>
      <c r="O24" s="463">
        <f t="shared" si="15"/>
        <v>0</v>
      </c>
      <c r="P24" s="464">
        <f t="shared" si="16"/>
        <v>0</v>
      </c>
      <c r="Q24" s="462">
        <f t="shared" ca="1" si="17"/>
        <v>1603.6147091290441</v>
      </c>
    </row>
    <row r="25" spans="1:17">
      <c r="A25" s="462" t="s">
        <v>657</v>
      </c>
      <c r="B25" s="463">
        <f t="shared" ca="1" si="2"/>
        <v>13994.156992973181</v>
      </c>
      <c r="C25" s="463">
        <f t="shared" ca="1" si="3"/>
        <v>0</v>
      </c>
      <c r="D25" s="463">
        <f t="shared" si="4"/>
        <v>37526.843737245705</v>
      </c>
      <c r="E25" s="463">
        <f t="shared" si="5"/>
        <v>1071.8093612517398</v>
      </c>
      <c r="F25" s="463">
        <f t="shared" si="6"/>
        <v>5382.0168220976311</v>
      </c>
      <c r="G25" s="463">
        <f t="shared" si="7"/>
        <v>0</v>
      </c>
      <c r="H25" s="463">
        <f t="shared" si="8"/>
        <v>0</v>
      </c>
      <c r="I25" s="463">
        <f t="shared" si="9"/>
        <v>0</v>
      </c>
      <c r="J25" s="463">
        <f t="shared" si="10"/>
        <v>61.637637075027513</v>
      </c>
      <c r="K25" s="463">
        <f t="shared" si="11"/>
        <v>0</v>
      </c>
      <c r="L25" s="463">
        <f t="shared" si="12"/>
        <v>0</v>
      </c>
      <c r="M25" s="463">
        <f t="shared" si="13"/>
        <v>0</v>
      </c>
      <c r="N25" s="463">
        <f t="shared" si="14"/>
        <v>0</v>
      </c>
      <c r="O25" s="463">
        <f t="shared" si="15"/>
        <v>0</v>
      </c>
      <c r="P25" s="464">
        <f t="shared" si="16"/>
        <v>0</v>
      </c>
      <c r="Q25" s="462">
        <f t="shared" ca="1" si="17"/>
        <v>58036.464550643293</v>
      </c>
    </row>
    <row r="26" spans="1:17" s="468" customFormat="1">
      <c r="A26" s="466" t="s">
        <v>574</v>
      </c>
      <c r="B26" s="823">
        <f t="shared" ca="1" si="2"/>
        <v>2.6773973962158633</v>
      </c>
      <c r="C26" s="467">
        <f t="shared" ca="1" si="3"/>
        <v>0</v>
      </c>
      <c r="D26" s="467">
        <f t="shared" si="4"/>
        <v>4.6202807718531771</v>
      </c>
      <c r="E26" s="467">
        <f t="shared" si="5"/>
        <v>167.31746039327899</v>
      </c>
      <c r="F26" s="467">
        <f t="shared" si="6"/>
        <v>0</v>
      </c>
      <c r="G26" s="467">
        <f t="shared" si="7"/>
        <v>67088.815991613024</v>
      </c>
      <c r="H26" s="467">
        <f t="shared" si="8"/>
        <v>8633.1748932901319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75896.606023464497</v>
      </c>
    </row>
    <row r="27" spans="1:17">
      <c r="A27" s="462" t="s">
        <v>564</v>
      </c>
      <c r="B27" s="463">
        <f t="shared" ca="1" si="2"/>
        <v>0</v>
      </c>
      <c r="C27" s="463">
        <f t="shared" ca="1" si="3"/>
        <v>0</v>
      </c>
      <c r="D27" s="463">
        <f t="shared" si="4"/>
        <v>0</v>
      </c>
      <c r="E27" s="463">
        <f t="shared" si="5"/>
        <v>0</v>
      </c>
      <c r="F27" s="463">
        <f t="shared" si="6"/>
        <v>0</v>
      </c>
      <c r="G27" s="463">
        <f t="shared" si="7"/>
        <v>570.73514849540607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570.73514849540607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32193.008981371964</v>
      </c>
      <c r="C31" s="473">
        <f t="shared" ca="1" si="18"/>
        <v>0</v>
      </c>
      <c r="D31" s="473">
        <f t="shared" ca="1" si="18"/>
        <v>76788.758547615333</v>
      </c>
      <c r="E31" s="473">
        <f t="shared" si="18"/>
        <v>1767.6905537169664</v>
      </c>
      <c r="F31" s="473">
        <f t="shared" ca="1" si="18"/>
        <v>8364.5461795980882</v>
      </c>
      <c r="G31" s="473">
        <f t="shared" si="18"/>
        <v>67659.551140108437</v>
      </c>
      <c r="H31" s="473">
        <f t="shared" si="18"/>
        <v>8633.1748932901319</v>
      </c>
      <c r="I31" s="473">
        <f t="shared" si="18"/>
        <v>0</v>
      </c>
      <c r="J31" s="473">
        <f t="shared" si="18"/>
        <v>77.064289140179227</v>
      </c>
      <c r="K31" s="473">
        <f t="shared" si="18"/>
        <v>0</v>
      </c>
      <c r="L31" s="473">
        <f t="shared" ca="1" si="18"/>
        <v>0</v>
      </c>
      <c r="M31" s="473">
        <f t="shared" si="18"/>
        <v>0</v>
      </c>
      <c r="N31" s="473">
        <f t="shared" ca="1" si="18"/>
        <v>0</v>
      </c>
      <c r="O31" s="473">
        <f t="shared" si="18"/>
        <v>0</v>
      </c>
      <c r="P31" s="474">
        <f t="shared" si="18"/>
        <v>0</v>
      </c>
      <c r="Q31" s="474">
        <f t="shared" ca="1" si="18"/>
        <v>195483.79458484112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0.19190878284181839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0.19190878284181839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0.19190878284181839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12040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10246</v>
      </c>
      <c r="C9" s="338">
        <v>10907</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673</v>
      </c>
    </row>
    <row r="15" spans="1:6">
      <c r="A15" s="1212" t="s">
        <v>184</v>
      </c>
      <c r="B15" s="335">
        <v>4</v>
      </c>
    </row>
    <row r="16" spans="1:6">
      <c r="A16" s="1212" t="s">
        <v>6</v>
      </c>
      <c r="B16" s="335">
        <v>223</v>
      </c>
    </row>
    <row r="17" spans="1:6">
      <c r="A17" s="1212" t="s">
        <v>7</v>
      </c>
      <c r="B17" s="335">
        <v>153</v>
      </c>
    </row>
    <row r="18" spans="1:6">
      <c r="A18" s="1212" t="s">
        <v>8</v>
      </c>
      <c r="B18" s="335">
        <v>289</v>
      </c>
    </row>
    <row r="19" spans="1:6">
      <c r="A19" s="1212" t="s">
        <v>9</v>
      </c>
      <c r="B19" s="335">
        <v>264</v>
      </c>
    </row>
    <row r="20" spans="1:6">
      <c r="A20" s="1212" t="s">
        <v>10</v>
      </c>
      <c r="B20" s="335">
        <v>281</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5</v>
      </c>
    </row>
    <row r="27" spans="1:6">
      <c r="A27" s="1212" t="s">
        <v>17</v>
      </c>
      <c r="B27" s="335">
        <v>0</v>
      </c>
    </row>
    <row r="28" spans="1:6" s="341" customFormat="1">
      <c r="A28" s="1213" t="s">
        <v>18</v>
      </c>
      <c r="B28" s="1213">
        <v>0</v>
      </c>
    </row>
    <row r="29" spans="1:6">
      <c r="A29" s="1213" t="s">
        <v>836</v>
      </c>
      <c r="B29" s="1213">
        <v>2</v>
      </c>
      <c r="C29" s="341"/>
      <c r="D29" s="341"/>
      <c r="E29" s="341"/>
      <c r="F29" s="341"/>
    </row>
    <row r="30" spans="1:6">
      <c r="A30" s="1208" t="s">
        <v>837</v>
      </c>
      <c r="B30" s="1208">
        <v>16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3</v>
      </c>
      <c r="D36" s="335">
        <v>38389.634796268903</v>
      </c>
      <c r="E36" s="335">
        <v>9</v>
      </c>
      <c r="F36" s="335">
        <v>17174.785174619999</v>
      </c>
    </row>
    <row r="37" spans="1:6">
      <c r="A37" s="1212" t="s">
        <v>25</v>
      </c>
      <c r="B37" s="1212" t="s">
        <v>28</v>
      </c>
      <c r="C37" s="335">
        <v>0</v>
      </c>
      <c r="D37" s="335">
        <v>0</v>
      </c>
      <c r="E37" s="335">
        <v>0</v>
      </c>
      <c r="F37" s="335">
        <v>0</v>
      </c>
    </row>
    <row r="38" spans="1:6">
      <c r="A38" s="1212" t="s">
        <v>25</v>
      </c>
      <c r="B38" s="1212" t="s">
        <v>29</v>
      </c>
      <c r="C38" s="335">
        <v>0</v>
      </c>
      <c r="D38" s="335">
        <v>0</v>
      </c>
      <c r="E38" s="335">
        <v>2</v>
      </c>
      <c r="F38" s="335">
        <v>51246.670432988401</v>
      </c>
    </row>
    <row r="39" spans="1:6">
      <c r="A39" s="1212" t="s">
        <v>30</v>
      </c>
      <c r="B39" s="1212" t="s">
        <v>31</v>
      </c>
      <c r="C39" s="335">
        <v>8646</v>
      </c>
      <c r="D39" s="335">
        <v>149468100.91207999</v>
      </c>
      <c r="E39" s="335">
        <v>10260</v>
      </c>
      <c r="F39" s="335">
        <v>35036596.151155099</v>
      </c>
    </row>
    <row r="40" spans="1:6">
      <c r="A40" s="1212" t="s">
        <v>30</v>
      </c>
      <c r="B40" s="1212" t="s">
        <v>29</v>
      </c>
      <c r="C40" s="335">
        <v>0</v>
      </c>
      <c r="D40" s="335">
        <v>0</v>
      </c>
      <c r="E40" s="335">
        <v>0</v>
      </c>
      <c r="F40" s="335">
        <v>0</v>
      </c>
    </row>
    <row r="41" spans="1:6">
      <c r="A41" s="1212" t="s">
        <v>32</v>
      </c>
      <c r="B41" s="1212" t="s">
        <v>33</v>
      </c>
      <c r="C41" s="335">
        <v>54</v>
      </c>
      <c r="D41" s="335">
        <v>1150582.91582679</v>
      </c>
      <c r="E41" s="335">
        <v>246</v>
      </c>
      <c r="F41" s="335">
        <v>2959676.8334054402</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6</v>
      </c>
      <c r="D44" s="335">
        <v>8522931.6021722704</v>
      </c>
      <c r="E44" s="335">
        <v>18</v>
      </c>
      <c r="F44" s="335">
        <v>661236.81674885203</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34</v>
      </c>
      <c r="D48" s="335">
        <v>195270745.21657699</v>
      </c>
      <c r="E48" s="335">
        <v>49</v>
      </c>
      <c r="F48" s="335">
        <v>67926326.829842299</v>
      </c>
    </row>
    <row r="49" spans="1:6">
      <c r="A49" s="1212" t="s">
        <v>32</v>
      </c>
      <c r="B49" s="1212" t="s">
        <v>40</v>
      </c>
      <c r="C49" s="335">
        <v>0</v>
      </c>
      <c r="D49" s="335">
        <v>0</v>
      </c>
      <c r="E49" s="335">
        <v>0</v>
      </c>
      <c r="F49" s="335">
        <v>0</v>
      </c>
    </row>
    <row r="50" spans="1:6">
      <c r="A50" s="1212" t="s">
        <v>32</v>
      </c>
      <c r="B50" s="1212" t="s">
        <v>41</v>
      </c>
      <c r="C50" s="335">
        <v>16</v>
      </c>
      <c r="D50" s="335">
        <v>1016332.44367305</v>
      </c>
      <c r="E50" s="335">
        <v>21</v>
      </c>
      <c r="F50" s="335">
        <v>1373637.79219756</v>
      </c>
    </row>
    <row r="51" spans="1:6">
      <c r="A51" s="1212" t="s">
        <v>42</v>
      </c>
      <c r="B51" s="1212" t="s">
        <v>43</v>
      </c>
      <c r="C51" s="335">
        <v>3</v>
      </c>
      <c r="D51" s="335">
        <v>59903.784979619202</v>
      </c>
      <c r="E51" s="335">
        <v>27</v>
      </c>
      <c r="F51" s="335">
        <v>241545.19864201499</v>
      </c>
    </row>
    <row r="52" spans="1:6">
      <c r="A52" s="1212" t="s">
        <v>42</v>
      </c>
      <c r="B52" s="1212" t="s">
        <v>29</v>
      </c>
      <c r="C52" s="335">
        <v>5</v>
      </c>
      <c r="D52" s="335">
        <v>87417.890551542994</v>
      </c>
      <c r="E52" s="335">
        <v>3</v>
      </c>
      <c r="F52" s="335">
        <v>48224.795822320397</v>
      </c>
    </row>
    <row r="53" spans="1:6">
      <c r="A53" s="1212" t="s">
        <v>44</v>
      </c>
      <c r="B53" s="1212" t="s">
        <v>45</v>
      </c>
      <c r="C53" s="335">
        <v>189</v>
      </c>
      <c r="D53" s="335">
        <v>6794396.1399646802</v>
      </c>
      <c r="E53" s="335">
        <v>310</v>
      </c>
      <c r="F53" s="335">
        <v>1233243.0679097599</v>
      </c>
    </row>
    <row r="54" spans="1:6">
      <c r="A54" s="1212" t="s">
        <v>46</v>
      </c>
      <c r="B54" s="1212" t="s">
        <v>47</v>
      </c>
      <c r="C54" s="335">
        <v>0</v>
      </c>
      <c r="D54" s="335">
        <v>0</v>
      </c>
      <c r="E54" s="335">
        <v>1</v>
      </c>
      <c r="F54" s="335">
        <v>1642248</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53</v>
      </c>
      <c r="D57" s="335">
        <v>1774534.3050321201</v>
      </c>
      <c r="E57" s="335">
        <v>117</v>
      </c>
      <c r="F57" s="335">
        <v>4304160.7741664303</v>
      </c>
    </row>
    <row r="58" spans="1:6">
      <c r="A58" s="1212" t="s">
        <v>49</v>
      </c>
      <c r="B58" s="1212" t="s">
        <v>51</v>
      </c>
      <c r="C58" s="335">
        <v>39</v>
      </c>
      <c r="D58" s="335">
        <v>4705815.0811513402</v>
      </c>
      <c r="E58" s="335">
        <v>46</v>
      </c>
      <c r="F58" s="335">
        <v>2264768.6914914101</v>
      </c>
    </row>
    <row r="59" spans="1:6">
      <c r="A59" s="1212" t="s">
        <v>49</v>
      </c>
      <c r="B59" s="1212" t="s">
        <v>52</v>
      </c>
      <c r="C59" s="335">
        <v>146</v>
      </c>
      <c r="D59" s="335">
        <v>12034169.8226944</v>
      </c>
      <c r="E59" s="335">
        <v>264</v>
      </c>
      <c r="F59" s="335">
        <v>17001597.2180852</v>
      </c>
    </row>
    <row r="60" spans="1:6">
      <c r="A60" s="1212" t="s">
        <v>49</v>
      </c>
      <c r="B60" s="1212" t="s">
        <v>53</v>
      </c>
      <c r="C60" s="335">
        <v>73</v>
      </c>
      <c r="D60" s="335">
        <v>3070208.0910674301</v>
      </c>
      <c r="E60" s="335">
        <v>97</v>
      </c>
      <c r="F60" s="335">
        <v>2513638.6871712301</v>
      </c>
    </row>
    <row r="61" spans="1:6">
      <c r="A61" s="1212" t="s">
        <v>49</v>
      </c>
      <c r="B61" s="1212" t="s">
        <v>54</v>
      </c>
      <c r="C61" s="335">
        <v>273</v>
      </c>
      <c r="D61" s="335">
        <v>23383228.005374499</v>
      </c>
      <c r="E61" s="335">
        <v>412</v>
      </c>
      <c r="F61" s="335">
        <v>23008316.244141199</v>
      </c>
    </row>
    <row r="62" spans="1:6">
      <c r="A62" s="1212" t="s">
        <v>49</v>
      </c>
      <c r="B62" s="1212" t="s">
        <v>55</v>
      </c>
      <c r="C62" s="335">
        <v>6</v>
      </c>
      <c r="D62" s="335">
        <v>722104.68744139106</v>
      </c>
      <c r="E62" s="335">
        <v>24</v>
      </c>
      <c r="F62" s="335">
        <v>465998.04757217999</v>
      </c>
    </row>
    <row r="63" spans="1:6">
      <c r="A63" s="1212" t="s">
        <v>49</v>
      </c>
      <c r="B63" s="1212" t="s">
        <v>29</v>
      </c>
      <c r="C63" s="335">
        <v>98</v>
      </c>
      <c r="D63" s="335">
        <v>13358039.490008401</v>
      </c>
      <c r="E63" s="335">
        <v>96</v>
      </c>
      <c r="F63" s="335">
        <v>5911579.1467240499</v>
      </c>
    </row>
    <row r="64" spans="1:6">
      <c r="A64" s="1212" t="s">
        <v>56</v>
      </c>
      <c r="B64" s="1212" t="s">
        <v>57</v>
      </c>
      <c r="C64" s="335">
        <v>0</v>
      </c>
      <c r="D64" s="335">
        <v>0</v>
      </c>
      <c r="E64" s="335">
        <v>0</v>
      </c>
      <c r="F64" s="335">
        <v>0</v>
      </c>
    </row>
    <row r="65" spans="1:6">
      <c r="A65" s="1212" t="s">
        <v>56</v>
      </c>
      <c r="B65" s="1212" t="s">
        <v>29</v>
      </c>
      <c r="C65" s="335">
        <v>3</v>
      </c>
      <c r="D65" s="335">
        <v>84298.871845078596</v>
      </c>
      <c r="E65" s="335">
        <v>1</v>
      </c>
      <c r="F65" s="335">
        <v>3400.0202524261999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59951.564023955398</v>
      </c>
      <c r="E68" s="335">
        <v>13</v>
      </c>
      <c r="F68" s="335">
        <v>200360.162520499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151281290</v>
      </c>
      <c r="E73" s="335">
        <v>154943120.00274974</v>
      </c>
    </row>
    <row r="74" spans="1:6">
      <c r="A74" s="1212" t="s">
        <v>64</v>
      </c>
      <c r="B74" s="1212" t="s">
        <v>727</v>
      </c>
      <c r="C74" s="1212" t="s">
        <v>728</v>
      </c>
      <c r="D74" s="335">
        <v>31308143.451605536</v>
      </c>
      <c r="E74" s="335">
        <v>29767546.336456668</v>
      </c>
    </row>
    <row r="75" spans="1:6">
      <c r="A75" s="1212" t="s">
        <v>65</v>
      </c>
      <c r="B75" s="1212" t="s">
        <v>725</v>
      </c>
      <c r="C75" s="1212" t="s">
        <v>729</v>
      </c>
      <c r="D75" s="335">
        <v>48385738</v>
      </c>
      <c r="E75" s="335">
        <v>49483461.925614484</v>
      </c>
    </row>
    <row r="76" spans="1:6">
      <c r="A76" s="1212" t="s">
        <v>65</v>
      </c>
      <c r="B76" s="1212" t="s">
        <v>727</v>
      </c>
      <c r="C76" s="1212" t="s">
        <v>730</v>
      </c>
      <c r="D76" s="335">
        <v>6642255.4516055351</v>
      </c>
      <c r="E76" s="335">
        <v>6332312.1984064262</v>
      </c>
    </row>
    <row r="77" spans="1:6">
      <c r="A77" s="1212" t="s">
        <v>66</v>
      </c>
      <c r="B77" s="1212" t="s">
        <v>725</v>
      </c>
      <c r="C77" s="1212" t="s">
        <v>731</v>
      </c>
      <c r="D77" s="335">
        <v>55834768</v>
      </c>
      <c r="E77" s="335">
        <v>61739409.280920476</v>
      </c>
    </row>
    <row r="78" spans="1:6">
      <c r="A78" s="1208" t="s">
        <v>66</v>
      </c>
      <c r="B78" s="1208" t="s">
        <v>727</v>
      </c>
      <c r="C78" s="1208" t="s">
        <v>732</v>
      </c>
      <c r="D78" s="1208">
        <v>7772976</v>
      </c>
      <c r="E78" s="1208">
        <v>9301247.6175639089</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589839.09678892989</v>
      </c>
      <c r="C83" s="335">
        <v>582722.6272495063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7360.6182115571346</v>
      </c>
    </row>
    <row r="91" spans="1:6">
      <c r="A91" s="1212" t="s">
        <v>68</v>
      </c>
      <c r="B91" s="335">
        <v>2378.116154680195</v>
      </c>
    </row>
    <row r="92" spans="1:6">
      <c r="A92" s="1208" t="s">
        <v>69</v>
      </c>
      <c r="B92" s="338">
        <v>12343.160524267512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6495</v>
      </c>
    </row>
    <row r="98" spans="1:6">
      <c r="A98" s="1212" t="s">
        <v>72</v>
      </c>
      <c r="B98" s="335">
        <v>10</v>
      </c>
    </row>
    <row r="99" spans="1:6">
      <c r="A99" s="1212" t="s">
        <v>73</v>
      </c>
      <c r="B99" s="335">
        <v>27</v>
      </c>
    </row>
    <row r="100" spans="1:6">
      <c r="A100" s="1212" t="s">
        <v>74</v>
      </c>
      <c r="B100" s="335">
        <v>410</v>
      </c>
    </row>
    <row r="101" spans="1:6">
      <c r="A101" s="1212" t="s">
        <v>75</v>
      </c>
      <c r="B101" s="335">
        <v>70</v>
      </c>
    </row>
    <row r="102" spans="1:6">
      <c r="A102" s="1212" t="s">
        <v>76</v>
      </c>
      <c r="B102" s="335">
        <v>123</v>
      </c>
    </row>
    <row r="103" spans="1:6">
      <c r="A103" s="1212" t="s">
        <v>77</v>
      </c>
      <c r="B103" s="335">
        <v>180</v>
      </c>
    </row>
    <row r="104" spans="1:6">
      <c r="A104" s="1212" t="s">
        <v>78</v>
      </c>
      <c r="B104" s="335">
        <v>1800</v>
      </c>
    </row>
    <row r="105" spans="1:6">
      <c r="A105" s="1208" t="s">
        <v>79</v>
      </c>
      <c r="B105" s="1208">
        <v>4</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13</v>
      </c>
      <c r="C123" s="335">
        <v>13</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67</v>
      </c>
    </row>
    <row r="130" spans="1:6">
      <c r="A130" s="1212" t="s">
        <v>295</v>
      </c>
      <c r="B130" s="335">
        <v>1</v>
      </c>
    </row>
    <row r="131" spans="1:6">
      <c r="A131" s="1212" t="s">
        <v>296</v>
      </c>
      <c r="B131" s="335">
        <v>1</v>
      </c>
    </row>
    <row r="132" spans="1:6">
      <c r="A132" s="1208" t="s">
        <v>297</v>
      </c>
      <c r="B132" s="338">
        <v>6</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167751.61878811551</v>
      </c>
      <c r="C3" s="43" t="s">
        <v>170</v>
      </c>
      <c r="D3" s="43"/>
      <c r="E3" s="156"/>
      <c r="F3" s="43"/>
      <c r="G3" s="43"/>
      <c r="H3" s="43"/>
      <c r="I3" s="43"/>
      <c r="J3" s="43"/>
      <c r="K3" s="96"/>
    </row>
    <row r="4" spans="1:11">
      <c r="A4" s="366" t="s">
        <v>171</v>
      </c>
      <c r="B4" s="49">
        <f>IF(ISERROR('SEAP template'!B69),0,'SEAP template'!B69)</f>
        <v>22081.894890504842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0.19190878284181839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1642.248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1642.248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0.19190878284181839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315.1618148044106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35036.5961511551</v>
      </c>
      <c r="C5" s="17">
        <f>IF(ISERROR('Eigen informatie GS &amp; warmtenet'!B57),0,'Eigen informatie GS &amp; warmtenet'!B57)</f>
        <v>0</v>
      </c>
      <c r="D5" s="30">
        <f>(SUM(HH_hh_gas_kWh,HH_rest_gas_kWh)/1000)*0.902</f>
        <v>134820.22702269617</v>
      </c>
      <c r="E5" s="17">
        <f>B46*B57</f>
        <v>1754.435968497904</v>
      </c>
      <c r="F5" s="17">
        <f>B51*B62</f>
        <v>0</v>
      </c>
      <c r="G5" s="18"/>
      <c r="H5" s="17"/>
      <c r="I5" s="17"/>
      <c r="J5" s="17">
        <f>B50*B61+C50*C61</f>
        <v>0</v>
      </c>
      <c r="K5" s="17"/>
      <c r="L5" s="17"/>
      <c r="M5" s="17"/>
      <c r="N5" s="17">
        <f>B48*B59+C48*C59</f>
        <v>17052.137476375723</v>
      </c>
      <c r="O5" s="17">
        <f>B69*B70*B71</f>
        <v>125.06666666666666</v>
      </c>
      <c r="P5" s="17">
        <f>B77*B78*B79/1000-B77*B78*B79/1000/B80</f>
        <v>362.26666666666665</v>
      </c>
    </row>
    <row r="6" spans="1:16">
      <c r="A6" s="16" t="s">
        <v>634</v>
      </c>
      <c r="B6" s="831">
        <f>kWh_PV_kleiner_dan_10kW</f>
        <v>2378.116154680195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37414.712305835295</v>
      </c>
      <c r="C8" s="21">
        <f>C5</f>
        <v>0</v>
      </c>
      <c r="D8" s="21">
        <f>D5</f>
        <v>134820.22702269617</v>
      </c>
      <c r="E8" s="21">
        <f>E5</f>
        <v>1754.435968497904</v>
      </c>
      <c r="F8" s="21">
        <f>F5</f>
        <v>0</v>
      </c>
      <c r="G8" s="21"/>
      <c r="H8" s="21"/>
      <c r="I8" s="21"/>
      <c r="J8" s="21">
        <f>J5</f>
        <v>0</v>
      </c>
      <c r="K8" s="21"/>
      <c r="L8" s="21">
        <f>L5</f>
        <v>0</v>
      </c>
      <c r="M8" s="21">
        <f>M5</f>
        <v>0</v>
      </c>
      <c r="N8" s="21">
        <f>N5</f>
        <v>17052.137476375723</v>
      </c>
      <c r="O8" s="21">
        <f>O5</f>
        <v>125.06666666666666</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0.19190878284181839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7180.2118989896562</v>
      </c>
      <c r="C12" s="23">
        <f ca="1">C10*C8</f>
        <v>0</v>
      </c>
      <c r="D12" s="23">
        <f>D8*D10</f>
        <v>27233.685858584628</v>
      </c>
      <c r="E12" s="23">
        <f>E10*E8</f>
        <v>398.2569648490242</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6495</v>
      </c>
      <c r="C18" s="168" t="s">
        <v>111</v>
      </c>
      <c r="D18" s="230"/>
      <c r="E18" s="15"/>
    </row>
    <row r="19" spans="1:7">
      <c r="A19" s="173" t="s">
        <v>72</v>
      </c>
      <c r="B19" s="37">
        <f>aantalw2001_ander</f>
        <v>10</v>
      </c>
      <c r="C19" s="168" t="s">
        <v>111</v>
      </c>
      <c r="D19" s="231"/>
      <c r="E19" s="15"/>
    </row>
    <row r="20" spans="1:7">
      <c r="A20" s="173" t="s">
        <v>73</v>
      </c>
      <c r="B20" s="37">
        <f>aantalw2001_propaan</f>
        <v>27</v>
      </c>
      <c r="C20" s="169">
        <f>IF(ISERROR(B20/SUM($B$20,$B$21,$B$22)*100),0,B20/SUM($B$20,$B$21,$B$22)*100)</f>
        <v>5.3254437869822491</v>
      </c>
      <c r="D20" s="231"/>
      <c r="E20" s="15"/>
    </row>
    <row r="21" spans="1:7">
      <c r="A21" s="173" t="s">
        <v>74</v>
      </c>
      <c r="B21" s="37">
        <f>aantalw2001_elektriciteit</f>
        <v>410</v>
      </c>
      <c r="C21" s="169">
        <f>IF(ISERROR(B21/SUM($B$20,$B$21,$B$22)*100),0,B21/SUM($B$20,$B$21,$B$22)*100)</f>
        <v>80.867850098619328</v>
      </c>
      <c r="D21" s="231"/>
      <c r="E21" s="15"/>
    </row>
    <row r="22" spans="1:7">
      <c r="A22" s="173" t="s">
        <v>75</v>
      </c>
      <c r="B22" s="37">
        <f>aantalw2001_hout</f>
        <v>70</v>
      </c>
      <c r="C22" s="169">
        <f>IF(ISERROR(B22/SUM($B$20,$B$21,$B$22)*100),0,B22/SUM($B$20,$B$21,$B$22)*100)</f>
        <v>13.806706114398423</v>
      </c>
      <c r="D22" s="231"/>
      <c r="E22" s="15"/>
    </row>
    <row r="23" spans="1:7">
      <c r="A23" s="173" t="s">
        <v>76</v>
      </c>
      <c r="B23" s="37">
        <f>aantalw2001_niet_gespec</f>
        <v>123</v>
      </c>
      <c r="C23" s="168" t="s">
        <v>111</v>
      </c>
      <c r="D23" s="230"/>
      <c r="E23" s="15"/>
    </row>
    <row r="24" spans="1:7">
      <c r="A24" s="173" t="s">
        <v>77</v>
      </c>
      <c r="B24" s="37">
        <f>aantalw2001_steenkool</f>
        <v>180</v>
      </c>
      <c r="C24" s="168" t="s">
        <v>111</v>
      </c>
      <c r="D24" s="231"/>
      <c r="E24" s="15"/>
    </row>
    <row r="25" spans="1:7">
      <c r="A25" s="173" t="s">
        <v>78</v>
      </c>
      <c r="B25" s="37">
        <f>aantalw2001_stookolie</f>
        <v>1800</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10246</v>
      </c>
      <c r="C28" s="36"/>
      <c r="D28" s="230"/>
    </row>
    <row r="29" spans="1:7" s="15" customFormat="1">
      <c r="A29" s="232" t="s">
        <v>746</v>
      </c>
      <c r="B29" s="37">
        <f>SUM(HH_hh_gas_aantal,HH_rest_gas_aantal)</f>
        <v>8646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8646</v>
      </c>
      <c r="C32" s="169">
        <f>IF(ISERROR(B32/SUM($B$32,$B$34,$B$35,$B$36,$B$38,$B$39)*100),0,B32/SUM($B$32,$B$34,$B$35,$B$36,$B$38,$B$39)*100)</f>
        <v>84.540921091229109</v>
      </c>
      <c r="D32" s="235"/>
      <c r="G32" s="15"/>
    </row>
    <row r="33" spans="1:7">
      <c r="A33" s="173" t="s">
        <v>72</v>
      </c>
      <c r="B33" s="34" t="s">
        <v>111</v>
      </c>
      <c r="C33" s="169"/>
      <c r="D33" s="235"/>
      <c r="G33" s="15"/>
    </row>
    <row r="34" spans="1:7">
      <c r="A34" s="173" t="s">
        <v>73</v>
      </c>
      <c r="B34" s="33">
        <f>IF((($B$28-$B$32-$B$39-$B$77-$B$38)*C20/100)&lt;0,0,($B$28-$B$32-$B$39-$B$77-$B$38)*C20/100)</f>
        <v>84.195266272189372</v>
      </c>
      <c r="C34" s="169">
        <f>IF(ISERROR(B34/SUM($B$32,$B$34,$B$35,$B$36,$B$38,$B$39)*100),0,B34/SUM($B$32,$B$34,$B$35,$B$36,$B$38,$B$39)*100)</f>
        <v>0.82326455727182324</v>
      </c>
      <c r="D34" s="235"/>
      <c r="G34" s="15"/>
    </row>
    <row r="35" spans="1:7">
      <c r="A35" s="173" t="s">
        <v>74</v>
      </c>
      <c r="B35" s="33">
        <f>IF((($B$28-$B$32-$B$39-$B$77-$B$38)*C21/100)&lt;0,0,($B$28-$B$32-$B$39-$B$77-$B$38)*C21/100)</f>
        <v>1278.5207100591715</v>
      </c>
      <c r="C35" s="169">
        <f>IF(ISERROR(B35/SUM($B$32,$B$34,$B$35,$B$36,$B$38,$B$39)*100),0,B35/SUM($B$32,$B$34,$B$35,$B$36,$B$38,$B$39)*100)</f>
        <v>12.501424758572128</v>
      </c>
      <c r="D35" s="235"/>
      <c r="G35" s="15"/>
    </row>
    <row r="36" spans="1:7">
      <c r="A36" s="173" t="s">
        <v>75</v>
      </c>
      <c r="B36" s="33">
        <f>IF((($B$28-$B$32-$B$39-$B$77-$B$38)*C22/100)&lt;0,0,($B$28-$B$32-$B$39-$B$77-$B$38)*C22/100)</f>
        <v>218.28402366863907</v>
      </c>
      <c r="C36" s="169">
        <f>IF(ISERROR(B36/SUM($B$32,$B$34,$B$35,$B$36,$B$38,$B$39)*100),0,B36/SUM($B$32,$B$34,$B$35,$B$36,$B$38,$B$39)*100)</f>
        <v>2.134389592926949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8646</v>
      </c>
      <c r="C44" s="34" t="s">
        <v>111</v>
      </c>
      <c r="D44" s="176"/>
    </row>
    <row r="45" spans="1:7">
      <c r="A45" s="173" t="s">
        <v>72</v>
      </c>
      <c r="B45" s="33" t="str">
        <f t="shared" si="0"/>
        <v>-</v>
      </c>
      <c r="C45" s="34" t="s">
        <v>111</v>
      </c>
      <c r="D45" s="176"/>
    </row>
    <row r="46" spans="1:7">
      <c r="A46" s="173" t="s">
        <v>73</v>
      </c>
      <c r="B46" s="33">
        <f t="shared" si="0"/>
        <v>84.195266272189372</v>
      </c>
      <c r="C46" s="34" t="s">
        <v>111</v>
      </c>
      <c r="D46" s="176"/>
    </row>
    <row r="47" spans="1:7">
      <c r="A47" s="173" t="s">
        <v>74</v>
      </c>
      <c r="B47" s="33">
        <f t="shared" si="0"/>
        <v>1278.5207100591715</v>
      </c>
      <c r="C47" s="34" t="s">
        <v>111</v>
      </c>
      <c r="D47" s="176"/>
    </row>
    <row r="48" spans="1:7">
      <c r="A48" s="173" t="s">
        <v>75</v>
      </c>
      <c r="B48" s="33">
        <f t="shared" si="0"/>
        <v>218.28402366863907</v>
      </c>
      <c r="C48" s="33">
        <f>B48*10</f>
        <v>2182.8402366863907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55470.0588093517</v>
      </c>
      <c r="C5" s="17">
        <f>IF(ISERROR('Eigen informatie GS &amp; warmtenet'!B58),0,'Eigen informatie GS &amp; warmtenet'!B58)</f>
        <v>0</v>
      </c>
      <c r="D5" s="30">
        <f>SUM(D6:D12)</f>
        <v>53261.385733458163</v>
      </c>
      <c r="E5" s="17">
        <f>SUM(E6:E12)</f>
        <v>570.38714689751248</v>
      </c>
      <c r="F5" s="17">
        <f>SUM(F6:F12)</f>
        <v>10170.742865580853</v>
      </c>
      <c r="G5" s="18"/>
      <c r="H5" s="17"/>
      <c r="I5" s="17"/>
      <c r="J5" s="17">
        <f>SUM(J6:J12)</f>
        <v>0</v>
      </c>
      <c r="K5" s="17"/>
      <c r="L5" s="17"/>
      <c r="M5" s="17"/>
      <c r="N5" s="17">
        <f>SUM(N6:N12)</f>
        <v>3552.870109399948</v>
      </c>
      <c r="O5" s="17">
        <f>B38*B39*B40</f>
        <v>1.5633333333333335</v>
      </c>
      <c r="P5" s="17">
        <f>B46*B47*B48/1000-B46*B47*B48/1000/B49</f>
        <v>19.066666666666666</v>
      </c>
      <c r="R5" s="32"/>
    </row>
    <row r="6" spans="1:18">
      <c r="A6" s="32" t="s">
        <v>54</v>
      </c>
      <c r="B6" s="37">
        <f>B26</f>
        <v>23008.316244141199</v>
      </c>
      <c r="C6" s="33"/>
      <c r="D6" s="37">
        <f>IF(ISERROR(TER_kantoor_gas_kWh/1000),0,TER_kantoor_gas_kWh/1000)*0.902</f>
        <v>21091.671660847798</v>
      </c>
      <c r="E6" s="33">
        <f>$C$26*'E Balans VL '!I12/100/3.6*1000000</f>
        <v>89.392179752853878</v>
      </c>
      <c r="F6" s="33">
        <f>$C$26*('E Balans VL '!L12+'E Balans VL '!N12)/100/3.6*1000000</f>
        <v>3499.3555417476009</v>
      </c>
      <c r="G6" s="34"/>
      <c r="H6" s="33"/>
      <c r="I6" s="33"/>
      <c r="J6" s="33">
        <f>$C$26*('E Balans VL '!D12+'E Balans VL '!E12)/100/3.6*1000000</f>
        <v>0</v>
      </c>
      <c r="K6" s="33"/>
      <c r="L6" s="33"/>
      <c r="M6" s="33"/>
      <c r="N6" s="33">
        <f>$C$26*'E Balans VL '!Y12/100/3.6*1000000</f>
        <v>12.680338578927902</v>
      </c>
      <c r="O6" s="33"/>
      <c r="P6" s="33"/>
      <c r="R6" s="32"/>
    </row>
    <row r="7" spans="1:18">
      <c r="A7" s="32" t="s">
        <v>53</v>
      </c>
      <c r="B7" s="37">
        <f t="shared" ref="B7:B12" si="0">B27</f>
        <v>2513.6386871712302</v>
      </c>
      <c r="C7" s="33"/>
      <c r="D7" s="37">
        <f>IF(ISERROR(TER_horeca_gas_kWh/1000),0,TER_horeca_gas_kWh/1000)*0.902</f>
        <v>2769.3276981428216</v>
      </c>
      <c r="E7" s="33">
        <f>$C$27*'E Balans VL '!I9/100/3.6*1000000</f>
        <v>141.59393928399581</v>
      </c>
      <c r="F7" s="33">
        <f>$C$27*('E Balans VL '!L9+'E Balans VL '!N9)/100/3.6*1000000</f>
        <v>724.78290890405322</v>
      </c>
      <c r="G7" s="34"/>
      <c r="H7" s="33"/>
      <c r="I7" s="33"/>
      <c r="J7" s="33">
        <f>$C$27*('E Balans VL '!D9+'E Balans VL '!E9)/100/3.6*1000000</f>
        <v>0</v>
      </c>
      <c r="K7" s="33"/>
      <c r="L7" s="33"/>
      <c r="M7" s="33"/>
      <c r="N7" s="33">
        <f>$C$27*'E Balans VL '!Y9/100/3.6*1000000</f>
        <v>0.69400257943238564</v>
      </c>
      <c r="O7" s="33"/>
      <c r="P7" s="33"/>
      <c r="R7" s="32"/>
    </row>
    <row r="8" spans="1:18">
      <c r="A8" s="6" t="s">
        <v>52</v>
      </c>
      <c r="B8" s="37">
        <f t="shared" si="0"/>
        <v>17001.5972180852</v>
      </c>
      <c r="C8" s="33"/>
      <c r="D8" s="37">
        <f>IF(ISERROR(TER_handel_gas_kWh/1000),0,TER_handel_gas_kWh/1000)*0.902</f>
        <v>10854.82118007035</v>
      </c>
      <c r="E8" s="33">
        <f>$C$28*'E Balans VL '!I13/100/3.6*1000000</f>
        <v>245.05069659414394</v>
      </c>
      <c r="F8" s="33">
        <f>$C$28*('E Balans VL '!L13+'E Balans VL '!N13)/100/3.6*1000000</f>
        <v>2953.5733772629997</v>
      </c>
      <c r="G8" s="34"/>
      <c r="H8" s="33"/>
      <c r="I8" s="33"/>
      <c r="J8" s="33">
        <f>$C$28*('E Balans VL '!D13+'E Balans VL '!E13)/100/3.6*1000000</f>
        <v>0</v>
      </c>
      <c r="K8" s="33"/>
      <c r="L8" s="33"/>
      <c r="M8" s="33"/>
      <c r="N8" s="33">
        <f>$C$28*'E Balans VL '!Y13/100/3.6*1000000</f>
        <v>50.938677922174598</v>
      </c>
      <c r="O8" s="33"/>
      <c r="P8" s="33"/>
      <c r="R8" s="32"/>
    </row>
    <row r="9" spans="1:18">
      <c r="A9" s="32" t="s">
        <v>51</v>
      </c>
      <c r="B9" s="37">
        <f t="shared" si="0"/>
        <v>2264.7686914914102</v>
      </c>
      <c r="C9" s="33"/>
      <c r="D9" s="37">
        <f>IF(ISERROR(TER_gezond_gas_kWh/1000),0,TER_gezond_gas_kWh/1000)*0.902</f>
        <v>4244.6452031985091</v>
      </c>
      <c r="E9" s="33">
        <f>$C$29*'E Balans VL '!I10/100/3.6*1000000</f>
        <v>2.4193599690005301</v>
      </c>
      <c r="F9" s="33">
        <f>$C$29*('E Balans VL '!L10+'E Balans VL '!N10)/100/3.6*1000000</f>
        <v>369.45260248560447</v>
      </c>
      <c r="G9" s="34"/>
      <c r="H9" s="33"/>
      <c r="I9" s="33"/>
      <c r="J9" s="33">
        <f>$C$29*('E Balans VL '!D10+'E Balans VL '!E10)/100/3.6*1000000</f>
        <v>0</v>
      </c>
      <c r="K9" s="33"/>
      <c r="L9" s="33"/>
      <c r="M9" s="33"/>
      <c r="N9" s="33">
        <f>$C$29*'E Balans VL '!Y10/100/3.6*1000000</f>
        <v>23.314501427669516</v>
      </c>
      <c r="O9" s="33"/>
      <c r="P9" s="33"/>
      <c r="R9" s="32"/>
    </row>
    <row r="10" spans="1:18">
      <c r="A10" s="32" t="s">
        <v>50</v>
      </c>
      <c r="B10" s="37">
        <f t="shared" si="0"/>
        <v>4304.1607741664302</v>
      </c>
      <c r="C10" s="33"/>
      <c r="D10" s="37">
        <f>IF(ISERROR(TER_ander_gas_kWh/1000),0,TER_ander_gas_kWh/1000)*0.902</f>
        <v>1600.6299431389723</v>
      </c>
      <c r="E10" s="33">
        <f>$C$30*'E Balans VL '!I14/100/3.6*1000000</f>
        <v>19.794180688936049</v>
      </c>
      <c r="F10" s="33">
        <f>$C$30*('E Balans VL '!L14+'E Balans VL '!N14)/100/3.6*1000000</f>
        <v>1290.0927494508624</v>
      </c>
      <c r="G10" s="34"/>
      <c r="H10" s="33"/>
      <c r="I10" s="33"/>
      <c r="J10" s="33">
        <f>$C$30*('E Balans VL '!D14+'E Balans VL '!E14)/100/3.6*1000000</f>
        <v>0</v>
      </c>
      <c r="K10" s="33"/>
      <c r="L10" s="33"/>
      <c r="M10" s="33"/>
      <c r="N10" s="33">
        <f>$C$30*'E Balans VL '!Y14/100/3.6*1000000</f>
        <v>2995.980019781085</v>
      </c>
      <c r="O10" s="33"/>
      <c r="P10" s="33"/>
      <c r="R10" s="32"/>
    </row>
    <row r="11" spans="1:18">
      <c r="A11" s="32" t="s">
        <v>55</v>
      </c>
      <c r="B11" s="37">
        <f t="shared" si="0"/>
        <v>465.99804757217998</v>
      </c>
      <c r="C11" s="33"/>
      <c r="D11" s="37">
        <f>IF(ISERROR(TER_onderwijs_gas_kWh/1000),0,TER_onderwijs_gas_kWh/1000)*0.902</f>
        <v>651.33842807213477</v>
      </c>
      <c r="E11" s="33">
        <f>$C$31*'E Balans VL '!I11/100/3.6*1000000</f>
        <v>0.43227447195708762</v>
      </c>
      <c r="F11" s="33">
        <f>$C$31*('E Balans VL '!L11+'E Balans VL '!N11)/100/3.6*1000000</f>
        <v>163.69440391700581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5911.5791467240497</v>
      </c>
      <c r="C12" s="33"/>
      <c r="D12" s="37">
        <f>IF(ISERROR(TER_rest_gas_kWh/1000),0,TER_rest_gas_kWh/1000)*0.902</f>
        <v>12048.951619987578</v>
      </c>
      <c r="E12" s="33">
        <f>$C$32*'E Balans VL '!I8/100/3.6*1000000</f>
        <v>71.704516136625202</v>
      </c>
      <c r="F12" s="33">
        <f>$C$32*('E Balans VL '!L8+'E Balans VL '!N8)/100/3.6*1000000</f>
        <v>1169.7912818127259</v>
      </c>
      <c r="G12" s="34"/>
      <c r="H12" s="33"/>
      <c r="I12" s="33"/>
      <c r="J12" s="33">
        <f>$C$32*('E Balans VL '!D8+'E Balans VL '!E8)/100/3.6*1000000</f>
        <v>0</v>
      </c>
      <c r="K12" s="33"/>
      <c r="L12" s="33"/>
      <c r="M12" s="33"/>
      <c r="N12" s="33">
        <f>$C$32*'E Balans VL '!Y8/100/3.6*1000000</f>
        <v>469.26256911065872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55470.0588093517</v>
      </c>
      <c r="C16" s="21">
        <f t="shared" ca="1" si="1"/>
        <v>0</v>
      </c>
      <c r="D16" s="21">
        <f t="shared" ca="1" si="1"/>
        <v>53261.385733458163</v>
      </c>
      <c r="E16" s="21">
        <f t="shared" si="1"/>
        <v>570.38714689751248</v>
      </c>
      <c r="F16" s="21">
        <f t="shared" ca="1" si="1"/>
        <v>10170.742865580853</v>
      </c>
      <c r="G16" s="21">
        <f t="shared" si="1"/>
        <v>0</v>
      </c>
      <c r="H16" s="21">
        <f t="shared" si="1"/>
        <v>0</v>
      </c>
      <c r="I16" s="21">
        <f t="shared" si="1"/>
        <v>0</v>
      </c>
      <c r="J16" s="21">
        <f t="shared" si="1"/>
        <v>0</v>
      </c>
      <c r="K16" s="21">
        <f t="shared" si="1"/>
        <v>0</v>
      </c>
      <c r="L16" s="21">
        <f t="shared" ca="1" si="1"/>
        <v>0</v>
      </c>
      <c r="M16" s="21">
        <f t="shared" si="1"/>
        <v>0</v>
      </c>
      <c r="N16" s="21">
        <f t="shared" ca="1" si="1"/>
        <v>3552.870109399948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0.19190878284181839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10645.191470266771</v>
      </c>
      <c r="C20" s="23">
        <f t="shared" ref="C20:P20" ca="1" si="2">C16*C18</f>
        <v>0</v>
      </c>
      <c r="D20" s="23">
        <f t="shared" ca="1" si="2"/>
        <v>10758.799918158549</v>
      </c>
      <c r="E20" s="23">
        <f t="shared" si="2"/>
        <v>129.47788234573534</v>
      </c>
      <c r="F20" s="23">
        <f t="shared" ca="1" si="2"/>
        <v>2715.5883451100876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23008.316244141199</v>
      </c>
      <c r="C26" s="39">
        <f>IF(ISERROR(B26*3.6/1000000/'E Balans VL '!Z12*100),0,B26*3.6/1000000/'E Balans VL '!Z12*100)</f>
        <v>0.48870803386385758</v>
      </c>
      <c r="D26" s="239" t="s">
        <v>692</v>
      </c>
      <c r="F26" s="6"/>
    </row>
    <row r="27" spans="1:18">
      <c r="A27" s="233" t="s">
        <v>53</v>
      </c>
      <c r="B27" s="33">
        <f>IF(ISERROR(TER_horeca_ele_kWh/1000),0,TER_horeca_ele_kWh/1000)</f>
        <v>2513.6386871712302</v>
      </c>
      <c r="C27" s="39">
        <f>IF(ISERROR(B27*3.6/1000000/'E Balans VL '!Z9*100),0,B27*3.6/1000000/'E Balans VL '!Z9*100)</f>
        <v>0.19545071618397533</v>
      </c>
      <c r="D27" s="239" t="s">
        <v>692</v>
      </c>
      <c r="F27" s="6"/>
    </row>
    <row r="28" spans="1:18">
      <c r="A28" s="173" t="s">
        <v>52</v>
      </c>
      <c r="B28" s="33">
        <f>IF(ISERROR(TER_handel_ele_kWh/1000),0,TER_handel_ele_kWh/1000)</f>
        <v>17001.5972180852</v>
      </c>
      <c r="C28" s="39">
        <f>IF(ISERROR(B28*3.6/1000000/'E Balans VL '!Z13*100),0,B28*3.6/1000000/'E Balans VL '!Z13*100)</f>
        <v>0.48643570528775354</v>
      </c>
      <c r="D28" s="239" t="s">
        <v>692</v>
      </c>
      <c r="F28" s="6"/>
    </row>
    <row r="29" spans="1:18">
      <c r="A29" s="233" t="s">
        <v>51</v>
      </c>
      <c r="B29" s="33">
        <f>IF(ISERROR(TER_gezond_ele_kWh/1000),0,TER_gezond_ele_kWh/1000)</f>
        <v>2264.7686914914102</v>
      </c>
      <c r="C29" s="39">
        <f>IF(ISERROR(B29*3.6/1000000/'E Balans VL '!Z10*100),0,B29*3.6/1000000/'E Balans VL '!Z10*100)</f>
        <v>0.24691241428531222</v>
      </c>
      <c r="D29" s="239" t="s">
        <v>692</v>
      </c>
      <c r="F29" s="6"/>
    </row>
    <row r="30" spans="1:18">
      <c r="A30" s="233" t="s">
        <v>50</v>
      </c>
      <c r="B30" s="33">
        <f>IF(ISERROR(TER_ander_ele_kWh/1000),0,TER_ander_ele_kWh/1000)</f>
        <v>4304.1607741664302</v>
      </c>
      <c r="C30" s="39">
        <f>IF(ISERROR(B30*3.6/1000000/'E Balans VL '!Z14*100),0,B30*3.6/1000000/'E Balans VL '!Z14*100)</f>
        <v>0.31496872169623741</v>
      </c>
      <c r="D30" s="239" t="s">
        <v>692</v>
      </c>
      <c r="F30" s="6"/>
    </row>
    <row r="31" spans="1:18">
      <c r="A31" s="233" t="s">
        <v>55</v>
      </c>
      <c r="B31" s="33">
        <f>IF(ISERROR(TER_onderwijs_ele_kWh/1000),0,TER_onderwijs_ele_kWh/1000)</f>
        <v>465.99804757217998</v>
      </c>
      <c r="C31" s="39">
        <f>IF(ISERROR(B31*3.6/1000000/'E Balans VL '!Z11*100),0,B31*3.6/1000000/'E Balans VL '!Z11*100)</f>
        <v>9.3596053895480424E-2</v>
      </c>
      <c r="D31" s="239" t="s">
        <v>692</v>
      </c>
    </row>
    <row r="32" spans="1:18">
      <c r="A32" s="233" t="s">
        <v>260</v>
      </c>
      <c r="B32" s="33">
        <f>IF(ISERROR(TER_rest_ele_kWh/1000),0,TER_rest_ele_kWh/1000)</f>
        <v>5911.5791467240497</v>
      </c>
      <c r="C32" s="39">
        <f>IF(ISERROR(B32*3.6/1000000/'E Balans VL '!Z8*100),0,B32*3.6/1000000/'E Balans VL '!Z8*100)</f>
        <v>4.8175782490697629E-2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72920.878272194153</v>
      </c>
      <c r="C5" s="17">
        <f>IF(ISERROR('Eigen informatie GS &amp; warmtenet'!B59),0,'Eigen informatie GS &amp; warmtenet'!B59)</f>
        <v>0</v>
      </c>
      <c r="D5" s="30">
        <f>SUM(D6:D15)</f>
        <v>185776.4541447807</v>
      </c>
      <c r="E5" s="17">
        <f>SUM(E6:E15)</f>
        <v>4721.6271420781486</v>
      </c>
      <c r="F5" s="17">
        <f>SUM(F6:F15)</f>
        <v>20157.366374897494</v>
      </c>
      <c r="G5" s="18"/>
      <c r="H5" s="17"/>
      <c r="I5" s="17"/>
      <c r="J5" s="17">
        <f>SUM(J6:J15)</f>
        <v>174.11761885600993</v>
      </c>
      <c r="K5" s="17"/>
      <c r="L5" s="17"/>
      <c r="M5" s="17"/>
      <c r="N5" s="17">
        <f>SUM(N6:N15)</f>
        <v>14718.519620663494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661.23681674885199</v>
      </c>
      <c r="C8" s="33"/>
      <c r="D8" s="37">
        <f>IF( ISERROR(IND_metaal_Gas_kWH/1000),0,IND_metaal_Gas_kWH/1000)*0.902</f>
        <v>7687.6843051593878</v>
      </c>
      <c r="E8" s="33">
        <f>C30*'E Balans VL '!I18/100/3.6*1000000</f>
        <v>18.993203355551561</v>
      </c>
      <c r="F8" s="33">
        <f>C30*'E Balans VL '!L18/100/3.6*1000000+C30*'E Balans VL '!N18/100/3.6*1000000</f>
        <v>169.59452608445892</v>
      </c>
      <c r="G8" s="34"/>
      <c r="H8" s="33"/>
      <c r="I8" s="33"/>
      <c r="J8" s="40">
        <f>C30*'E Balans VL '!D18/100/3.6*1000000+C30*'E Balans VL '!E18/100/3.6*1000000</f>
        <v>0</v>
      </c>
      <c r="K8" s="33"/>
      <c r="L8" s="33"/>
      <c r="M8" s="33"/>
      <c r="N8" s="33">
        <f>C30*'E Balans VL '!Y18/100/3.6*1000000</f>
        <v>17.953929350307444</v>
      </c>
      <c r="O8" s="33"/>
      <c r="P8" s="33"/>
      <c r="R8" s="32"/>
    </row>
    <row r="9" spans="1:18">
      <c r="A9" s="6" t="s">
        <v>33</v>
      </c>
      <c r="B9" s="37">
        <f t="shared" si="0"/>
        <v>2959.67683340544</v>
      </c>
      <c r="C9" s="33"/>
      <c r="D9" s="37">
        <f>IF( ISERROR(IND_andere_gas_kWh/1000),0,IND_andere_gas_kWh/1000)*0.902</f>
        <v>1037.8257900757646</v>
      </c>
      <c r="E9" s="33">
        <f>C31*'E Balans VL '!I19/100/3.6*1000000</f>
        <v>801.11174910884324</v>
      </c>
      <c r="F9" s="33">
        <f>C31*'E Balans VL '!L19/100/3.6*1000000+C31*'E Balans VL '!N19/100/3.6*1000000</f>
        <v>1971.4579702812634</v>
      </c>
      <c r="G9" s="34"/>
      <c r="H9" s="33"/>
      <c r="I9" s="33"/>
      <c r="J9" s="40">
        <f>C31*'E Balans VL '!D19/100/3.6*1000000+C31*'E Balans VL '!E19/100/3.6*1000000</f>
        <v>0</v>
      </c>
      <c r="K9" s="33"/>
      <c r="L9" s="33"/>
      <c r="M9" s="33"/>
      <c r="N9" s="33">
        <f>C31*'E Balans VL '!Y19/100/3.6*1000000</f>
        <v>966.28532166565617</v>
      </c>
      <c r="O9" s="33"/>
      <c r="P9" s="33"/>
      <c r="R9" s="32"/>
    </row>
    <row r="10" spans="1:18">
      <c r="A10" s="6" t="s">
        <v>41</v>
      </c>
      <c r="B10" s="37">
        <f t="shared" si="0"/>
        <v>1373.63779219756</v>
      </c>
      <c r="C10" s="33"/>
      <c r="D10" s="37">
        <f>IF( ISERROR(IND_voed_gas_kWh/1000),0,IND_voed_gas_kWh/1000)*0.902</f>
        <v>916.73186419309116</v>
      </c>
      <c r="E10" s="33">
        <f>C32*'E Balans VL '!I20/100/3.6*1000000</f>
        <v>112.03705418234105</v>
      </c>
      <c r="F10" s="33">
        <f>C32*'E Balans VL '!L20/100/3.6*1000000+C32*'E Balans VL '!N20/100/3.6*1000000</f>
        <v>2048.2185755070786</v>
      </c>
      <c r="G10" s="34"/>
      <c r="H10" s="33"/>
      <c r="I10" s="33"/>
      <c r="J10" s="40">
        <f>C32*'E Balans VL '!D20/100/3.6*1000000+C32*'E Balans VL '!E20/100/3.6*1000000</f>
        <v>1.8171560618173044E-2</v>
      </c>
      <c r="K10" s="33"/>
      <c r="L10" s="33"/>
      <c r="M10" s="33"/>
      <c r="N10" s="33">
        <f>C32*'E Balans VL '!Y20/100/3.6*1000000</f>
        <v>403.52631289642147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67926.326829842306</v>
      </c>
      <c r="C15" s="33"/>
      <c r="D15" s="37">
        <f>IF( ISERROR(IND_rest_gas_kWh/1000),0,IND_rest_gas_kWh/1000)*0.902</f>
        <v>176134.21218535246</v>
      </c>
      <c r="E15" s="33">
        <f>C37*'E Balans VL '!I15/100/3.6*1000000</f>
        <v>3789.4851354314123</v>
      </c>
      <c r="F15" s="33">
        <f>C37*'E Balans VL '!L15/100/3.6*1000000+C37*'E Balans VL '!N15/100/3.6*1000000</f>
        <v>15968.095303024691</v>
      </c>
      <c r="G15" s="34"/>
      <c r="H15" s="33"/>
      <c r="I15" s="33"/>
      <c r="J15" s="40">
        <f>C37*'E Balans VL '!D15/100/3.6*1000000+C37*'E Balans VL '!E15/100/3.6*1000000</f>
        <v>174.09944729539174</v>
      </c>
      <c r="K15" s="33"/>
      <c r="L15" s="33"/>
      <c r="M15" s="33"/>
      <c r="N15" s="33">
        <f>C37*'E Balans VL '!Y15/100/3.6*1000000</f>
        <v>13330.75405675111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72920.878272194153</v>
      </c>
      <c r="C18" s="21">
        <f>C5+C16</f>
        <v>0</v>
      </c>
      <c r="D18" s="21">
        <f>MAX((D5+D16),0)</f>
        <v>185776.4541447807</v>
      </c>
      <c r="E18" s="21">
        <f>MAX((E5+E16),0)</f>
        <v>4721.6271420781486</v>
      </c>
      <c r="F18" s="21">
        <f>MAX((F5+F16),0)</f>
        <v>20157.366374897494</v>
      </c>
      <c r="G18" s="21"/>
      <c r="H18" s="21"/>
      <c r="I18" s="21"/>
      <c r="J18" s="21">
        <f>MAX((J5+J16),0)</f>
        <v>174.11761885600993</v>
      </c>
      <c r="K18" s="21"/>
      <c r="L18" s="21">
        <f>MAX((L5+L16),0)</f>
        <v>0</v>
      </c>
      <c r="M18" s="21"/>
      <c r="N18" s="21">
        <f>MAX((N5+N16),0)</f>
        <v>14718.519620663494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0.19190878284181839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13994.156992973181</v>
      </c>
      <c r="C22" s="23">
        <f ca="1">C18*C20</f>
        <v>0</v>
      </c>
      <c r="D22" s="23">
        <f>D18*D20</f>
        <v>37526.843737245705</v>
      </c>
      <c r="E22" s="23">
        <f>E18*E20</f>
        <v>1071.8093612517398</v>
      </c>
      <c r="F22" s="23">
        <f>F18*F20</f>
        <v>5382.0168220976311</v>
      </c>
      <c r="G22" s="23"/>
      <c r="H22" s="23"/>
      <c r="I22" s="23"/>
      <c r="J22" s="23">
        <f>J18*J20</f>
        <v>61.637637075027513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661.23681674885199</v>
      </c>
      <c r="C30" s="39">
        <f>IF(ISERROR(B30*3.6/1000000/'E Balans VL '!Z18*100),0,B30*3.6/1000000/'E Balans VL '!Z18*100)</f>
        <v>6.5064014810303675E-2</v>
      </c>
      <c r="D30" s="239" t="s">
        <v>692</v>
      </c>
    </row>
    <row r="31" spans="1:18">
      <c r="A31" s="6" t="s">
        <v>33</v>
      </c>
      <c r="B31" s="37">
        <f>IF( ISERROR(IND_ander_ele_kWh/1000),0,IND_ander_ele_kWh/1000)</f>
        <v>2959.67683340544</v>
      </c>
      <c r="C31" s="39">
        <f>IF(ISERROR(B31*3.6/1000000/'E Balans VL '!Z19*100),0,B31*3.6/1000000/'E Balans VL '!Z19*100)</f>
        <v>0.12889156518385342</v>
      </c>
      <c r="D31" s="239" t="s">
        <v>692</v>
      </c>
    </row>
    <row r="32" spans="1:18">
      <c r="A32" s="173" t="s">
        <v>41</v>
      </c>
      <c r="B32" s="37">
        <f>IF( ISERROR(IND_voed_ele_kWh/1000),0,IND_voed_ele_kWh/1000)</f>
        <v>1373.63779219756</v>
      </c>
      <c r="C32" s="39">
        <f>IF(ISERROR(B32*3.6/1000000/'E Balans VL '!Z20*100),0,B32*3.6/1000000/'E Balans VL '!Z20*100)</f>
        <v>0.26062796105745173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67926.326829842306</v>
      </c>
      <c r="C37" s="39">
        <f>IF(ISERROR(B37*3.6/1000000/'E Balans VL '!Z15*100),0,B37*3.6/1000000/'E Balans VL '!Z15*100)</f>
        <v>0.52345577895073647</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289.76999446433535</v>
      </c>
      <c r="C5" s="17">
        <f>'Eigen informatie GS &amp; warmtenet'!B60</f>
        <v>0</v>
      </c>
      <c r="D5" s="30">
        <f>IF(ISERROR(SUM(LB_lb_gas_kWh,LB_rest_gas_kWh,onbekend_gas_kWh)/1000),0,SUM(LB_lb_gas_kWh,LB_rest_gas_kWh,onbekend_gas_kWh)/1000)*0.902</f>
        <v>6261.4294695772496</v>
      </c>
      <c r="E5" s="17">
        <f>B17*'E Balans VL '!I25/3.6*1000000/100</f>
        <v>3.6514752299029971</v>
      </c>
      <c r="F5" s="17">
        <f>B17*('E Balans VL '!L25/3.6*1000000+'E Balans VL '!N25/3.6*1000000)/100</f>
        <v>999.77907262310373</v>
      </c>
      <c r="G5" s="18"/>
      <c r="H5" s="17"/>
      <c r="I5" s="17"/>
      <c r="J5" s="17">
        <f>('E Balans VL '!D25+'E Balans VL '!E25)/3.6*1000000*landbouw!B17/100</f>
        <v>43.578113178394666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289.76999446433535</v>
      </c>
      <c r="C8" s="21">
        <f>C5+C6</f>
        <v>0</v>
      </c>
      <c r="D8" s="21">
        <f>MAX((D5+D6),0)</f>
        <v>6261.4294695772496</v>
      </c>
      <c r="E8" s="21">
        <f>MAX((E5+E6),0)</f>
        <v>3.6514752299029971</v>
      </c>
      <c r="F8" s="21">
        <f>MAX((F5+F6),0)</f>
        <v>999.77907262310373</v>
      </c>
      <c r="G8" s="21"/>
      <c r="H8" s="21"/>
      <c r="I8" s="21"/>
      <c r="J8" s="21">
        <f>MAX((J5+J6),0)</f>
        <v>43.578113178394666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0.19190878284181839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55.609406941731052</v>
      </c>
      <c r="C12" s="23">
        <f ca="1">C8*C10</f>
        <v>0</v>
      </c>
      <c r="D12" s="23">
        <f>D8*D10</f>
        <v>1264.8087528546046</v>
      </c>
      <c r="E12" s="23">
        <f>E8*E10</f>
        <v>0.82888487718798032</v>
      </c>
      <c r="F12" s="23">
        <f>F8*F10</f>
        <v>266.94101239036871</v>
      </c>
      <c r="G12" s="23"/>
      <c r="H12" s="23"/>
      <c r="I12" s="23"/>
      <c r="J12" s="23">
        <f>J8*J10</f>
        <v>15.426652065151711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4.0413781207687301E-2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81.557282582392318</v>
      </c>
      <c r="C26" s="249">
        <f>B26*'GWP N2O_CH4'!B5</f>
        <v>1712.7029342302387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12.556023099791243</v>
      </c>
      <c r="C27" s="249">
        <f>B27*'GWP N2O_CH4'!B5</f>
        <v>263.6764850956161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1.1118321244151055</v>
      </c>
      <c r="C28" s="249">
        <f>B28*'GWP N2O_CH4'!B4</f>
        <v>344.66795856868271</v>
      </c>
      <c r="D28" s="50"/>
    </row>
    <row r="29" spans="1:4">
      <c r="A29" s="41" t="s">
        <v>277</v>
      </c>
      <c r="B29" s="249">
        <f>B34*'ha_N2O bodem landbouw'!B4</f>
        <v>4.0088080567716231</v>
      </c>
      <c r="C29" s="249">
        <f>B29*'GWP N2O_CH4'!B4</f>
        <v>1242.7304975992031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1.000959314647768E-3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5.0225062572158508E-5</v>
      </c>
      <c r="C5" s="448" t="s">
        <v>211</v>
      </c>
      <c r="D5" s="433">
        <f>SUM(D6:D11)</f>
        <v>8.234163751817542E-5</v>
      </c>
      <c r="E5" s="433">
        <f>SUM(E6:E11)</f>
        <v>2.6534927639462746E-3</v>
      </c>
      <c r="F5" s="446" t="s">
        <v>211</v>
      </c>
      <c r="G5" s="433">
        <f>SUM(G6:G11)</f>
        <v>0.90456830550489464</v>
      </c>
      <c r="H5" s="433">
        <f>SUM(H6:H11)</f>
        <v>0.12481698640901397</v>
      </c>
      <c r="I5" s="448" t="s">
        <v>211</v>
      </c>
      <c r="J5" s="448" t="s">
        <v>211</v>
      </c>
      <c r="K5" s="448" t="s">
        <v>211</v>
      </c>
      <c r="L5" s="448" t="s">
        <v>211</v>
      </c>
      <c r="M5" s="433">
        <f>SUM(M6:M11)</f>
        <v>4.6149671449983547E-2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2.9737999400391132E-5</v>
      </c>
      <c r="C6" s="949"/>
      <c r="D6" s="949">
        <f>vkm_2011_GW_PW*SUMIFS(TableVerdeelsleutelVkm[CNG],TableVerdeelsleutelVkm[Voertuigtype],"Lichte voertuigen")*SUMIFS(TableECFTransport[EnergieConsumptieFactor (PJ per km)],TableECFTransport[Index],CONCATENATE($A6,"_CNG_CNG"))</f>
        <v>4.2114823327148974E-5</v>
      </c>
      <c r="E6" s="949">
        <f>vkm_2011_GW_PW*SUMIFS(TableVerdeelsleutelVkm[LPG],TableVerdeelsleutelVkm[Voertuigtype],"Lichte voertuigen")*SUMIFS(TableECFTransport[EnergieConsumptieFactor (PJ per km)],TableECFTransport[Index],CONCATENATE($A6,"_LPG_LPG"))</f>
        <v>1.3226879550470823E-3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0.2377232434154431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6.3878398187231636E-2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1.3458801894704484E-2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0.29554099600843514</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1.0529696058894602E-4</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1.3336535518610962E-2</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9.5113880085996263E-6</v>
      </c>
      <c r="C8" s="949"/>
      <c r="D8" s="436">
        <f>vkm_2011_NGW_PW*SUMIFS(TableVerdeelsleutelVkm[CNG],TableVerdeelsleutelVkm[Voertuigtype],"Lichte voertuigen")*SUMIFS(TableECFTransport[EnergieConsumptieFactor (PJ per km)],TableECFTransport[Index],CONCATENATE($A8,"_CNG_CNG"))</f>
        <v>2.3997009137473765E-5</v>
      </c>
      <c r="E8" s="436">
        <f>vkm_2011_NGW_PW*SUMIFS(TableVerdeelsleutelVkm[LPG],TableVerdeelsleutelVkm[Voertuigtype],"Lichte voertuigen")*SUMIFS(TableECFTransport[EnergieConsumptieFactor (PJ per km)],TableECFTransport[Index],CONCATENATE($A8,"_LPG_LPG"))</f>
        <v>6.9417951732462298E-4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0.1176701596429407</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3.512037891064293E-2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6.8118562932778584E-3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7.9983851866046923E-2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2.6966533333508341E-5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3.6092729221433202E-3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1.0975675163167754E-5</v>
      </c>
      <c r="C10" s="949"/>
      <c r="D10" s="436">
        <f>vkm_2011_SW_PW*SUMIFS(TableVerdeelsleutelVkm[CNG],TableVerdeelsleutelVkm[Voertuigtype],"Lichte voertuigen")*SUMIFS(TableECFTransport[EnergieConsumptieFactor (PJ per km)],TableECFTransport[Index],CONCATENATE($A10,"_CNG_CNG"))</f>
        <v>1.6229805053552674E-5</v>
      </c>
      <c r="E10" s="436">
        <f>vkm_2011_SW_PW*SUMIFS(TableVerdeelsleutelVkm[LPG],TableVerdeelsleutelVkm[Voertuigtype],"Lichte voertuigen")*SUMIFS(TableECFTransport[EnergieConsumptieFactor (PJ per km)],TableECFTransport[Index],CONCATENATE($A10,"_LPG_LPG"))</f>
        <v>6.3662529157456921E-4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0.1036238818317821</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2.5659040512200519E-2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5.77313125071634E-3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7.0026172740246667E-2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2.69053050164332E-5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3.160073570530587E-3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13.95140627004403</v>
      </c>
      <c r="C14" s="21"/>
      <c r="D14" s="21">
        <f t="shared" ref="D14:M14" si="0">((D5)*10^9/3600)+D12</f>
        <v>22.872677088382062</v>
      </c>
      <c r="E14" s="21">
        <f t="shared" si="0"/>
        <v>737.08132331840966</v>
      </c>
      <c r="F14" s="21"/>
      <c r="G14" s="21">
        <f t="shared" si="0"/>
        <v>251268.97375135962</v>
      </c>
      <c r="H14" s="21">
        <f t="shared" si="0"/>
        <v>34671.38511361499</v>
      </c>
      <c r="I14" s="21"/>
      <c r="J14" s="21"/>
      <c r="K14" s="21"/>
      <c r="L14" s="21"/>
      <c r="M14" s="21">
        <f t="shared" si="0"/>
        <v>12819.353180550985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0.19190878284181839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2.6773973962158633</v>
      </c>
      <c r="C18" s="23"/>
      <c r="D18" s="23">
        <f t="shared" ref="D18:M18" si="1">D14*D16</f>
        <v>4.6202807718531771</v>
      </c>
      <c r="E18" s="23">
        <f t="shared" si="1"/>
        <v>167.31746039327899</v>
      </c>
      <c r="F18" s="23"/>
      <c r="G18" s="23">
        <f t="shared" si="1"/>
        <v>67088.815991613024</v>
      </c>
      <c r="H18" s="23">
        <f t="shared" si="1"/>
        <v>8633.1748932901319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7.6953053729717667E-3</v>
      </c>
      <c r="H50" s="323">
        <f t="shared" si="2"/>
        <v>0</v>
      </c>
      <c r="I50" s="323">
        <f t="shared" si="2"/>
        <v>0</v>
      </c>
      <c r="J50" s="323">
        <f t="shared" si="2"/>
        <v>0</v>
      </c>
      <c r="K50" s="323">
        <f t="shared" si="2"/>
        <v>0</v>
      </c>
      <c r="L50" s="323">
        <f t="shared" si="2"/>
        <v>0</v>
      </c>
      <c r="M50" s="323">
        <f t="shared" si="2"/>
        <v>3.4222905200950293E-4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7.6953053729717667E-3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3.4222905200950293E-4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2137.584825825491</v>
      </c>
      <c r="H54" s="21">
        <f t="shared" si="3"/>
        <v>0</v>
      </c>
      <c r="I54" s="21">
        <f t="shared" si="3"/>
        <v>0</v>
      </c>
      <c r="J54" s="21">
        <f t="shared" si="3"/>
        <v>0</v>
      </c>
      <c r="K54" s="21">
        <f t="shared" si="3"/>
        <v>0</v>
      </c>
      <c r="L54" s="21">
        <f t="shared" si="3"/>
        <v>0</v>
      </c>
      <c r="M54" s="21">
        <f t="shared" si="3"/>
        <v>95.06362555819527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0.19190878284181839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570.73514849540607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7360.6182115571346</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14721.276678947706</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22081.894890504842</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2018-06-27T09:29:11Z</dcterms:modified>
</cp:coreProperties>
</file>