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<sst xmlns="http://schemas.openxmlformats.org/spreadsheetml/2006/main" count="2204" uniqueCount="928">
  <si>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</si>
  <si>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</si>
  <si>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</si>
  <si>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</si>
  <si>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</si>
  <si>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</si>
  <si>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</si>
  <si>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</si>
  <si>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</si>
  <si>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</si>
  <si>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</si>
  <si>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</si>
  <si>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</si>
  <si>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</si>
  <si>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</si>
  <si>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</si>
  <si>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</si>
  <si>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</si>
  <si>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</si>
  <si>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</si>
  <si>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</si>
  <si>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</si>
  <si>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</si>
  <si>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</si>
  <si>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</si>
  <si>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</si>
  <si>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</si>
  <si>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</si>
  <si>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</si>
  <si>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</si>
  <si>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</si>
  <si>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</si>
  <si>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</si>
  <si>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</si>
  <si>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</si>
  <si>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</si>
  <si>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</si>
  <si>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</si>
  <si>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</si>
  <si>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</si>
  <si>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</si>
  <si>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</si>
  <si>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</si>
  <si>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</si>
  <si>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</si>
  <si>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</si>
  <si>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</si>
  <si>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</si>
  <si>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</si>
  <si>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</si>
  <si>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</si>
  <si>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</si>
  <si>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</si>
  <si>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</si>
  <si>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</si>
  <si>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</si>
  <si>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</si>
  <si>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</si>
  <si>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</si>
  <si>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</si>
  <si>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</si>
  <si>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</si>
  <si>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</si>
  <si>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</si>
  <si>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</si>
  <si>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</si>
  <si>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</si>
  <si>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</si>
  <si>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</si>
  <si>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</si>
  <si>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</si>
  <si>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</si>
  <si>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</si>
  <si>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</si>
  <si>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</si>
  <si>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</si>
  <si>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</si>
  <si>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</si>
  <si>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</si>
  <si>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</si>
  <si>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</si>
  <si>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</si>
  <si>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</si>
  <si>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</si>
  <si>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</si>
  <si>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</si>
  <si>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</si>
  <si>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</si>
  <si>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</si>
  <si>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</si>
  <si>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</si>
  <si>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</si>
  <si>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</si>
  <si>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</si>
  <si>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</si>
  <si>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</si>
  <si>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</si>
  <si>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</si>
  <si>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</si>
  <si>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</si>
  <si>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</si>
  <si>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</si>
  <si>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</si>
  <si>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</si>
  <si>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</si>
  <si>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</si>
  <si>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</si>
  <si>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</si>
  <si>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</si>
  <si>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</si>
  <si>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</si>
  <si>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</si>
  <si>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</si>
  <si>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</si>
  <si>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</si>
  <si>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</si>
  <si>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</si>
  <si>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</si>
  <si>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</si>
  <si>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</si>
  <si>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</si>
  <si>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</si>
  <si>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</si>
  <si>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</si>
  <si>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</si>
  <si>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</si>
  <si>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</si>
  <si>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</si>
  <si>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</si>
  <si>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</si>
  <si>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</si>
  <si>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</si>
  <si>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</si>
  <si>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</si>
  <si>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</si>
  <si>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</si>
  <si>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</si>
  <si>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</si>
  <si>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</si>
  <si>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</si>
  <si>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</si>
  <si>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</si>
  <si>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</si>
  <si>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</si>
  <si>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</si>
  <si>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</si>
  <si>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</si>
  <si>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</si>
  <si>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</si>
  <si>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</si>
  <si>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</si>
  <si>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</si>
  <si>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</si>
  <si>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</si>
  <si>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</si>
  <si>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</si>
  <si>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</si>
  <si>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</si>
  <si>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</si>
  <si>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</si>
  <si>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</si>
  <si>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</si>
  <si>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</si>
  <si>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</si>
  <si>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</si>
  <si>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</si>
  <si>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</si>
  <si>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</si>
  <si>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</si>
  <si>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</si>
  <si>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</si>
  <si>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</si>
  <si>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</si>
  <si>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</si>
  <si>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</si>
  <si>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</si>
  <si>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</si>
  <si>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</si>
  <si>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</si>
  <si>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</si>
  <si>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</si>
  <si>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</si>
  <si>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</si>
  <si>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</si>
  <si>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</si>
  <si>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</si>
  <si>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</si>
  <si>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</si>
  <si>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</si>
  <si>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</si>
  <si>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</si>
  <si>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</si>
  <si>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</si>
  <si>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</si>
  <si>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</si>
  <si>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</si>
  <si>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</si>
  <si>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</si>
  <si>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</si>
  <si>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</si>
  <si>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</si>
  <si>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</si>
  <si>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</si>
  <si>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</si>
  <si>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</si>
  <si>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</si>
  <si>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</si>
  <si>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</si>
  <si>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</si>
  <si>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</si>
  <si>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</si>
  <si>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</si>
  <si>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</si>
  <si>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</si>
  <si>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</si>
  <si>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</si>
  <si>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</si>
  <si>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</si>
  <si>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</si>
  <si>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</si>
  <si>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</si>
  <si>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</si>
  <si>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</si>
  <si>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</si>
  <si>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</si>
  <si>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</si>
  <si>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</si>
  <si>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</si>
  <si>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</si>
  <si>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</si>
  <si>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</si>
  <si>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</si>
  <si>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</si>
  <si>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</si>
  <si>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</si>
  <si>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</si>
  <si>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</si>
  <si>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</si>
  <si>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</si>
  <si>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</si>
  <si>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</si>
  <si>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</si>
  <si>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</si>
  <si>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</si>
  <si>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</si>
  <si>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</si>
  <si>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</si>
  <si>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</si>
  <si>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</si>
  <si>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</si>
  <si>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</si>
  <si>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</si>
  <si>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</si>
  <si>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</si>
  <si>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</si>
  <si>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</si>
  <si>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</si>
  <si>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</si>
  <si>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</si>
  <si>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</si>
  <si>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</si>
  <si>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</si>
  <si>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</si>
  <si>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</si>
  <si>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</si>
  <si>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</si>
  <si>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</si>
  <si>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</si>
  <si>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</si>
  <si>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</si>
  <si>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</si>
  <si>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</si>
  <si>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</si>
  <si>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</si>
  <si>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</si>
  <si>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</si>
  <si>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</si>
  <si>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</si>
  <si>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</si>
  <si>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</si>
  <si>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</si>
  <si>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</si>
  <si>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</si>
  <si>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</si>
  <si>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</si>
  <si>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</si>
  <si>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</si>
  <si>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</si>
  <si>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</si>
  <si>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</si>
  <si>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</si>
  <si>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</si>
  <si>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</si>
  <si>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</si>
  <si>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</si>
  <si>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</si>
  <si>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</si>
  <si>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</si>
  <si>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</si>
  <si>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</si>
  <si>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</si>
  <si>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</si>
  <si>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</si>
  <si>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</si>
  <si>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</si>
  <si>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</si>
  <si>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</si>
  <si>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</si>
  <si>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</si>
  <si>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</si>
  <si>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</si>
  <si>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</si>
  <si>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</si>
  <si>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</si>
  <si>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</si>
  <si>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</si>
  <si>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</si>
  <si>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</si>
  <si>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</si>
  <si>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</si>
  <si>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</si>
  <si>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</si>
  <si>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</si>
  <si>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</si>
  <si>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</si>
  <si>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</si>
  <si>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</si>
  <si>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</si>
  <si>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</si>
  <si>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</si>
  <si>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</si>
  <si>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</si>
  <si>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</si>
  <si>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</si>
  <si>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</si>
  <si>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</si>
  <si>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</si>
  <si>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</si>
  <si>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</si>
  <si>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</si>
  <si>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</si>
  <si>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</si>
  <si>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</si>
  <si>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</si>
  <si>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</si>
  <si>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</si>
  <si>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</si>
  <si>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</si>
  <si>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</si>
  <si>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</si>
  <si>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</si>
  <si>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</si>
  <si>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</si>
  <si>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</si>
  <si>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</si>
  <si>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</si>
  <si>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</si>
  <si>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</si>
  <si>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</si>
  <si>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</si>
  <si>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</si>
  <si>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</si>
  <si>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</si>
  <si>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</si>
  <si>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</si>
  <si>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</si>
  <si>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</si>
  <si>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</si>
  <si>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</si>
  <si>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</si>
  <si>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</si>
  <si>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</si>
  <si>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</si>
  <si>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</si>
  <si>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</si>
  <si>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</si>
  <si>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</si>
  <si>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</si>
  <si>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</si>
  <si>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</si>
  <si>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</si>
  <si>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</si>
  <si>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</si>
  <si>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</si>
  <si>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</si>
  <si>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</si>
  <si>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</si>
  <si>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</si>
  <si>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</si>
  <si>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</si>
  <si>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</si>
  <si>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</si>
  <si>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</si>
  <si>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</si>
  <si>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</si>
  <si>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</si>
  <si>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</si>
  <si>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</si>
  <si>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</si>
  <si>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</si>
  <si>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</si>
  <si>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</si>
  <si>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</si>
  <si>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</si>
  <si>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</si>
  <si>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</si>
  <si>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</si>
  <si>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</si>
  <si>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</si>
  <si>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</si>
  <si>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</si>
  <si>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</si>
  <si>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</si>
  <si>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</si>
  <si>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</si>
  <si>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</si>
  <si>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</si>
  <si>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</si>
  <si>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</si>
  <si>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</si>
  <si>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</si>
  <si>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</si>
  <si>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</si>
  <si>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</si>
  <si>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</si>
  <si>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</si>
  <si>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</si>
  <si>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</si>
  <si>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</si>
  <si>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</si>
  <si>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</si>
  <si>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</si>
  <si>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</si>
  <si>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</si>
  <si>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</si>
  <si>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</si>
  <si>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</si>
  <si>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</si>
  <si>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</si>
  <si>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</si>
  <si>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</si>
  <si>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</si>
  <si>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</si>
  <si>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</si>
  <si>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</si>
  <si>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</si>
  <si>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</si>
  <si>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</si>
  <si>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</si>
  <si>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</si>
  <si>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</si>
  <si>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</si>
  <si>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</si>
  <si>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</si>
  <si>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</si>
  <si>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</si>
  <si>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</si>
  <si>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</si>
  <si>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</si>
  <si>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</si>
  <si>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</si>
  <si>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</si>
  <si>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</si>
  <si>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</si>
  <si>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</si>
  <si>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</si>
  <si>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</si>
  <si>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</si>
  <si>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</si>
  <si>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</si>
  <si>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</si>
  <si>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</si>
  <si>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</si>
  <si>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</si>
  <si>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</si>
  <si>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</si>
  <si>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</si>
  <si>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</si>
  <si>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</si>
  <si>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</si>
  <si>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</si>
  <si>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</si>
  <si>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</si>
  <si>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</si>
  <si>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</si>
  <si>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</si>
  <si>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</si>
  <si>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</si>
  <si>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</si>
  <si>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</si>
  <si>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</si>
  <si>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</si>
  <si>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</si>
  <si>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</si>
  <si>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</si>
  <si>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</si>
  <si>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</si>
  <si>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</si>
  <si>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</si>
  <si>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</si>
  <si>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</si>
  <si>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</si>
  <si>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</si>
  <si>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</si>
  <si>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</si>
  <si>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</si>
  <si>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</si>
  <si>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</si>
  <si>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</si>
  <si>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</si>
  <si>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</si>
  <si>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</si>
  <si>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</si>
  <si>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</si>
  <si>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</si>
  <si>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</si>
  <si>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</si>
  <si>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</si>
  <si>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</si>
  <si>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</si>
  <si>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</si>
  <si>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</si>
  <si>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</si>
  <si>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</si>
  <si>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</si>
  <si>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</si>
  <si>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</si>
  <si>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</si>
  <si>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</si>
  <si>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</si>
  <si>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</si>
  <si>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</si>
  <si>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</si>
  <si>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</si>
  <si>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</si>
  <si>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</si>
  <si>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</si>
  <si>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</si>
  <si>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</si>
  <si>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</si>
  <si>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</si>
  <si>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</si>
  <si>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</si>
  <si>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</si>
  <si>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</si>
  <si>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</si>
  <si>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</si>
  <si>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</si>
  <si>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</si>
  <si>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</si>
  <si>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</si>
  <si>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</si>
  <si>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</si>
  <si>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</si>
  <si>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</si>
  <si>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</si>
  <si>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</si>
  <si>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</si>
  <si>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</si>
  <si>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</si>
  <si>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</si>
  <si>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</si>
  <si>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</si>
  <si>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</si>
  <si>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</si>
  <si>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</si>
  <si>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</si>
  <si>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</si>
  <si>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</si>
  <si>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</si>
  <si>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</si>
  <si>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</si>
  <si>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</si>
  <si>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</si>
  <si>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</si>
  <si>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</si>
  <si>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</si>
  <si>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</si>
  <si>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</si>
  <si>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</si>
  <si>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</si>
  <si>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</si>
  <si>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</si>
  <si>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</si>
  <si>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</si>
  <si>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</si>
  <si>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</si>
  <si>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</si>
  <si>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</si>
  <si>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</si>
  <si>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</si>
  <si>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</si>
  <si>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</si>
  <si>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</si>
  <si>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</si>
  <si>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</si>
  <si>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</si>
  <si>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</si>
  <si>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</si>
  <si>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</si>
  <si>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</si>
  <si>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</si>
  <si>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</si>
  <si>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</si>
  <si>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</si>
  <si>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</si>
  <si>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</si>
  <si>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</si>
  <si>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</si>
  <si>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</si>
  <si>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</si>
  <si>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</si>
  <si>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</si>
  <si>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</si>
  <si>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</si>
  <si>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</si>
  <si>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</si>
  <si>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</si>
  <si>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</si>
  <si>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</si>
  <si>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</si>
  <si>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</si>
  <si>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</si>
  <si>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</si>
  <si>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</si>
  <si>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</si>
  <si>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</si>
  <si>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</si>
  <si>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</si>
  <si>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</si>
  <si>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</si>
  <si>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</si>
  <si>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</si>
  <si>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</si>
  <si>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</si>
  <si>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</si>
  <si>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</si>
  <si>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</si>
  <si>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</si>
  <si>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</si>
  <si>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</si>
  <si>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</si>
  <si>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</si>
  <si>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</si>
  <si>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</si>
  <si>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</si>
  <si>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</si>
  <si>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</si>
  <si>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</si>
  <si>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</si>
  <si>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</si>
  <si>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</si>
  <si>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</si>
  <si>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</si>
  <si>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</si>
  <si>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</si>
  <si>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</si>
  <si>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</si>
  <si>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</si>
  <si>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</si>
  <si>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</si>
  <si>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</si>
  <si>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</si>
  <si>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</si>
  <si>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</si>
  <si>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</si>
  <si>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</si>
  <si>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</si>
  <si>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</si>
  <si>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</si>
  <si>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</si>
  <si>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</si>
  <si>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</si>
  <si>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</si>
  <si>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</si>
  <si>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</si>
  <si>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</si>
  <si>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</si>
  <si>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</si>
  <si>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</si>
  <si>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</si>
  <si>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</si>
  <si>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</si>
  <si>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</si>
  <si>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</si>
  <si>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</si>
  <si>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</si>
  <si>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</si>
  <si>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</si>
  <si>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</si>
  <si>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</si>
  <si>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</si>
  <si>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</si>
  <si>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</si>
  <si>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</si>
  <si>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</si>
  <si>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</si>
  <si>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</si>
  <si>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</si>
  <si>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</si>
  <si>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</si>
  <si>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</si>
  <si>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</si>
  <si>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</si>
  <si>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</si>
  <si>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</si>
  <si>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</si>
  <si>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</si>
  <si>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</si>
  <si>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</si>
  <si>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</si>
  <si>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</si>
  <si>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</si>
  <si>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</si>
  <si>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</si>
  <si>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</si>
  <si>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</si>
  <si>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</si>
  <si>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</si>
  <si>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</si>
  <si>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</si>
  <si>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</si>
  <si>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</si>
  <si>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</si>
  <si>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</si>
  <si>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</si>
  <si>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</si>
  <si>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</si>
  <si>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</si>
  <si>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</si>
  <si>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</si>
  <si>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</si>
  <si>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</si>
  <si>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</si>
  <si>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</si>
  <si>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</si>
  <si>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</si>
  <si>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</si>
  <si>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</si>
  <si>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</si>
  <si>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</si>
  <si>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</si>
  <si>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</si>
  <si>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</si>
  <si>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</si>
  <si>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</si>
  <si>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</si>
  <si>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</si>
  <si>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</si>
  <si>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</si>
  <si>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</si>
  <si>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</si>
  <si>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</si>
  <si>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</si>
  <si>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</si>
  <si>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</si>
  <si>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</si>
  <si>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</si>
  <si>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</si>
  <si>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</si>
  <si>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</si>
  <si>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</si>
  <si>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</si>
  <si>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</si>
  <si>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</si>
  <si>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</si>
  <si>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</si>
  <si>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</si>
  <si>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</si>
  <si>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</si>
  <si>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</si>
  <si>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</si>
  <si>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</si>
  <si>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</si>
  <si>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</si>
  <si>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</si>
  <si>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</si>
  <si>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</si>
  <si>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</si>
  <si>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</si>
  <si>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</si>
  <si>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</si>
  <si>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</si>
  <si>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</si>
  <si>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</si>
  <si>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</si>
  <si>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</si>
  <si>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</si>
  <si>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</si>
  <si>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</si>
  <si>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</si>
  <si>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</si>
  <si>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</si>
  <si>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</si>
  <si>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</si>
  <si>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</si>
  <si>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</si>
  <si>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</si>
  <si>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</si>
  <si>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</si>
  <si>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</si>
  <si>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</si>
  <si>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</si>
  <si>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</si>
  <si>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</si>
  <si>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</si>
  <si>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</si>
  <si>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</si>
  <si>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</si>
  <si>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</si>
  <si>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</si>
  <si>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</si>
  <si>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</si>
  <si>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</si>
  <si>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</si>
  <si>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</si>
  <si>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</si>
  <si>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</si>
  <si>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</si>
  <si>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</si>
  <si>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</si>
  <si>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</si>
  <si>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</si>
  <si>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</si>
  <si>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</si>
  <si>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</si>
  <si>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</si>
  <si>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</si>
  <si>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</si>
  <si>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</si>
  <si>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</si>
  <si>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</si>
  <si>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</si>
  <si>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12035</t>
  </si>
  <si>
    <t>SINT-KATELIJNE-WAVER</t>
  </si>
  <si>
    <t>Cultuurgrond (ha)</t>
  </si>
  <si>
    <t>Paarden&amp;pony's 200 - 600 kg</t>
  </si>
  <si>
    <t>Paarden&amp;pony's &lt; 200 kg</t>
  </si>
  <si>
    <t>op basis van VEA (maart 2018) en Inventaris Hernieuwbare Energiebronnen (juni 2018)</t>
  </si>
  <si>
    <t>VEA (juni 2018)</t>
  </si>
  <si>
    <t>Verlinden Dirk</t>
  </si>
  <si>
    <t>Berlaarbaan 498, 2861 Onze-Lieve-Vrouw-Waver</t>
  </si>
  <si>
    <t>WKK-0076 Verlinden Dirk</t>
  </si>
  <si>
    <t>interne verbrandingsmotor</t>
  </si>
  <si>
    <t>WKK interne verbrandinsgmotor (gas)</t>
  </si>
  <si>
    <t>IVERLEK</t>
  </si>
  <si>
    <t>Tomaver bvba</t>
  </si>
  <si>
    <t>Boterhoek 1, 2861 Onze-Lieve-Vrouw-Waver</t>
  </si>
  <si>
    <t>WKK-0088 Tomaver</t>
  </si>
  <si>
    <t>Wervic bvba</t>
  </si>
  <si>
    <t>Erfstraat 41, 2861 Onze-Lieve-Vrouw-Waver</t>
  </si>
  <si>
    <t>WKK-0101 Wervic</t>
  </si>
  <si>
    <t>Celson bvba in faling</t>
  </si>
  <si>
    <t>Boterhoek 21, 2861 Onze-Lieve-Vrouw-Waver</t>
  </si>
  <si>
    <t>WKK-0114 Celson bvba</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</si>
  <si>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</si>
  <si>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</si>
  <si>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</si>
  <si>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</si>
  <si>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</si>
  <si>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</si>
  <si>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</si>
  <si>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</si>
  <si>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</si>
  <si>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WKK interne verbrandinsgmotor (vloeibaar)</t>
  </si>
  <si>
    <t>eilandwerking</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</si>
  <si>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</si>
  <si>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</si>
  <si>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</si>
  <si>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</si>
  <si>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</si>
  <si>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</si>
  <si>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</si>
  <si>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</si>
  <si>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</si>
  <si>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</si>
  <si>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</si>
  <si>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</si>
  <si>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</si>
  <si>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</si>
  <si>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</si>
  <si>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</si>
  <si>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</si>
  <si>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</si>
  <si>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</si>
  <si>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</si>
  <si>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</si>
  <si>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</si>
  <si>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Proefstation voor Groenteteelt</t>
  </si>
  <si>
    <t>Duffelsesteenweg 101 , 2860 Sint-Katelijne-Waver</t>
  </si>
  <si>
    <t>WKK-0308 Proefstation voor Groenteteelt</t>
  </si>
  <si>
    <t>Paul Geerts bvba</t>
  </si>
  <si>
    <t>Heivelden 33 , 2861 Onze-Lieve-Vrouw-Waver</t>
  </si>
  <si>
    <t>WKK-0272 Paul Geerts</t>
  </si>
  <si>
    <t>Eddy Van De Kerkhof</t>
  </si>
  <si>
    <t>Hoogstraat 344 , 2570 Duffel</t>
  </si>
  <si>
    <t>WKK-0359 Eddy Van De Kerkhof</t>
  </si>
  <si>
    <t>Heivelden 4 , 2861 Onze-Lieve-Vrouw-Waver</t>
  </si>
  <si>
    <t>Hydroponic</t>
  </si>
  <si>
    <t>Erfstraat 71 , 2861 Onze-Lieve-Vrouw-Waver</t>
  </si>
  <si>
    <t>WKK-0314 Hydroponic</t>
  </si>
  <si>
    <t>Ceulemans Slacenter bvba</t>
  </si>
  <si>
    <t>Hageweg 5 , 2860 Sint-Katelijne-Waver</t>
  </si>
  <si>
    <t>WKK-0326 Ceulemans Slacenter</t>
  </si>
  <si>
    <t>De Becker Elektrogroep</t>
  </si>
  <si>
    <t>Z.4 Broekooi 300, 1730 Asse</t>
  </si>
  <si>
    <t>WKK-0329 Costermans</t>
  </si>
  <si>
    <t>Koelarenveld 4 , 2861 Onze-Lieve-Vrouw-Waver</t>
  </si>
  <si>
    <t>De Weerdt Frans</t>
  </si>
  <si>
    <t>Waverstraat 17, 2860 Sint-Katelijne-Waver</t>
  </si>
  <si>
    <t>WKK-0053 De Weerdt</t>
  </si>
  <si>
    <t>Groeikracht Waver NV</t>
  </si>
  <si>
    <t>Klemlei 9, 2861 Onze-Lieve-Vrouw-Waver</t>
  </si>
  <si>
    <t>WKK-0070 Groeikracht Waver</t>
  </si>
  <si>
    <t>Verschueren Guido bvba</t>
  </si>
  <si>
    <t>Kleuterstraat 49 , 2860 Sint-Katelijne-Waver</t>
  </si>
  <si>
    <t>WKK-0367 Guido Verschueren</t>
  </si>
  <si>
    <t>De Arend BVBA</t>
  </si>
  <si>
    <t>Berkenhoekstraat 14 , 2861 Onze-Lieve-Vrouw-Waver</t>
  </si>
  <si>
    <t>WKK-0339 De Arend</t>
  </si>
  <si>
    <t>Wim Vertommen/Den Overkant</t>
  </si>
  <si>
    <t>Koelarenveld 5, 2861 Onze-Lieve-Vrouw-Waver</t>
  </si>
  <si>
    <t>WKK-0095 Wim Vertommen-Den Overkant</t>
  </si>
  <si>
    <t>Krikato BVBA</t>
  </si>
  <si>
    <t>Uilelei 7 , 2861 Onze-Lieve-Vrouw-Waver</t>
  </si>
  <si>
    <t>WKK-0089 Krikato</t>
  </si>
  <si>
    <t>Jozef De Weerdt BVBA</t>
  </si>
  <si>
    <t>WKK-0090 Jozef De Weerdt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</si>
</sst>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178963.96564460621</c:v>
                </c:pt>
                <c:pt idx="1">
                  <c:v>118098.11574799697</c:v>
                </c:pt>
                <c:pt idx="2">
                  <c:v>1636.816</c:v>
                </c:pt>
                <c:pt idx="3">
                  <c:v>301031.19357445108</c:v>
                </c:pt>
                <c:pt idx="4">
                  <c:v>18142.213378724839</c:v>
                </c:pt>
                <c:pt idx="5">
                  <c:v>61017.182299121007</c:v>
                </c:pt>
                <c:pt idx="6">
                  <c:v>2572.4369322970947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9456"/>
        <c:axId val="182420992"/>
      </c:barChart>
      <c:catAx>
        <c:axId val="182419456"/>
        <c:scaling>
          <c:orientation val="minMax"/>
        </c:scaling>
        <c:axPos val="b"/>
        <c:numFmt formatCode="General" sourceLinked="0"/>
        <c:tickLblPos val="nextTo"/>
        <c:crossAx val="182420992"/>
        <c:crosses val="autoZero"/>
        <c:auto val="1"/>
        <c:lblAlgn val="ctr"/>
        <c:lblOffset val="100"/>
      </c:catAx>
      <c:valAx>
        <c:axId val="182420992"/>
        <c:scaling>
          <c:orientation val="minMax"/>
        </c:scaling>
        <c:axPos val="l"/>
        <c:majorGridlines/>
        <c:numFmt formatCode="#,##0" sourceLinked="1"/>
        <c:tickLblPos val="nextTo"/>
        <c:crossAx val="1824194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178963.96564460621</c:v>
                </c:pt>
                <c:pt idx="1">
                  <c:v>118098.11574799697</c:v>
                </c:pt>
                <c:pt idx="2">
                  <c:v>1636.816</c:v>
                </c:pt>
                <c:pt idx="3">
                  <c:v>301031.19357445108</c:v>
                </c:pt>
                <c:pt idx="4">
                  <c:v>18142.213378724839</c:v>
                </c:pt>
                <c:pt idx="5">
                  <c:v>61017.182299121007</c:v>
                </c:pt>
                <c:pt idx="6">
                  <c:v>2572.4369322970947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36620.530263210472</c:v>
                </c:pt>
                <c:pt idx="1">
                  <c:v>24406.531103096808</c:v>
                </c:pt>
                <c:pt idx="2">
                  <c:v>334.65124723580192</c:v>
                </c:pt>
                <c:pt idx="3">
                  <c:v>64588.292215691399</c:v>
                </c:pt>
                <c:pt idx="4">
                  <c:v>3627.7438211708723</c:v>
                </c:pt>
                <c:pt idx="5">
                  <c:v>15407.967017409643</c:v>
                </c:pt>
                <c:pt idx="6">
                  <c:v>657.59576866646569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83584"/>
        <c:axId val="182489472"/>
      </c:barChart>
      <c:catAx>
        <c:axId val="182483584"/>
        <c:scaling>
          <c:orientation val="minMax"/>
        </c:scaling>
        <c:axPos val="b"/>
        <c:numFmt formatCode="General" sourceLinked="0"/>
        <c:tickLblPos val="nextTo"/>
        <c:crossAx val="182489472"/>
        <c:crosses val="autoZero"/>
        <c:auto val="1"/>
        <c:lblAlgn val="ctr"/>
        <c:lblOffset val="100"/>
      </c:catAx>
      <c:valAx>
        <c:axId val="182489472"/>
        <c:scaling>
          <c:orientation val="minMax"/>
        </c:scaling>
        <c:axPos val="l"/>
        <c:majorGridlines/>
        <c:numFmt formatCode="#,##0" sourceLinked="1"/>
        <c:tickLblPos val="nextTo"/>
        <c:crossAx val="18248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36620.530263210472</c:v>
                </c:pt>
                <c:pt idx="1">
                  <c:v>24406.531103096808</c:v>
                </c:pt>
                <c:pt idx="2">
                  <c:v>334.65124723580192</c:v>
                </c:pt>
                <c:pt idx="3">
                  <c:v>64588.292215691399</c:v>
                </c:pt>
                <c:pt idx="4">
                  <c:v>3627.7438211708723</c:v>
                </c:pt>
                <c:pt idx="5">
                  <c:v>15407.967017409643</c:v>
                </c:pt>
                <c:pt idx="6">
                  <c:v>657.59576866646569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12035</v>
      </c>
      <c r="B6" s="398"/>
      <c r="C6" s="399"/>
    </row>
    <row r="7" spans="1:7" s="396" customFormat="1" ht="15.75" customHeight="1">
      <c r="A7" s="400" t="str">
        <f>txtMunicipality</f>
        <v>SINT-KATELIJNE-WAVER</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60514.273588791919</v>
      </c>
      <c r="D10" s="704">
        <f ca="1">tertiair!C16</f>
        <v>7714.2857142857147</v>
      </c>
      <c r="E10" s="704">
        <f ca="1">tertiair!D16</f>
        <v>38753.031186212502</v>
      </c>
      <c r="F10" s="704">
        <f>tertiair!E16</f>
        <v>781.12679083479077</v>
      </c>
      <c r="G10" s="704">
        <f ca="1">tertiair!F16</f>
        <v>10116.302729390532</v>
      </c>
      <c r="H10" s="704">
        <f>tertiair!G16</f>
        <v>0</v>
      </c>
      <c r="I10" s="704">
        <f>tertiair!H16</f>
        <v>0</v>
      </c>
      <c r="J10" s="704">
        <f>tertiair!I16</f>
        <v>0</v>
      </c>
      <c r="K10" s="704">
        <f>tertiair!J16</f>
        <v>0</v>
      </c>
      <c r="L10" s="704">
        <f>tertiair!K16</f>
        <v>0</v>
      </c>
      <c r="M10" s="704">
        <f ca="1">tertiair!L16</f>
        <v>0</v>
      </c>
      <c r="N10" s="704">
        <f>tertiair!M16</f>
        <v>0</v>
      </c>
      <c r="O10" s="704">
        <f ca="1">tertiair!N16</f>
        <v>1832.1550718148308</v>
      </c>
      <c r="P10" s="704">
        <f>tertiair!O16</f>
        <v>4.6900000000000004</v>
      </c>
      <c r="Q10" s="705">
        <f>tertiair!P16</f>
        <v>19.066666666666666</v>
      </c>
      <c r="R10" s="707">
        <f ca="1">SUM(C10:Q10)</f>
        <v>119734.93174799696</v>
      </c>
      <c r="S10" s="67"/>
    </row>
    <row r="11" spans="1:19" s="459" customFormat="1">
      <c r="A11" s="858" t="s">
        <v>225</v>
      </c>
      <c r="B11" s="863"/>
      <c r="C11" s="704">
        <f>huishoudens!B8</f>
        <v>36221.005798528546</v>
      </c>
      <c r="D11" s="704">
        <f>huishoudens!C8</f>
        <v>0</v>
      </c>
      <c r="E11" s="704">
        <f>huishoudens!D8</f>
        <v>88617.801465884593</v>
      </c>
      <c r="F11" s="704">
        <f>huishoudens!E8</f>
        <v>3381.0953762819645</v>
      </c>
      <c r="G11" s="704">
        <f>huishoudens!F8</f>
        <v>37591.474785573642</v>
      </c>
      <c r="H11" s="704">
        <f>huishoudens!G8</f>
        <v>0</v>
      </c>
      <c r="I11" s="704">
        <f>huishoudens!H8</f>
        <v>0</v>
      </c>
      <c r="J11" s="704">
        <f>huishoudens!I8</f>
        <v>0</v>
      </c>
      <c r="K11" s="704">
        <f>huishoudens!J8</f>
        <v>1440.1808390341521</v>
      </c>
      <c r="L11" s="704">
        <f>huishoudens!K8</f>
        <v>0</v>
      </c>
      <c r="M11" s="704">
        <f>huishoudens!L8</f>
        <v>0</v>
      </c>
      <c r="N11" s="704">
        <f>huishoudens!M8</f>
        <v>0</v>
      </c>
      <c r="O11" s="704">
        <f>huishoudens!N8</f>
        <v>10647.404045969995</v>
      </c>
      <c r="P11" s="704">
        <f>huishoudens!O8</f>
        <v>264.20333333333338</v>
      </c>
      <c r="Q11" s="705">
        <f>huishoudens!P8</f>
        <v>800.8</v>
      </c>
      <c r="R11" s="707">
        <f>SUM(C11:Q11)</f>
        <v>178963.96564460621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5514.2339510498323</v>
      </c>
      <c r="D13" s="704">
        <f>industrie!C18</f>
        <v>0</v>
      </c>
      <c r="E13" s="704">
        <f>industrie!D18</f>
        <v>8098.9505441728015</v>
      </c>
      <c r="F13" s="704">
        <f>industrie!E18</f>
        <v>558.03434391545557</v>
      </c>
      <c r="G13" s="704">
        <f>industrie!F18</f>
        <v>2752.4643246561172</v>
      </c>
      <c r="H13" s="704">
        <f>industrie!G18</f>
        <v>0</v>
      </c>
      <c r="I13" s="704">
        <f>industrie!H18</f>
        <v>0</v>
      </c>
      <c r="J13" s="704">
        <f>industrie!I18</f>
        <v>0</v>
      </c>
      <c r="K13" s="704">
        <f>industrie!J18</f>
        <v>7.8381522378213058</v>
      </c>
      <c r="L13" s="704">
        <f>industrie!K18</f>
        <v>0</v>
      </c>
      <c r="M13" s="704">
        <f>industrie!L18</f>
        <v>0</v>
      </c>
      <c r="N13" s="704">
        <f>industrie!M18</f>
        <v>0</v>
      </c>
      <c r="O13" s="704">
        <f>industrie!N18</f>
        <v>1210.692062692809</v>
      </c>
      <c r="P13" s="704">
        <f>industrie!O18</f>
        <v>0</v>
      </c>
      <c r="Q13" s="705">
        <f>industrie!P18</f>
        <v>0</v>
      </c>
      <c r="R13" s="707">
        <f>SUM(C13:Q13)</f>
        <v>18142.213378724839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102249.51333837029</v>
      </c>
      <c r="D15" s="709">
        <f t="shared" ref="D15:Q15" ca="1" si="0">SUM(D9:D14)</f>
        <v>7714.2857142857147</v>
      </c>
      <c r="E15" s="709">
        <f t="shared" ca="1" si="0"/>
        <v>135469.78319626991</v>
      </c>
      <c r="F15" s="709">
        <f t="shared" si="0"/>
        <v>4720.2565110322112</v>
      </c>
      <c r="G15" s="709">
        <f t="shared" ca="1" si="0"/>
        <v>50460.241839620292</v>
      </c>
      <c r="H15" s="709">
        <f t="shared" si="0"/>
        <v>0</v>
      </c>
      <c r="I15" s="709">
        <f t="shared" si="0"/>
        <v>0</v>
      </c>
      <c r="J15" s="709">
        <f t="shared" si="0"/>
        <v>0</v>
      </c>
      <c r="K15" s="709">
        <f t="shared" si="0"/>
        <v>1448.0189912719734</v>
      </c>
      <c r="L15" s="709">
        <f t="shared" si="0"/>
        <v>0</v>
      </c>
      <c r="M15" s="709">
        <f t="shared" ca="1" si="0"/>
        <v>0</v>
      </c>
      <c r="N15" s="709">
        <f t="shared" si="0"/>
        <v>0</v>
      </c>
      <c r="O15" s="709">
        <f t="shared" ca="1" si="0"/>
        <v>13690.251180477635</v>
      </c>
      <c r="P15" s="709">
        <f t="shared" si="0"/>
        <v>268.89333333333337</v>
      </c>
      <c r="Q15" s="710">
        <f t="shared" si="0"/>
        <v>819.86666666666667</v>
      </c>
      <c r="R15" s="711">
        <f ca="1">SUM(R9:R14)</f>
        <v>316841.11077132798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2462.9055006234667</v>
      </c>
      <c r="I18" s="704">
        <f>transport!H54</f>
        <v>0</v>
      </c>
      <c r="J18" s="704">
        <f>transport!I54</f>
        <v>0</v>
      </c>
      <c r="K18" s="704">
        <f>transport!J54</f>
        <v>0</v>
      </c>
      <c r="L18" s="704">
        <f>transport!K54</f>
        <v>0</v>
      </c>
      <c r="M18" s="704">
        <f>transport!L54</f>
        <v>0</v>
      </c>
      <c r="N18" s="704">
        <f>transport!M54</f>
        <v>109.53143167362798</v>
      </c>
      <c r="O18" s="704">
        <f>transport!N54</f>
        <v>0</v>
      </c>
      <c r="P18" s="704">
        <f>transport!O54</f>
        <v>0</v>
      </c>
      <c r="Q18" s="705">
        <f>transport!P54</f>
        <v>0</v>
      </c>
      <c r="R18" s="707">
        <f>SUM(C18:Q18)</f>
        <v>2572.4369322970947</v>
      </c>
      <c r="S18" s="67"/>
    </row>
    <row r="19" spans="1:19" s="459" customFormat="1" ht="15" thickBot="1">
      <c r="A19" s="858" t="s">
        <v>307</v>
      </c>
      <c r="B19" s="863"/>
      <c r="C19" s="713">
        <f>transport!B14</f>
        <v>4.0798018068223136</v>
      </c>
      <c r="D19" s="713">
        <f>transport!C14</f>
        <v>0</v>
      </c>
      <c r="E19" s="713">
        <f>transport!D14</f>
        <v>6.6569720685872165</v>
      </c>
      <c r="F19" s="713">
        <f>transport!E14</f>
        <v>204.10541663518288</v>
      </c>
      <c r="G19" s="713">
        <f>transport!F14</f>
        <v>0</v>
      </c>
      <c r="H19" s="713">
        <f>transport!G14</f>
        <v>48205.169358365638</v>
      </c>
      <c r="I19" s="713">
        <f>transport!H14</f>
        <v>9994.6828706988163</v>
      </c>
      <c r="J19" s="713">
        <f>transport!I14</f>
        <v>0</v>
      </c>
      <c r="K19" s="713">
        <f>transport!J14</f>
        <v>0</v>
      </c>
      <c r="L19" s="713">
        <f>transport!K14</f>
        <v>0</v>
      </c>
      <c r="M19" s="713">
        <f>transport!L14</f>
        <v>0</v>
      </c>
      <c r="N19" s="713">
        <f>transport!M14</f>
        <v>2602.4878795459558</v>
      </c>
      <c r="O19" s="713">
        <f>transport!N14</f>
        <v>0</v>
      </c>
      <c r="P19" s="713">
        <f>transport!O14</f>
        <v>0</v>
      </c>
      <c r="Q19" s="714">
        <f>transport!P14</f>
        <v>0</v>
      </c>
      <c r="R19" s="715">
        <f>SUM(C19:Q19)</f>
        <v>61017.182299121007</v>
      </c>
      <c r="S19" s="67"/>
    </row>
    <row r="20" spans="1:19" s="459" customFormat="1" ht="15.75" thickBot="1">
      <c r="A20" s="716" t="s">
        <v>230</v>
      </c>
      <c r="B20" s="866"/>
      <c r="C20" s="861">
        <f>SUM(C17:C19)</f>
        <v>4.0798018068223136</v>
      </c>
      <c r="D20" s="717">
        <f t="shared" ref="D20:R20" si="1">SUM(D17:D19)</f>
        <v>0</v>
      </c>
      <c r="E20" s="717">
        <f t="shared" si="1"/>
        <v>6.6569720685872165</v>
      </c>
      <c r="F20" s="717">
        <f t="shared" si="1"/>
        <v>204.10541663518288</v>
      </c>
      <c r="G20" s="717">
        <f t="shared" si="1"/>
        <v>0</v>
      </c>
      <c r="H20" s="717">
        <f t="shared" si="1"/>
        <v>50668.074858989101</v>
      </c>
      <c r="I20" s="717">
        <f t="shared" si="1"/>
        <v>9994.6828706988163</v>
      </c>
      <c r="J20" s="717">
        <f t="shared" si="1"/>
        <v>0</v>
      </c>
      <c r="K20" s="717">
        <f t="shared" si="1"/>
        <v>0</v>
      </c>
      <c r="L20" s="717">
        <f t="shared" si="1"/>
        <v>0</v>
      </c>
      <c r="M20" s="717">
        <f t="shared" si="1"/>
        <v>0</v>
      </c>
      <c r="N20" s="717">
        <f t="shared" si="1"/>
        <v>2712.0193112195839</v>
      </c>
      <c r="O20" s="717">
        <f t="shared" si="1"/>
        <v>0</v>
      </c>
      <c r="P20" s="717">
        <f t="shared" si="1"/>
        <v>0</v>
      </c>
      <c r="Q20" s="718">
        <f t="shared" si="1"/>
        <v>0</v>
      </c>
      <c r="R20" s="719">
        <f t="shared" si="1"/>
        <v>63589.619231418103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6416.9821020043601</v>
      </c>
      <c r="D22" s="713">
        <f>+landbouw!C8</f>
        <v>217171.92857142855</v>
      </c>
      <c r="E22" s="713">
        <f>+landbouw!D8</f>
        <v>65866.183695329062</v>
      </c>
      <c r="F22" s="713">
        <f>+landbouw!E8</f>
        <v>80.862241239003467</v>
      </c>
      <c r="G22" s="713">
        <f>+landbouw!F8</f>
        <v>10530.195801986658</v>
      </c>
      <c r="H22" s="713">
        <f>+landbouw!G8</f>
        <v>0</v>
      </c>
      <c r="I22" s="713">
        <f>+landbouw!H8</f>
        <v>0</v>
      </c>
      <c r="J22" s="713">
        <f>+landbouw!I8</f>
        <v>0</v>
      </c>
      <c r="K22" s="713">
        <f>+landbouw!J8</f>
        <v>965.04116246341289</v>
      </c>
      <c r="L22" s="713">
        <f>+landbouw!K8</f>
        <v>0</v>
      </c>
      <c r="M22" s="713">
        <f>+landbouw!L8</f>
        <v>0</v>
      </c>
      <c r="N22" s="713">
        <f>+landbouw!M8</f>
        <v>0</v>
      </c>
      <c r="O22" s="713">
        <f>+landbouw!N8</f>
        <v>0</v>
      </c>
      <c r="P22" s="713">
        <f>+landbouw!O8</f>
        <v>0</v>
      </c>
      <c r="Q22" s="714">
        <f>+landbouw!P8</f>
        <v>0</v>
      </c>
      <c r="R22" s="715">
        <f>SUM(C22:Q22)</f>
        <v>301031.19357445108</v>
      </c>
      <c r="S22" s="67"/>
    </row>
    <row r="23" spans="1:19" s="459" customFormat="1" ht="17.25" thickTop="1" thickBot="1">
      <c r="A23" s="720" t="s">
        <v>116</v>
      </c>
      <c r="B23" s="852"/>
      <c r="C23" s="721">
        <f ca="1">C20+C15+C22</f>
        <v>108670.57524218147</v>
      </c>
      <c r="D23" s="721">
        <f t="shared" ref="D23:Q23" ca="1" si="2">D20+D15+D22</f>
        <v>224886.21428571426</v>
      </c>
      <c r="E23" s="721">
        <f t="shared" ca="1" si="2"/>
        <v>201342.62386366757</v>
      </c>
      <c r="F23" s="721">
        <f t="shared" si="2"/>
        <v>5005.2241689063976</v>
      </c>
      <c r="G23" s="721">
        <f t="shared" ca="1" si="2"/>
        <v>60990.43764160695</v>
      </c>
      <c r="H23" s="721">
        <f t="shared" si="2"/>
        <v>50668.074858989101</v>
      </c>
      <c r="I23" s="721">
        <f t="shared" si="2"/>
        <v>9994.6828706988163</v>
      </c>
      <c r="J23" s="721">
        <f t="shared" si="2"/>
        <v>0</v>
      </c>
      <c r="K23" s="721">
        <f t="shared" si="2"/>
        <v>2413.0601537353864</v>
      </c>
      <c r="L23" s="721">
        <f t="shared" si="2"/>
        <v>0</v>
      </c>
      <c r="M23" s="721">
        <f t="shared" ca="1" si="2"/>
        <v>0</v>
      </c>
      <c r="N23" s="721">
        <f t="shared" si="2"/>
        <v>2712.0193112195839</v>
      </c>
      <c r="O23" s="721">
        <f t="shared" ca="1" si="2"/>
        <v>13690.251180477635</v>
      </c>
      <c r="P23" s="721">
        <f t="shared" si="2"/>
        <v>268.89333333333337</v>
      </c>
      <c r="Q23" s="722">
        <f t="shared" si="2"/>
        <v>819.86666666666667</v>
      </c>
      <c r="R23" s="723">
        <f ca="1">R20+R15+R22</f>
        <v>681461.92357719713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12372.299105127127</v>
      </c>
      <c r="D36" s="704">
        <f ca="1">tertiair!C20</f>
        <v>1662.4023353237883</v>
      </c>
      <c r="E36" s="704">
        <f ca="1">tertiair!D20</f>
        <v>7828.1122996149261</v>
      </c>
      <c r="F36" s="704">
        <f>tertiair!E20</f>
        <v>177.31578151949751</v>
      </c>
      <c r="G36" s="704">
        <f ca="1">tertiair!F20</f>
        <v>2701.0528287472725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24741.182350332612</v>
      </c>
    </row>
    <row r="37" spans="1:18">
      <c r="A37" s="873" t="s">
        <v>225</v>
      </c>
      <c r="B37" s="880"/>
      <c r="C37" s="704">
        <f ca="1">huishoudens!B12</f>
        <v>7405.4779319195268</v>
      </c>
      <c r="D37" s="704">
        <f ca="1">huishoudens!C12</f>
        <v>0</v>
      </c>
      <c r="E37" s="704">
        <f>huishoudens!D12</f>
        <v>17900.795896108688</v>
      </c>
      <c r="F37" s="704">
        <f>huishoudens!E12</f>
        <v>767.50865041600593</v>
      </c>
      <c r="G37" s="704">
        <f>huishoudens!F12</f>
        <v>10036.923767748163</v>
      </c>
      <c r="H37" s="704">
        <f>huishoudens!G12</f>
        <v>0</v>
      </c>
      <c r="I37" s="704">
        <f>huishoudens!H12</f>
        <v>0</v>
      </c>
      <c r="J37" s="704">
        <f>huishoudens!I12</f>
        <v>0</v>
      </c>
      <c r="K37" s="704">
        <f>huishoudens!J12</f>
        <v>509.82401701808982</v>
      </c>
      <c r="L37" s="704">
        <f>huishoudens!K12</f>
        <v>0</v>
      </c>
      <c r="M37" s="704">
        <f>huishoudens!L12</f>
        <v>0</v>
      </c>
      <c r="N37" s="704">
        <f>huishoudens!M12</f>
        <v>0</v>
      </c>
      <c r="O37" s="704">
        <f>huishoudens!N12</f>
        <v>0</v>
      </c>
      <c r="P37" s="704">
        <f>huishoudens!O12</f>
        <v>0</v>
      </c>
      <c r="Q37" s="814">
        <f>huishoudens!P12</f>
        <v>0</v>
      </c>
      <c r="R37" s="905">
        <f ca="1">SUM(C37:Q37)</f>
        <v>36620.530263210472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1127.399334603786</v>
      </c>
      <c r="D39" s="704">
        <f ca="1">industrie!C22</f>
        <v>0</v>
      </c>
      <c r="E39" s="704">
        <f>industrie!D22</f>
        <v>1635.988009922906</v>
      </c>
      <c r="F39" s="704">
        <f>industrie!E22</f>
        <v>126.67379606880841</v>
      </c>
      <c r="G39" s="704">
        <f>industrie!F22</f>
        <v>734.9079746831834</v>
      </c>
      <c r="H39" s="704">
        <f>industrie!G22</f>
        <v>0</v>
      </c>
      <c r="I39" s="704">
        <f>industrie!H22</f>
        <v>0</v>
      </c>
      <c r="J39" s="704">
        <f>industrie!I22</f>
        <v>0</v>
      </c>
      <c r="K39" s="704">
        <f>industrie!J22</f>
        <v>2.774705892188742</v>
      </c>
      <c r="L39" s="704">
        <f>industrie!K22</f>
        <v>0</v>
      </c>
      <c r="M39" s="704">
        <f>industrie!L22</f>
        <v>0</v>
      </c>
      <c r="N39" s="704">
        <f>industrie!M22</f>
        <v>0</v>
      </c>
      <c r="O39" s="704">
        <f>industrie!N22</f>
        <v>0</v>
      </c>
      <c r="P39" s="704">
        <f>industrie!O22</f>
        <v>0</v>
      </c>
      <c r="Q39" s="814">
        <f>industrie!P22</f>
        <v>0</v>
      </c>
      <c r="R39" s="906">
        <f ca="1">SUM(C39:Q39)</f>
        <v>3627.7438211708723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20905.176371650439</v>
      </c>
      <c r="D41" s="749">
        <f t="shared" ref="D41:R41" ca="1" si="4">SUM(D35:D40)</f>
        <v>1662.4023353237883</v>
      </c>
      <c r="E41" s="749">
        <f t="shared" ca="1" si="4"/>
        <v>27364.896205646517</v>
      </c>
      <c r="F41" s="749">
        <f t="shared" si="4"/>
        <v>1071.4982280043118</v>
      </c>
      <c r="G41" s="749">
        <f t="shared" ca="1" si="4"/>
        <v>13472.884571178618</v>
      </c>
      <c r="H41" s="749">
        <f t="shared" si="4"/>
        <v>0</v>
      </c>
      <c r="I41" s="749">
        <f t="shared" si="4"/>
        <v>0</v>
      </c>
      <c r="J41" s="749">
        <f t="shared" si="4"/>
        <v>0</v>
      </c>
      <c r="K41" s="749">
        <f t="shared" si="4"/>
        <v>512.59872291027852</v>
      </c>
      <c r="L41" s="749">
        <f t="shared" si="4"/>
        <v>0</v>
      </c>
      <c r="M41" s="749">
        <f t="shared" ca="1" si="4"/>
        <v>0</v>
      </c>
      <c r="N41" s="749">
        <f t="shared" si="4"/>
        <v>0</v>
      </c>
      <c r="O41" s="749">
        <f t="shared" ca="1" si="4"/>
        <v>0</v>
      </c>
      <c r="P41" s="749">
        <f t="shared" si="4"/>
        <v>0</v>
      </c>
      <c r="Q41" s="750">
        <f t="shared" si="4"/>
        <v>0</v>
      </c>
      <c r="R41" s="751">
        <f t="shared" ca="1" si="4"/>
        <v>64989.45643471396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657.59576866646569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657.59576866646569</v>
      </c>
    </row>
    <row r="45" spans="1:18" ht="15" thickBot="1">
      <c r="A45" s="876" t="s">
        <v>307</v>
      </c>
      <c r="B45" s="886"/>
      <c r="C45" s="713">
        <f ca="1">transport!B18</f>
        <v>0.83412598797174853</v>
      </c>
      <c r="D45" s="713">
        <f>transport!C18</f>
        <v>0</v>
      </c>
      <c r="E45" s="713">
        <f>transport!D18</f>
        <v>1.3447083578546177</v>
      </c>
      <c r="F45" s="713">
        <f>transport!E18</f>
        <v>46.331929576186518</v>
      </c>
      <c r="G45" s="713">
        <f>transport!F18</f>
        <v>0</v>
      </c>
      <c r="H45" s="713">
        <f>transport!G18</f>
        <v>12870.780218683625</v>
      </c>
      <c r="I45" s="713">
        <f>transport!H18</f>
        <v>2488.6760348040052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15407.967017409643</v>
      </c>
    </row>
    <row r="46" spans="1:18" ht="15.75" thickBot="1">
      <c r="A46" s="874" t="s">
        <v>230</v>
      </c>
      <c r="B46" s="887"/>
      <c r="C46" s="749">
        <f t="shared" ref="C46:R46" ca="1" si="5">SUM(C43:C45)</f>
        <v>0.83412598797174853</v>
      </c>
      <c r="D46" s="749">
        <f t="shared" ca="1" si="5"/>
        <v>0</v>
      </c>
      <c r="E46" s="749">
        <f t="shared" si="5"/>
        <v>1.3447083578546177</v>
      </c>
      <c r="F46" s="749">
        <f t="shared" si="5"/>
        <v>46.331929576186518</v>
      </c>
      <c r="G46" s="749">
        <f t="shared" si="5"/>
        <v>0</v>
      </c>
      <c r="H46" s="749">
        <f t="shared" si="5"/>
        <v>13528.375987350091</v>
      </c>
      <c r="I46" s="749">
        <f t="shared" si="5"/>
        <v>2488.6760348040052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16065.562786076109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1311.968519323844</v>
      </c>
      <c r="D48" s="704">
        <f ca="1">+landbouw!C12</f>
        <v>46799.812010507339</v>
      </c>
      <c r="E48" s="704">
        <f>+landbouw!D12</f>
        <v>13304.969106456472</v>
      </c>
      <c r="F48" s="704">
        <f>+landbouw!E12</f>
        <v>18.355728761253786</v>
      </c>
      <c r="G48" s="704">
        <f>+landbouw!F12</f>
        <v>2811.5622791304377</v>
      </c>
      <c r="H48" s="704">
        <f>+landbouw!G12</f>
        <v>0</v>
      </c>
      <c r="I48" s="704">
        <f>+landbouw!H12</f>
        <v>0</v>
      </c>
      <c r="J48" s="704">
        <f>+landbouw!I12</f>
        <v>0</v>
      </c>
      <c r="K48" s="704">
        <f>+landbouw!J12</f>
        <v>341.62457151204813</v>
      </c>
      <c r="L48" s="704">
        <f>+landbouw!K12</f>
        <v>0</v>
      </c>
      <c r="M48" s="704">
        <f>+landbouw!L12</f>
        <v>0</v>
      </c>
      <c r="N48" s="704">
        <f>+landbouw!M12</f>
        <v>0</v>
      </c>
      <c r="O48" s="704">
        <f>+landbouw!N12</f>
        <v>0</v>
      </c>
      <c r="P48" s="704">
        <f>+landbouw!O12</f>
        <v>0</v>
      </c>
      <c r="Q48" s="705">
        <f>+landbouw!P12</f>
        <v>0</v>
      </c>
      <c r="R48" s="747">
        <f ca="1">SUM(C48:Q48)</f>
        <v>64588.292215691399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22217.979016962254</v>
      </c>
      <c r="D53" s="759">
        <f t="shared" ref="D53:Q53" ca="1" si="6">D41+D46+D48</f>
        <v>48462.214345831126</v>
      </c>
      <c r="E53" s="759">
        <f t="shared" ca="1" si="6"/>
        <v>40671.210020460843</v>
      </c>
      <c r="F53" s="759">
        <f t="shared" si="6"/>
        <v>1136.1858863417522</v>
      </c>
      <c r="G53" s="759">
        <f t="shared" ca="1" si="6"/>
        <v>16284.446850309056</v>
      </c>
      <c r="H53" s="759">
        <f t="shared" si="6"/>
        <v>13528.375987350091</v>
      </c>
      <c r="I53" s="759">
        <f t="shared" si="6"/>
        <v>2488.6760348040052</v>
      </c>
      <c r="J53" s="759">
        <f t="shared" si="6"/>
        <v>0</v>
      </c>
      <c r="K53" s="759">
        <f t="shared" si="6"/>
        <v>854.22329442232672</v>
      </c>
      <c r="L53" s="759">
        <f t="shared" si="6"/>
        <v>0</v>
      </c>
      <c r="M53" s="759">
        <f t="shared" ca="1" si="6"/>
        <v>0</v>
      </c>
      <c r="N53" s="759">
        <f t="shared" si="6"/>
        <v>0</v>
      </c>
      <c r="O53" s="759">
        <f t="shared" ca="1" si="6"/>
        <v>0</v>
      </c>
      <c r="P53" s="759">
        <f>P41+P46+P48</f>
        <v>0</v>
      </c>
      <c r="Q53" s="760">
        <f t="shared" si="6"/>
        <v>0</v>
      </c>
      <c r="R53" s="761">
        <f ca="1">R41+R46+R48</f>
        <v>145643.31143648148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0.20445257575427045</v>
      </c>
      <c r="D55" s="824">
        <f t="shared" ca="1" si="7"/>
        <v>0.21549659902345403</v>
      </c>
      <c r="E55" s="824">
        <f t="shared" ca="1" si="7"/>
        <v>0.20199999999999996</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8768.3416388043115</v>
      </c>
      <c r="C66" s="781">
        <f>'lokale energieproductie'!B6</f>
        <v>8768.3416388043115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162324</v>
      </c>
      <c r="C67" s="780">
        <f>B67*IFERROR(SUM(J67:L67)/SUM(D67:M67),0)</f>
        <v>16461.012446727444</v>
      </c>
      <c r="D67" s="812">
        <f>'lokale energieproductie'!C7</f>
        <v>166736.43851263516</v>
      </c>
      <c r="E67" s="813">
        <f>'lokale energieproductie'!D7</f>
        <v>0</v>
      </c>
      <c r="F67" s="813">
        <f>'lokale energieproductie'!E7</f>
        <v>4867.0762559207869</v>
      </c>
      <c r="G67" s="813">
        <f>'lokale energieproductie'!F7</f>
        <v>0</v>
      </c>
      <c r="H67" s="813">
        <f>'lokale energieproductie'!G7</f>
        <v>0</v>
      </c>
      <c r="I67" s="813">
        <f>'lokale energieproductie'!H7</f>
        <v>0</v>
      </c>
      <c r="J67" s="813">
        <f>'lokale energieproductie'!I7</f>
        <v>19317.387930476303</v>
      </c>
      <c r="K67" s="813">
        <f>'lokale energieproductie'!J7</f>
        <v>48.509065673629117</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34980.269939883154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171092.3416388043</v>
      </c>
      <c r="C69" s="789">
        <f>SUM(C64:C68)</f>
        <v>25229.354085531755</v>
      </c>
      <c r="D69" s="790">
        <f t="shared" ref="D69:M69" si="8">SUM(D67:D68)</f>
        <v>166736.43851263516</v>
      </c>
      <c r="E69" s="790">
        <f t="shared" si="8"/>
        <v>0</v>
      </c>
      <c r="F69" s="790">
        <f t="shared" si="8"/>
        <v>4867.0762559207869</v>
      </c>
      <c r="G69" s="790">
        <f t="shared" si="8"/>
        <v>0</v>
      </c>
      <c r="H69" s="790">
        <f t="shared" si="8"/>
        <v>0</v>
      </c>
      <c r="I69" s="790">
        <f t="shared" si="8"/>
        <v>0</v>
      </c>
      <c r="J69" s="790">
        <f t="shared" si="8"/>
        <v>19317.387930476303</v>
      </c>
      <c r="K69" s="790">
        <f t="shared" si="8"/>
        <v>48.509065673629117</v>
      </c>
      <c r="L69" s="790">
        <f t="shared" si="8"/>
        <v>0</v>
      </c>
      <c r="M69" s="918">
        <f t="shared" si="8"/>
        <v>0</v>
      </c>
      <c r="N69" s="791">
        <v>0</v>
      </c>
      <c r="O69" s="791">
        <f>SUM(O67:O68)</f>
        <v>34980.269939883154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224886.21428571426</v>
      </c>
      <c r="C78" s="803">
        <f>B78*IFERROR(SUM(I78:L78)/SUM(D78:M78),0)</f>
        <v>22805.344696129701</v>
      </c>
      <c r="D78" s="818">
        <f>'lokale energieproductie'!C16</f>
        <v>230999.27577307911</v>
      </c>
      <c r="E78" s="818">
        <f>'lokale energieproductie'!D16</f>
        <v>0</v>
      </c>
      <c r="F78" s="818">
        <f>'lokale energieproductie'!E16</f>
        <v>6742.9237440792131</v>
      </c>
      <c r="G78" s="818">
        <f>'lokale energieproductie'!F16</f>
        <v>0</v>
      </c>
      <c r="H78" s="818">
        <f>'lokale energieproductie'!G16</f>
        <v>0</v>
      </c>
      <c r="I78" s="818">
        <f>'lokale energieproductie'!H16</f>
        <v>0</v>
      </c>
      <c r="J78" s="818">
        <f>'lokale energieproductie'!I16</f>
        <v>26762.612069523697</v>
      </c>
      <c r="K78" s="818">
        <f>'lokale energieproductie'!J16</f>
        <v>67.205220040656613</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48462.214345831126</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224886.21428571426</v>
      </c>
      <c r="C81" s="789">
        <f>SUM(C78:C80)</f>
        <v>22805.344696129701</v>
      </c>
      <c r="D81" s="789">
        <f t="shared" ref="D81:P81" si="9">SUM(D78:D80)</f>
        <v>230999.27577307911</v>
      </c>
      <c r="E81" s="789">
        <f t="shared" si="9"/>
        <v>0</v>
      </c>
      <c r="F81" s="789">
        <f t="shared" si="9"/>
        <v>6742.9237440792131</v>
      </c>
      <c r="G81" s="789">
        <f t="shared" si="9"/>
        <v>0</v>
      </c>
      <c r="H81" s="789">
        <f t="shared" si="9"/>
        <v>0</v>
      </c>
      <c r="I81" s="789">
        <f t="shared" si="9"/>
        <v>0</v>
      </c>
      <c r="J81" s="789">
        <f t="shared" si="9"/>
        <v>26762.612069523697</v>
      </c>
      <c r="K81" s="789">
        <f t="shared" si="9"/>
        <v>67.205220040656613</v>
      </c>
      <c r="L81" s="789">
        <f t="shared" si="9"/>
        <v>0</v>
      </c>
      <c r="M81" s="789">
        <f t="shared" si="9"/>
        <v>0</v>
      </c>
      <c r="N81" s="789">
        <v>0</v>
      </c>
      <c r="O81" s="789">
        <f>SUM(O78:O80)</f>
        <v>48462.214345831126</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36221.005798528546</v>
      </c>
      <c r="C4" s="463">
        <f>huishoudens!C8</f>
        <v>0</v>
      </c>
      <c r="D4" s="463">
        <f>huishoudens!D8</f>
        <v>88617.801465884593</v>
      </c>
      <c r="E4" s="463">
        <f>huishoudens!E8</f>
        <v>3381.0953762819645</v>
      </c>
      <c r="F4" s="463">
        <f>huishoudens!F8</f>
        <v>37591.474785573642</v>
      </c>
      <c r="G4" s="463">
        <f>huishoudens!G8</f>
        <v>0</v>
      </c>
      <c r="H4" s="463">
        <f>huishoudens!H8</f>
        <v>0</v>
      </c>
      <c r="I4" s="463">
        <f>huishoudens!I8</f>
        <v>0</v>
      </c>
      <c r="J4" s="463">
        <f>huishoudens!J8</f>
        <v>1440.1808390341521</v>
      </c>
      <c r="K4" s="463">
        <f>huishoudens!K8</f>
        <v>0</v>
      </c>
      <c r="L4" s="463">
        <f>huishoudens!L8</f>
        <v>0</v>
      </c>
      <c r="M4" s="463">
        <f>huishoudens!M8</f>
        <v>0</v>
      </c>
      <c r="N4" s="463">
        <f>huishoudens!N8</f>
        <v>10647.404045969995</v>
      </c>
      <c r="O4" s="463">
        <f>huishoudens!O8</f>
        <v>264.20333333333338</v>
      </c>
      <c r="P4" s="464">
        <f>huishoudens!P8</f>
        <v>800.8</v>
      </c>
      <c r="Q4" s="465">
        <f>SUM(B4:P4)</f>
        <v>178963.96564460621</v>
      </c>
    </row>
    <row r="5" spans="1:17">
      <c r="A5" s="462" t="s">
        <v>156</v>
      </c>
      <c r="B5" s="463">
        <f ca="1">tertiair!B16</f>
        <v>58877.45758879192</v>
      </c>
      <c r="C5" s="463">
        <f ca="1">tertiair!C16</f>
        <v>7714.2857142857147</v>
      </c>
      <c r="D5" s="463">
        <f ca="1">tertiair!D16</f>
        <v>38753.031186212502</v>
      </c>
      <c r="E5" s="463">
        <f>tertiair!E16</f>
        <v>781.12679083479077</v>
      </c>
      <c r="F5" s="463">
        <f ca="1">tertiair!F16</f>
        <v>10116.302729390532</v>
      </c>
      <c r="G5" s="463">
        <f>tertiair!G16</f>
        <v>0</v>
      </c>
      <c r="H5" s="463">
        <f>tertiair!H16</f>
        <v>0</v>
      </c>
      <c r="I5" s="463">
        <f>tertiair!I16</f>
        <v>0</v>
      </c>
      <c r="J5" s="463">
        <f>tertiair!J16</f>
        <v>0</v>
      </c>
      <c r="K5" s="463">
        <f>tertiair!K16</f>
        <v>0</v>
      </c>
      <c r="L5" s="463">
        <f ca="1">tertiair!L16</f>
        <v>0</v>
      </c>
      <c r="M5" s="463">
        <f>tertiair!M16</f>
        <v>0</v>
      </c>
      <c r="N5" s="463">
        <f ca="1">tertiair!N16</f>
        <v>1832.1550718148308</v>
      </c>
      <c r="O5" s="463">
        <f>tertiair!O16</f>
        <v>4.6900000000000004</v>
      </c>
      <c r="P5" s="464">
        <f>tertiair!P16</f>
        <v>19.066666666666666</v>
      </c>
      <c r="Q5" s="462">
        <f t="shared" ref="Q5:Q13" ca="1" si="0">SUM(B5:P5)</f>
        <v>118098.11574799697</v>
      </c>
    </row>
    <row r="6" spans="1:17">
      <c r="A6" s="462" t="s">
        <v>194</v>
      </c>
      <c r="B6" s="463">
        <f>'openbare verlichting'!B8</f>
        <v>1636.816</v>
      </c>
      <c r="C6" s="463"/>
      <c r="D6" s="463"/>
      <c r="E6" s="463"/>
      <c r="F6" s="463"/>
      <c r="G6" s="463"/>
      <c r="H6" s="463"/>
      <c r="I6" s="463"/>
      <c r="J6" s="463"/>
      <c r="K6" s="463"/>
      <c r="L6" s="463"/>
      <c r="M6" s="463"/>
      <c r="N6" s="463"/>
      <c r="O6" s="463"/>
      <c r="P6" s="464"/>
      <c r="Q6" s="462">
        <f t="shared" si="0"/>
        <v>1636.816</v>
      </c>
    </row>
    <row r="7" spans="1:17">
      <c r="A7" s="462" t="s">
        <v>112</v>
      </c>
      <c r="B7" s="463">
        <f>landbouw!B8</f>
        <v>6416.9821020043601</v>
      </c>
      <c r="C7" s="463">
        <f>landbouw!C8</f>
        <v>217171.92857142855</v>
      </c>
      <c r="D7" s="463">
        <f>landbouw!D8</f>
        <v>65866.183695329062</v>
      </c>
      <c r="E7" s="463">
        <f>landbouw!E8</f>
        <v>80.862241239003467</v>
      </c>
      <c r="F7" s="463">
        <f>landbouw!F8</f>
        <v>10530.195801986658</v>
      </c>
      <c r="G7" s="463">
        <f>landbouw!G8</f>
        <v>0</v>
      </c>
      <c r="H7" s="463">
        <f>landbouw!H8</f>
        <v>0</v>
      </c>
      <c r="I7" s="463">
        <f>landbouw!I8</f>
        <v>0</v>
      </c>
      <c r="J7" s="463">
        <f>landbouw!J8</f>
        <v>965.04116246341289</v>
      </c>
      <c r="K7" s="463">
        <f>landbouw!K8</f>
        <v>0</v>
      </c>
      <c r="L7" s="463">
        <f>landbouw!L8</f>
        <v>0</v>
      </c>
      <c r="M7" s="463">
        <f>landbouw!M8</f>
        <v>0</v>
      </c>
      <c r="N7" s="463">
        <f>landbouw!N8</f>
        <v>0</v>
      </c>
      <c r="O7" s="463">
        <f>landbouw!O8</f>
        <v>0</v>
      </c>
      <c r="P7" s="464">
        <f>landbouw!P8</f>
        <v>0</v>
      </c>
      <c r="Q7" s="462">
        <f t="shared" si="0"/>
        <v>301031.19357445108</v>
      </c>
    </row>
    <row r="8" spans="1:17">
      <c r="A8" s="462" t="s">
        <v>657</v>
      </c>
      <c r="B8" s="463">
        <f>industrie!B18</f>
        <v>5514.2339510498323</v>
      </c>
      <c r="C8" s="463">
        <f>industrie!C18</f>
        <v>0</v>
      </c>
      <c r="D8" s="463">
        <f>industrie!D18</f>
        <v>8098.9505441728015</v>
      </c>
      <c r="E8" s="463">
        <f>industrie!E18</f>
        <v>558.03434391545557</v>
      </c>
      <c r="F8" s="463">
        <f>industrie!F18</f>
        <v>2752.4643246561172</v>
      </c>
      <c r="G8" s="463">
        <f>industrie!G18</f>
        <v>0</v>
      </c>
      <c r="H8" s="463">
        <f>industrie!H18</f>
        <v>0</v>
      </c>
      <c r="I8" s="463">
        <f>industrie!I18</f>
        <v>0</v>
      </c>
      <c r="J8" s="463">
        <f>industrie!J18</f>
        <v>7.8381522378213058</v>
      </c>
      <c r="K8" s="463">
        <f>industrie!K18</f>
        <v>0</v>
      </c>
      <c r="L8" s="463">
        <f>industrie!L18</f>
        <v>0</v>
      </c>
      <c r="M8" s="463">
        <f>industrie!M18</f>
        <v>0</v>
      </c>
      <c r="N8" s="463">
        <f>industrie!N18</f>
        <v>1210.692062692809</v>
      </c>
      <c r="O8" s="463">
        <f>industrie!O18</f>
        <v>0</v>
      </c>
      <c r="P8" s="464">
        <f>industrie!P18</f>
        <v>0</v>
      </c>
      <c r="Q8" s="462">
        <f t="shared" si="0"/>
        <v>18142.213378724839</v>
      </c>
    </row>
    <row r="9" spans="1:17" s="468" customFormat="1">
      <c r="A9" s="466" t="s">
        <v>574</v>
      </c>
      <c r="B9" s="467">
        <f>transport!B14</f>
        <v>4.0798018068223136</v>
      </c>
      <c r="C9" s="467">
        <f>transport!C14</f>
        <v>0</v>
      </c>
      <c r="D9" s="467">
        <f>transport!D14</f>
        <v>6.6569720685872165</v>
      </c>
      <c r="E9" s="467">
        <f>transport!E14</f>
        <v>204.10541663518288</v>
      </c>
      <c r="F9" s="467">
        <f>transport!F14</f>
        <v>0</v>
      </c>
      <c r="G9" s="467">
        <f>transport!G14</f>
        <v>48205.169358365638</v>
      </c>
      <c r="H9" s="467">
        <f>transport!H14</f>
        <v>9994.6828706988163</v>
      </c>
      <c r="I9" s="467">
        <f>transport!I14</f>
        <v>0</v>
      </c>
      <c r="J9" s="467">
        <f>transport!J14</f>
        <v>0</v>
      </c>
      <c r="K9" s="467">
        <f>transport!K14</f>
        <v>0</v>
      </c>
      <c r="L9" s="467">
        <f>transport!L14</f>
        <v>0</v>
      </c>
      <c r="M9" s="467">
        <f>transport!M14</f>
        <v>2602.4878795459558</v>
      </c>
      <c r="N9" s="467">
        <f>transport!N14</f>
        <v>0</v>
      </c>
      <c r="O9" s="467">
        <f>transport!O14</f>
        <v>0</v>
      </c>
      <c r="P9" s="467">
        <f>transport!P14</f>
        <v>0</v>
      </c>
      <c r="Q9" s="466">
        <f>SUM(B9:P9)</f>
        <v>61017.182299121007</v>
      </c>
    </row>
    <row r="10" spans="1:17">
      <c r="A10" s="462" t="s">
        <v>564</v>
      </c>
      <c r="B10" s="463">
        <f>transport!B54</f>
        <v>0</v>
      </c>
      <c r="C10" s="463">
        <f>transport!C54</f>
        <v>0</v>
      </c>
      <c r="D10" s="463">
        <f>transport!D54</f>
        <v>0</v>
      </c>
      <c r="E10" s="463">
        <f>transport!E54</f>
        <v>0</v>
      </c>
      <c r="F10" s="463">
        <f>transport!F54</f>
        <v>0</v>
      </c>
      <c r="G10" s="463">
        <f>transport!G54</f>
        <v>2462.9055006234667</v>
      </c>
      <c r="H10" s="463">
        <f>transport!H54</f>
        <v>0</v>
      </c>
      <c r="I10" s="463">
        <f>transport!I54</f>
        <v>0</v>
      </c>
      <c r="J10" s="463">
        <f>transport!J54</f>
        <v>0</v>
      </c>
      <c r="K10" s="463">
        <f>transport!K54</f>
        <v>0</v>
      </c>
      <c r="L10" s="463">
        <f>transport!L54</f>
        <v>0</v>
      </c>
      <c r="M10" s="463">
        <f>transport!M54</f>
        <v>109.53143167362798</v>
      </c>
      <c r="N10" s="463">
        <f>transport!N54</f>
        <v>0</v>
      </c>
      <c r="O10" s="463">
        <f>transport!O54</f>
        <v>0</v>
      </c>
      <c r="P10" s="464">
        <f>transport!P54</f>
        <v>0</v>
      </c>
      <c r="Q10" s="462">
        <f t="shared" si="0"/>
        <v>2572.4369322970947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108670.57524218147</v>
      </c>
      <c r="C14" s="473">
        <f t="shared" ref="C14:Q14" ca="1" si="1">SUM(C4:C13)</f>
        <v>224886.21428571426</v>
      </c>
      <c r="D14" s="473">
        <f t="shared" ca="1" si="1"/>
        <v>201342.62386366757</v>
      </c>
      <c r="E14" s="473">
        <f t="shared" si="1"/>
        <v>5005.2241689063976</v>
      </c>
      <c r="F14" s="473">
        <f t="shared" ca="1" si="1"/>
        <v>60990.43764160695</v>
      </c>
      <c r="G14" s="473">
        <f t="shared" si="1"/>
        <v>50668.074858989101</v>
      </c>
      <c r="H14" s="473">
        <f t="shared" si="1"/>
        <v>9994.6828706988163</v>
      </c>
      <c r="I14" s="473">
        <f t="shared" si="1"/>
        <v>0</v>
      </c>
      <c r="J14" s="473">
        <f t="shared" si="1"/>
        <v>2413.0601537353864</v>
      </c>
      <c r="K14" s="473">
        <f t="shared" si="1"/>
        <v>0</v>
      </c>
      <c r="L14" s="473">
        <f t="shared" ca="1" si="1"/>
        <v>0</v>
      </c>
      <c r="M14" s="473">
        <f t="shared" si="1"/>
        <v>2712.0193112195839</v>
      </c>
      <c r="N14" s="473">
        <f t="shared" ca="1" si="1"/>
        <v>13690.251180477635</v>
      </c>
      <c r="O14" s="473">
        <f t="shared" si="1"/>
        <v>268.89333333333337</v>
      </c>
      <c r="P14" s="474">
        <f t="shared" si="1"/>
        <v>819.86666666666667</v>
      </c>
      <c r="Q14" s="474">
        <f t="shared" ca="1" si="1"/>
        <v>681461.92357719725</v>
      </c>
    </row>
    <row r="16" spans="1:17">
      <c r="A16" s="476" t="s">
        <v>569</v>
      </c>
      <c r="B16" s="829">
        <f ca="1">huishoudens!B10</f>
        <v>0.20445257575427045</v>
      </c>
      <c r="C16" s="829">
        <f ca="1">huishoudens!C10</f>
        <v>0.21549659902345403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7405.4779319195268</v>
      </c>
      <c r="C21" s="463">
        <f t="shared" ref="C21:C30" ca="1" si="3">C4*$C$16</f>
        <v>0</v>
      </c>
      <c r="D21" s="463">
        <f t="shared" ref="D21:D30" si="4">D4*$D$16</f>
        <v>17900.795896108688</v>
      </c>
      <c r="E21" s="463">
        <f t="shared" ref="E21:E30" si="5">E4*$E$16</f>
        <v>767.50865041600593</v>
      </c>
      <c r="F21" s="463">
        <f t="shared" ref="F21:F30" si="6">F4*$F$16</f>
        <v>10036.923767748163</v>
      </c>
      <c r="G21" s="463">
        <f t="shared" ref="G21:G30" si="7">G4*$G$16</f>
        <v>0</v>
      </c>
      <c r="H21" s="463">
        <f t="shared" ref="H21:H30" si="8">H4*$H$16</f>
        <v>0</v>
      </c>
      <c r="I21" s="463">
        <f t="shared" ref="I21:I30" si="9">I4*$I$16</f>
        <v>0</v>
      </c>
      <c r="J21" s="463">
        <f t="shared" ref="J21:J30" si="10">J4*$J$16</f>
        <v>509.82401701808982</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36620.530263210472</v>
      </c>
    </row>
    <row r="22" spans="1:17">
      <c r="A22" s="462" t="s">
        <v>156</v>
      </c>
      <c r="B22" s="463">
        <f t="shared" ca="1" si="2"/>
        <v>12037.647857891325</v>
      </c>
      <c r="C22" s="463">
        <f t="shared" ca="1" si="3"/>
        <v>1662.4023353237883</v>
      </c>
      <c r="D22" s="463">
        <f t="shared" ca="1" si="4"/>
        <v>7828.1122996149261</v>
      </c>
      <c r="E22" s="463">
        <f t="shared" si="5"/>
        <v>177.31578151949751</v>
      </c>
      <c r="F22" s="463">
        <f t="shared" ca="1" si="6"/>
        <v>2701.0528287472725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24406.531103096808</v>
      </c>
    </row>
    <row r="23" spans="1:17">
      <c r="A23" s="462" t="s">
        <v>194</v>
      </c>
      <c r="B23" s="463">
        <f t="shared" ca="1" si="2"/>
        <v>334.65124723580192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334.65124723580192</v>
      </c>
    </row>
    <row r="24" spans="1:17">
      <c r="A24" s="462" t="s">
        <v>112</v>
      </c>
      <c r="B24" s="463">
        <f t="shared" ca="1" si="2"/>
        <v>1311.968519323844</v>
      </c>
      <c r="C24" s="463">
        <f t="shared" ca="1" si="3"/>
        <v>46799.812010507339</v>
      </c>
      <c r="D24" s="463">
        <f t="shared" si="4"/>
        <v>13304.969106456472</v>
      </c>
      <c r="E24" s="463">
        <f t="shared" si="5"/>
        <v>18.355728761253786</v>
      </c>
      <c r="F24" s="463">
        <f t="shared" si="6"/>
        <v>2811.5622791304377</v>
      </c>
      <c r="G24" s="463">
        <f t="shared" si="7"/>
        <v>0</v>
      </c>
      <c r="H24" s="463">
        <f t="shared" si="8"/>
        <v>0</v>
      </c>
      <c r="I24" s="463">
        <f t="shared" si="9"/>
        <v>0</v>
      </c>
      <c r="J24" s="463">
        <f t="shared" si="10"/>
        <v>341.62457151204813</v>
      </c>
      <c r="K24" s="463">
        <f t="shared" si="11"/>
        <v>0</v>
      </c>
      <c r="L24" s="463">
        <f t="shared" si="12"/>
        <v>0</v>
      </c>
      <c r="M24" s="463">
        <f t="shared" si="13"/>
        <v>0</v>
      </c>
      <c r="N24" s="463">
        <f t="shared" si="14"/>
        <v>0</v>
      </c>
      <c r="O24" s="463">
        <f t="shared" si="15"/>
        <v>0</v>
      </c>
      <c r="P24" s="464">
        <f t="shared" si="16"/>
        <v>0</v>
      </c>
      <c r="Q24" s="462">
        <f t="shared" ca="1" si="17"/>
        <v>64588.292215691399</v>
      </c>
    </row>
    <row r="25" spans="1:17">
      <c r="A25" s="462" t="s">
        <v>657</v>
      </c>
      <c r="B25" s="463">
        <f t="shared" ca="1" si="2"/>
        <v>1127.399334603786</v>
      </c>
      <c r="C25" s="463">
        <f t="shared" ca="1" si="3"/>
        <v>0</v>
      </c>
      <c r="D25" s="463">
        <f t="shared" si="4"/>
        <v>1635.988009922906</v>
      </c>
      <c r="E25" s="463">
        <f t="shared" si="5"/>
        <v>126.67379606880841</v>
      </c>
      <c r="F25" s="463">
        <f t="shared" si="6"/>
        <v>734.9079746831834</v>
      </c>
      <c r="G25" s="463">
        <f t="shared" si="7"/>
        <v>0</v>
      </c>
      <c r="H25" s="463">
        <f t="shared" si="8"/>
        <v>0</v>
      </c>
      <c r="I25" s="463">
        <f t="shared" si="9"/>
        <v>0</v>
      </c>
      <c r="J25" s="463">
        <f t="shared" si="10"/>
        <v>2.774705892188742</v>
      </c>
      <c r="K25" s="463">
        <f t="shared" si="11"/>
        <v>0</v>
      </c>
      <c r="L25" s="463">
        <f t="shared" si="12"/>
        <v>0</v>
      </c>
      <c r="M25" s="463">
        <f t="shared" si="13"/>
        <v>0</v>
      </c>
      <c r="N25" s="463">
        <f t="shared" si="14"/>
        <v>0</v>
      </c>
      <c r="O25" s="463">
        <f t="shared" si="15"/>
        <v>0</v>
      </c>
      <c r="P25" s="464">
        <f t="shared" si="16"/>
        <v>0</v>
      </c>
      <c r="Q25" s="462">
        <f t="shared" ca="1" si="17"/>
        <v>3627.7438211708723</v>
      </c>
    </row>
    <row r="26" spans="1:17" s="468" customFormat="1">
      <c r="A26" s="466" t="s">
        <v>574</v>
      </c>
      <c r="B26" s="823">
        <f t="shared" ca="1" si="2"/>
        <v>0.83412598797174853</v>
      </c>
      <c r="C26" s="467">
        <f t="shared" ca="1" si="3"/>
        <v>0</v>
      </c>
      <c r="D26" s="467">
        <f t="shared" si="4"/>
        <v>1.3447083578546177</v>
      </c>
      <c r="E26" s="467">
        <f t="shared" si="5"/>
        <v>46.331929576186518</v>
      </c>
      <c r="F26" s="467">
        <f t="shared" si="6"/>
        <v>0</v>
      </c>
      <c r="G26" s="467">
        <f t="shared" si="7"/>
        <v>12870.780218683625</v>
      </c>
      <c r="H26" s="467">
        <f t="shared" si="8"/>
        <v>2488.6760348040052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15407.967017409643</v>
      </c>
    </row>
    <row r="27" spans="1:17">
      <c r="A27" s="462" t="s">
        <v>564</v>
      </c>
      <c r="B27" s="463">
        <f t="shared" ca="1" si="2"/>
        <v>0</v>
      </c>
      <c r="C27" s="463">
        <f t="shared" ca="1" si="3"/>
        <v>0</v>
      </c>
      <c r="D27" s="463">
        <f t="shared" si="4"/>
        <v>0</v>
      </c>
      <c r="E27" s="463">
        <f t="shared" si="5"/>
        <v>0</v>
      </c>
      <c r="F27" s="463">
        <f t="shared" si="6"/>
        <v>0</v>
      </c>
      <c r="G27" s="463">
        <f t="shared" si="7"/>
        <v>657.59576866646569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657.59576866646569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22217.979016962254</v>
      </c>
      <c r="C31" s="473">
        <f t="shared" ca="1" si="18"/>
        <v>48462.214345831126</v>
      </c>
      <c r="D31" s="473">
        <f t="shared" ca="1" si="18"/>
        <v>40671.210020460851</v>
      </c>
      <c r="E31" s="473">
        <f t="shared" si="18"/>
        <v>1136.1858863417519</v>
      </c>
      <c r="F31" s="473">
        <f t="shared" ca="1" si="18"/>
        <v>16284.446850309056</v>
      </c>
      <c r="G31" s="473">
        <f t="shared" si="18"/>
        <v>13528.375987350091</v>
      </c>
      <c r="H31" s="473">
        <f t="shared" si="18"/>
        <v>2488.6760348040052</v>
      </c>
      <c r="I31" s="473">
        <f t="shared" si="18"/>
        <v>0</v>
      </c>
      <c r="J31" s="473">
        <f t="shared" si="18"/>
        <v>854.22329442232672</v>
      </c>
      <c r="K31" s="473">
        <f t="shared" si="18"/>
        <v>0</v>
      </c>
      <c r="L31" s="473">
        <f t="shared" ca="1" si="18"/>
        <v>0</v>
      </c>
      <c r="M31" s="473">
        <f t="shared" si="18"/>
        <v>0</v>
      </c>
      <c r="N31" s="473">
        <f t="shared" ca="1" si="18"/>
        <v>0</v>
      </c>
      <c r="O31" s="473">
        <f t="shared" si="18"/>
        <v>0</v>
      </c>
      <c r="P31" s="474">
        <f t="shared" si="18"/>
        <v>0</v>
      </c>
      <c r="Q31" s="474">
        <f t="shared" ca="1" si="18"/>
        <v>145643.31143648148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0.20445257575427045</v>
      </c>
      <c r="C17" s="513">
        <f ca="1">'EF ele_warmte'!B22</f>
        <v>0.21549659902345403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0.20445257575427045</v>
      </c>
      <c r="C17" s="513">
        <f ca="1">'EF ele_warmte'!B22</f>
        <v>0.21549659902345403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0.20445257575427045</v>
      </c>
      <c r="C29" s="514">
        <f ca="1">'EF ele_warmte'!B22</f>
        <v>0.21549659902345403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12035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7903</v>
      </c>
      <c r="C9" s="338">
        <v>8507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1068</v>
      </c>
    </row>
    <row r="15" spans="1:6">
      <c r="A15" s="1212" t="s">
        <v>184</v>
      </c>
      <c r="B15" s="335">
        <v>5</v>
      </c>
    </row>
    <row r="16" spans="1:6">
      <c r="A16" s="1212" t="s">
        <v>6</v>
      </c>
      <c r="B16" s="335">
        <v>333</v>
      </c>
    </row>
    <row r="17" spans="1:6">
      <c r="A17" s="1212" t="s">
        <v>7</v>
      </c>
      <c r="B17" s="335">
        <v>147</v>
      </c>
    </row>
    <row r="18" spans="1:6">
      <c r="A18" s="1212" t="s">
        <v>8</v>
      </c>
      <c r="B18" s="335">
        <v>313</v>
      </c>
    </row>
    <row r="19" spans="1:6">
      <c r="A19" s="1212" t="s">
        <v>9</v>
      </c>
      <c r="B19" s="335">
        <v>238</v>
      </c>
    </row>
    <row r="20" spans="1:6">
      <c r="A20" s="1212" t="s">
        <v>10</v>
      </c>
      <c r="B20" s="335">
        <v>269</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106</v>
      </c>
    </row>
    <row r="27" spans="1:6">
      <c r="A27" s="1212" t="s">
        <v>17</v>
      </c>
      <c r="B27" s="335">
        <v>0</v>
      </c>
    </row>
    <row r="28" spans="1:6" s="341" customFormat="1">
      <c r="A28" s="1213" t="s">
        <v>18</v>
      </c>
      <c r="B28" s="1213">
        <v>17186</v>
      </c>
    </row>
    <row r="29" spans="1:6">
      <c r="A29" s="1213" t="s">
        <v>836</v>
      </c>
      <c r="B29" s="1213">
        <v>470</v>
      </c>
      <c r="C29" s="341"/>
      <c r="D29" s="341"/>
      <c r="E29" s="341"/>
      <c r="F29" s="341"/>
    </row>
    <row r="30" spans="1:6">
      <c r="A30" s="1208" t="s">
        <v>837</v>
      </c>
      <c r="B30" s="1208">
        <v>72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3</v>
      </c>
      <c r="D38" s="335">
        <v>27768755.142229799</v>
      </c>
      <c r="E38" s="335">
        <v>7</v>
      </c>
      <c r="F38" s="335">
        <v>467453.04023847397</v>
      </c>
    </row>
    <row r="39" spans="1:6">
      <c r="A39" s="1212" t="s">
        <v>30</v>
      </c>
      <c r="B39" s="1212" t="s">
        <v>31</v>
      </c>
      <c r="C39" s="335">
        <v>4883</v>
      </c>
      <c r="D39" s="335">
        <v>98245899.629583806</v>
      </c>
      <c r="E39" s="335">
        <v>7532</v>
      </c>
      <c r="F39" s="335">
        <v>32216979.351613201</v>
      </c>
    </row>
    <row r="40" spans="1:6">
      <c r="A40" s="1212" t="s">
        <v>30</v>
      </c>
      <c r="B40" s="1212" t="s">
        <v>29</v>
      </c>
      <c r="C40" s="335">
        <v>0</v>
      </c>
      <c r="D40" s="335">
        <v>0</v>
      </c>
      <c r="E40" s="335">
        <v>0</v>
      </c>
      <c r="F40" s="335">
        <v>0</v>
      </c>
    </row>
    <row r="41" spans="1:6">
      <c r="A41" s="1212" t="s">
        <v>32</v>
      </c>
      <c r="B41" s="1212" t="s">
        <v>33</v>
      </c>
      <c r="C41" s="335">
        <v>58</v>
      </c>
      <c r="D41" s="335">
        <v>5742599.9639987499</v>
      </c>
      <c r="E41" s="335">
        <v>124</v>
      </c>
      <c r="F41" s="335">
        <v>1144798.1599649701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376198.98564763798</v>
      </c>
      <c r="E44" s="335">
        <v>11</v>
      </c>
      <c r="F44" s="335">
        <v>558227.36916521401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41</v>
      </c>
      <c r="D48" s="335">
        <v>2524981.8130208999</v>
      </c>
      <c r="E48" s="335">
        <v>60</v>
      </c>
      <c r="F48" s="335">
        <v>3054212.2628234401</v>
      </c>
    </row>
    <row r="49" spans="1:6">
      <c r="A49" s="1212" t="s">
        <v>32</v>
      </c>
      <c r="B49" s="1212" t="s">
        <v>40</v>
      </c>
      <c r="C49" s="335">
        <v>0</v>
      </c>
      <c r="D49" s="335">
        <v>0</v>
      </c>
      <c r="E49" s="335">
        <v>0</v>
      </c>
      <c r="F49" s="335">
        <v>0</v>
      </c>
    </row>
    <row r="50" spans="1:6">
      <c r="A50" s="1212" t="s">
        <v>32</v>
      </c>
      <c r="B50" s="1212" t="s">
        <v>41</v>
      </c>
      <c r="C50" s="335">
        <v>5</v>
      </c>
      <c r="D50" s="335">
        <v>335100.10670388897</v>
      </c>
      <c r="E50" s="335">
        <v>14</v>
      </c>
      <c r="F50" s="335">
        <v>756996.15909620805</v>
      </c>
    </row>
    <row r="51" spans="1:6">
      <c r="A51" s="1212" t="s">
        <v>42</v>
      </c>
      <c r="B51" s="1212" t="s">
        <v>43</v>
      </c>
      <c r="C51" s="335">
        <v>53</v>
      </c>
      <c r="D51" s="335">
        <v>484585157.25193697</v>
      </c>
      <c r="E51" s="335">
        <v>173</v>
      </c>
      <c r="F51" s="335">
        <v>6055215.0195682198</v>
      </c>
    </row>
    <row r="52" spans="1:6">
      <c r="A52" s="1212" t="s">
        <v>42</v>
      </c>
      <c r="B52" s="1212" t="s">
        <v>29</v>
      </c>
      <c r="C52" s="335">
        <v>9</v>
      </c>
      <c r="D52" s="335">
        <v>8797922.2317938302</v>
      </c>
      <c r="E52" s="335">
        <v>14</v>
      </c>
      <c r="F52" s="335">
        <v>361767.08243614098</v>
      </c>
    </row>
    <row r="53" spans="1:6">
      <c r="A53" s="1212" t="s">
        <v>44</v>
      </c>
      <c r="B53" s="1212" t="s">
        <v>45</v>
      </c>
      <c r="C53" s="335">
        <v>101</v>
      </c>
      <c r="D53" s="335">
        <v>3483136.20637115</v>
      </c>
      <c r="E53" s="335">
        <v>201</v>
      </c>
      <c r="F53" s="335">
        <v>1002036.98115444</v>
      </c>
    </row>
    <row r="54" spans="1:6">
      <c r="A54" s="1212" t="s">
        <v>46</v>
      </c>
      <c r="B54" s="1212" t="s">
        <v>47</v>
      </c>
      <c r="C54" s="335">
        <v>0</v>
      </c>
      <c r="D54" s="335">
        <v>0</v>
      </c>
      <c r="E54" s="335">
        <v>1</v>
      </c>
      <c r="F54" s="335">
        <v>1636816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31</v>
      </c>
      <c r="D57" s="335">
        <v>2083901.3853989199</v>
      </c>
      <c r="E57" s="335">
        <v>60</v>
      </c>
      <c r="F57" s="335">
        <v>851668.93274632003</v>
      </c>
    </row>
    <row r="58" spans="1:6">
      <c r="A58" s="1212" t="s">
        <v>49</v>
      </c>
      <c r="B58" s="1212" t="s">
        <v>51</v>
      </c>
      <c r="C58" s="335">
        <v>30</v>
      </c>
      <c r="D58" s="335">
        <v>8000869.0865233801</v>
      </c>
      <c r="E58" s="335">
        <v>40</v>
      </c>
      <c r="F58" s="335">
        <v>1689965.8038017501</v>
      </c>
    </row>
    <row r="59" spans="1:6">
      <c r="A59" s="1212" t="s">
        <v>49</v>
      </c>
      <c r="B59" s="1212" t="s">
        <v>52</v>
      </c>
      <c r="C59" s="335">
        <v>81</v>
      </c>
      <c r="D59" s="335">
        <v>5740246.6474639298</v>
      </c>
      <c r="E59" s="335">
        <v>167</v>
      </c>
      <c r="F59" s="335">
        <v>29637073.501837399</v>
      </c>
    </row>
    <row r="60" spans="1:6">
      <c r="A60" s="1212" t="s">
        <v>49</v>
      </c>
      <c r="B60" s="1212" t="s">
        <v>53</v>
      </c>
      <c r="C60" s="335">
        <v>67</v>
      </c>
      <c r="D60" s="335">
        <v>5472309.63499129</v>
      </c>
      <c r="E60" s="335">
        <v>122</v>
      </c>
      <c r="F60" s="335">
        <v>2867200.21734139</v>
      </c>
    </row>
    <row r="61" spans="1:6">
      <c r="A61" s="1212" t="s">
        <v>49</v>
      </c>
      <c r="B61" s="1212" t="s">
        <v>54</v>
      </c>
      <c r="C61" s="335">
        <v>114</v>
      </c>
      <c r="D61" s="335">
        <v>6119097.5268419897</v>
      </c>
      <c r="E61" s="335">
        <v>250</v>
      </c>
      <c r="F61" s="335">
        <v>3414255.7766189999</v>
      </c>
    </row>
    <row r="62" spans="1:6">
      <c r="A62" s="1212" t="s">
        <v>49</v>
      </c>
      <c r="B62" s="1212" t="s">
        <v>55</v>
      </c>
      <c r="C62" s="335">
        <v>6</v>
      </c>
      <c r="D62" s="335">
        <v>2492620.6203166498</v>
      </c>
      <c r="E62" s="335">
        <v>14</v>
      </c>
      <c r="F62" s="335">
        <v>776081.78107696096</v>
      </c>
    </row>
    <row r="63" spans="1:6">
      <c r="A63" s="1212" t="s">
        <v>49</v>
      </c>
      <c r="B63" s="1212" t="s">
        <v>29</v>
      </c>
      <c r="C63" s="335">
        <v>146</v>
      </c>
      <c r="D63" s="335">
        <v>30159250.680264201</v>
      </c>
      <c r="E63" s="335">
        <v>180</v>
      </c>
      <c r="F63" s="335">
        <v>14241211.575369099</v>
      </c>
    </row>
    <row r="64" spans="1:6">
      <c r="A64" s="1212" t="s">
        <v>56</v>
      </c>
      <c r="B64" s="1212" t="s">
        <v>57</v>
      </c>
      <c r="C64" s="335">
        <v>0</v>
      </c>
      <c r="D64" s="335">
        <v>0</v>
      </c>
      <c r="E64" s="335">
        <v>0</v>
      </c>
      <c r="F64" s="335">
        <v>0</v>
      </c>
    </row>
    <row r="65" spans="1:6">
      <c r="A65" s="1212" t="s">
        <v>56</v>
      </c>
      <c r="B65" s="1212" t="s">
        <v>29</v>
      </c>
      <c r="C65" s="335">
        <v>3</v>
      </c>
      <c r="D65" s="335">
        <v>176848.677106271</v>
      </c>
      <c r="E65" s="335">
        <v>5</v>
      </c>
      <c r="F65" s="335">
        <v>69909.425517119307</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5</v>
      </c>
      <c r="D68" s="335">
        <v>282798.70497858699</v>
      </c>
      <c r="E68" s="335">
        <v>12</v>
      </c>
      <c r="F68" s="335">
        <v>811575.16796182701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60168707</v>
      </c>
      <c r="E73" s="335">
        <v>71680464.487665668</v>
      </c>
    </row>
    <row r="74" spans="1:6">
      <c r="A74" s="1212" t="s">
        <v>64</v>
      </c>
      <c r="B74" s="1212" t="s">
        <v>727</v>
      </c>
      <c r="C74" s="1212" t="s">
        <v>728</v>
      </c>
      <c r="D74" s="335">
        <v>4213719.4192454387</v>
      </c>
      <c r="E74" s="335">
        <v>5539265.7813266115</v>
      </c>
    </row>
    <row r="75" spans="1:6">
      <c r="A75" s="1212" t="s">
        <v>65</v>
      </c>
      <c r="B75" s="1212" t="s">
        <v>725</v>
      </c>
      <c r="C75" s="1212" t="s">
        <v>729</v>
      </c>
      <c r="D75" s="335">
        <v>14547538</v>
      </c>
      <c r="E75" s="335">
        <v>16905058.577839609</v>
      </c>
    </row>
    <row r="76" spans="1:6">
      <c r="A76" s="1212" t="s">
        <v>65</v>
      </c>
      <c r="B76" s="1212" t="s">
        <v>727</v>
      </c>
      <c r="C76" s="1212" t="s">
        <v>730</v>
      </c>
      <c r="D76" s="335">
        <v>318452.41924543894</v>
      </c>
      <c r="E76" s="335">
        <v>492064.90704583691</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679607.16150912212</v>
      </c>
      <c r="C83" s="335">
        <v>671407.63101007068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4004.0264469153453</v>
      </c>
    </row>
    <row r="92" spans="1:6">
      <c r="A92" s="1208" t="s">
        <v>69</v>
      </c>
      <c r="B92" s="338">
        <v>4764.3151918889662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3367</v>
      </c>
    </row>
    <row r="98" spans="1:6">
      <c r="A98" s="1212" t="s">
        <v>72</v>
      </c>
      <c r="B98" s="335">
        <v>10</v>
      </c>
    </row>
    <row r="99" spans="1:6">
      <c r="A99" s="1212" t="s">
        <v>73</v>
      </c>
      <c r="B99" s="335">
        <v>75</v>
      </c>
    </row>
    <row r="100" spans="1:6">
      <c r="A100" s="1212" t="s">
        <v>74</v>
      </c>
      <c r="B100" s="335">
        <v>535</v>
      </c>
    </row>
    <row r="101" spans="1:6">
      <c r="A101" s="1212" t="s">
        <v>75</v>
      </c>
      <c r="B101" s="335">
        <v>63</v>
      </c>
    </row>
    <row r="102" spans="1:6">
      <c r="A102" s="1212" t="s">
        <v>76</v>
      </c>
      <c r="B102" s="335">
        <v>94</v>
      </c>
    </row>
    <row r="103" spans="1:6">
      <c r="A103" s="1212" t="s">
        <v>77</v>
      </c>
      <c r="B103" s="335">
        <v>187</v>
      </c>
    </row>
    <row r="104" spans="1:6">
      <c r="A104" s="1212" t="s">
        <v>78</v>
      </c>
      <c r="B104" s="335">
        <v>2851</v>
      </c>
    </row>
    <row r="105" spans="1:6">
      <c r="A105" s="1208" t="s">
        <v>79</v>
      </c>
      <c r="B105" s="1208">
        <v>8</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24</v>
      </c>
      <c r="C123" s="335">
        <v>24</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145</v>
      </c>
    </row>
    <row r="130" spans="1:6">
      <c r="A130" s="1212" t="s">
        <v>295</v>
      </c>
      <c r="B130" s="335">
        <v>3</v>
      </c>
    </row>
    <row r="131" spans="1:6">
      <c r="A131" s="1212" t="s">
        <v>296</v>
      </c>
      <c r="B131" s="335">
        <v>1</v>
      </c>
    </row>
    <row r="132" spans="1:6">
      <c r="A132" s="1208" t="s">
        <v>297</v>
      </c>
      <c r="B132" s="338">
        <v>18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108670.57524218147</v>
      </c>
      <c r="C3" s="43" t="s">
        <v>170</v>
      </c>
      <c r="D3" s="43"/>
      <c r="E3" s="156"/>
      <c r="F3" s="43"/>
      <c r="G3" s="43"/>
      <c r="H3" s="43"/>
      <c r="I3" s="43"/>
      <c r="J3" s="43"/>
      <c r="K3" s="96"/>
    </row>
    <row r="4" spans="1:11">
      <c r="A4" s="366" t="s">
        <v>171</v>
      </c>
      <c r="B4" s="49">
        <f>IF(ISERROR('SEAP template'!B69),0,'SEAP template'!B69)</f>
        <v>171092.3416388043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34980.269939883154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0.20445257575427045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48462.214345831126</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224886.21428571426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0.21549659902345403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1636.816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1636.816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0.20445257575427045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334.65124723580192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32216.979351613201</v>
      </c>
      <c r="C5" s="17">
        <f>IF(ISERROR('Eigen informatie GS &amp; warmtenet'!B57),0,'Eigen informatie GS &amp; warmtenet'!B57)</f>
        <v>0</v>
      </c>
      <c r="D5" s="30">
        <f>(SUM(HH_hh_gas_kWh,HH_rest_gas_kWh)/1000)*0.902</f>
        <v>88617.801465884593</v>
      </c>
      <c r="E5" s="17">
        <f>B46*B57</f>
        <v>3381.0953762819645</v>
      </c>
      <c r="F5" s="17">
        <f>B51*B62</f>
        <v>37591.474785573642</v>
      </c>
      <c r="G5" s="18"/>
      <c r="H5" s="17"/>
      <c r="I5" s="17"/>
      <c r="J5" s="17">
        <f>B50*B61+C50*C61</f>
        <v>1440.1808390341521</v>
      </c>
      <c r="K5" s="17"/>
      <c r="L5" s="17"/>
      <c r="M5" s="17"/>
      <c r="N5" s="17">
        <f>B48*B59+C48*C59</f>
        <v>10647.404045969995</v>
      </c>
      <c r="O5" s="17">
        <f>B69*B70*B71</f>
        <v>264.20333333333338</v>
      </c>
      <c r="P5" s="17">
        <f>B77*B78*B79/1000-B77*B78*B79/1000/B80</f>
        <v>800.8</v>
      </c>
    </row>
    <row r="6" spans="1:16">
      <c r="A6" s="16" t="s">
        <v>634</v>
      </c>
      <c r="B6" s="831">
        <f>kWh_PV_kleiner_dan_10kW</f>
        <v>4004.0264469153453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36221.005798528546</v>
      </c>
      <c r="C8" s="21">
        <f>C5</f>
        <v>0</v>
      </c>
      <c r="D8" s="21">
        <f>D5</f>
        <v>88617.801465884593</v>
      </c>
      <c r="E8" s="21">
        <f>E5</f>
        <v>3381.0953762819645</v>
      </c>
      <c r="F8" s="21">
        <f>F5</f>
        <v>37591.474785573642</v>
      </c>
      <c r="G8" s="21"/>
      <c r="H8" s="21"/>
      <c r="I8" s="21"/>
      <c r="J8" s="21">
        <f>J5</f>
        <v>1440.1808390341521</v>
      </c>
      <c r="K8" s="21"/>
      <c r="L8" s="21">
        <f>L5</f>
        <v>0</v>
      </c>
      <c r="M8" s="21">
        <f>M5</f>
        <v>0</v>
      </c>
      <c r="N8" s="21">
        <f>N5</f>
        <v>10647.404045969995</v>
      </c>
      <c r="O8" s="21">
        <f>O5</f>
        <v>264.20333333333338</v>
      </c>
      <c r="P8" s="21">
        <f>P5</f>
        <v>800.8</v>
      </c>
    </row>
    <row r="9" spans="1:16">
      <c r="B9" s="19"/>
      <c r="C9" s="19"/>
      <c r="D9" s="261"/>
      <c r="E9" s="19"/>
      <c r="F9" s="19"/>
      <c r="G9" s="19"/>
      <c r="H9" s="19"/>
      <c r="I9" s="19"/>
      <c r="J9" s="19"/>
      <c r="K9" s="19"/>
      <c r="L9" s="19"/>
      <c r="M9" s="19"/>
      <c r="N9" s="19"/>
      <c r="O9" s="19"/>
      <c r="P9" s="19"/>
    </row>
    <row r="10" spans="1:16">
      <c r="A10" s="24" t="s">
        <v>214</v>
      </c>
      <c r="B10" s="25">
        <f ca="1">'EF ele_warmte'!B12</f>
        <v>0.20445257575427045</v>
      </c>
      <c r="C10" s="25">
        <f ca="1">'EF ele_warmte'!B22</f>
        <v>0.21549659902345403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7405.4779319195268</v>
      </c>
      <c r="C12" s="23">
        <f ca="1">C10*C8</f>
        <v>0</v>
      </c>
      <c r="D12" s="23">
        <f>D8*D10</f>
        <v>17900.795896108688</v>
      </c>
      <c r="E12" s="23">
        <f>E10*E8</f>
        <v>767.50865041600593</v>
      </c>
      <c r="F12" s="23">
        <f>F10*F8</f>
        <v>10036.923767748163</v>
      </c>
      <c r="G12" s="23"/>
      <c r="H12" s="23"/>
      <c r="I12" s="23"/>
      <c r="J12" s="23">
        <f>J10*J8</f>
        <v>509.82401701808982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3367</v>
      </c>
      <c r="C18" s="168" t="s">
        <v>111</v>
      </c>
      <c r="D18" s="230"/>
      <c r="E18" s="15"/>
    </row>
    <row r="19" spans="1:7">
      <c r="A19" s="173" t="s">
        <v>72</v>
      </c>
      <c r="B19" s="37">
        <f>aantalw2001_ander</f>
        <v>10</v>
      </c>
      <c r="C19" s="168" t="s">
        <v>111</v>
      </c>
      <c r="D19" s="231"/>
      <c r="E19" s="15"/>
    </row>
    <row r="20" spans="1:7">
      <c r="A20" s="173" t="s">
        <v>73</v>
      </c>
      <c r="B20" s="37">
        <f>aantalw2001_propaan</f>
        <v>75</v>
      </c>
      <c r="C20" s="169">
        <f>IF(ISERROR(B20/SUM($B$20,$B$21,$B$22)*100),0,B20/SUM($B$20,$B$21,$B$22)*100)</f>
        <v>11.144130757800893</v>
      </c>
      <c r="D20" s="231"/>
      <c r="E20" s="15"/>
    </row>
    <row r="21" spans="1:7">
      <c r="A21" s="173" t="s">
        <v>74</v>
      </c>
      <c r="B21" s="37">
        <f>aantalw2001_elektriciteit</f>
        <v>535</v>
      </c>
      <c r="C21" s="169">
        <f>IF(ISERROR(B21/SUM($B$20,$B$21,$B$22)*100),0,B21/SUM($B$20,$B$21,$B$22)*100)</f>
        <v>79.494799405646361</v>
      </c>
      <c r="D21" s="231"/>
      <c r="E21" s="15"/>
    </row>
    <row r="22" spans="1:7">
      <c r="A22" s="173" t="s">
        <v>75</v>
      </c>
      <c r="B22" s="37">
        <f>aantalw2001_hout</f>
        <v>63</v>
      </c>
      <c r="C22" s="169">
        <f>IF(ISERROR(B22/SUM($B$20,$B$21,$B$22)*100),0,B22/SUM($B$20,$B$21,$B$22)*100)</f>
        <v>9.3610698365527494</v>
      </c>
      <c r="D22" s="231"/>
      <c r="E22" s="15"/>
    </row>
    <row r="23" spans="1:7">
      <c r="A23" s="173" t="s">
        <v>76</v>
      </c>
      <c r="B23" s="37">
        <f>aantalw2001_niet_gespec</f>
        <v>94</v>
      </c>
      <c r="C23" s="168" t="s">
        <v>111</v>
      </c>
      <c r="D23" s="230"/>
      <c r="E23" s="15"/>
    </row>
    <row r="24" spans="1:7">
      <c r="A24" s="173" t="s">
        <v>77</v>
      </c>
      <c r="B24" s="37">
        <f>aantalw2001_steenkool</f>
        <v>187</v>
      </c>
      <c r="C24" s="168" t="s">
        <v>111</v>
      </c>
      <c r="D24" s="231"/>
      <c r="E24" s="15"/>
    </row>
    <row r="25" spans="1:7">
      <c r="A25" s="173" t="s">
        <v>78</v>
      </c>
      <c r="B25" s="37">
        <f>aantalw2001_stookolie</f>
        <v>2851</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7903</v>
      </c>
      <c r="C28" s="36"/>
      <c r="D28" s="230"/>
    </row>
    <row r="29" spans="1:7" s="15" customFormat="1">
      <c r="A29" s="232" t="s">
        <v>746</v>
      </c>
      <c r="B29" s="37">
        <f>SUM(HH_hh_gas_aantal,HH_rest_gas_aantal)</f>
        <v>4883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4883</v>
      </c>
      <c r="C32" s="169">
        <f>IF(ISERROR(B32/SUM($B$32,$B$34,$B$35,$B$36,$B$38,$B$39)*100),0,B32/SUM($B$32,$B$34,$B$35,$B$36,$B$38,$B$39)*100)</f>
        <v>62.116779035746085</v>
      </c>
      <c r="D32" s="235"/>
      <c r="G32" s="15"/>
    </row>
    <row r="33" spans="1:7">
      <c r="A33" s="173" t="s">
        <v>72</v>
      </c>
      <c r="B33" s="34" t="s">
        <v>111</v>
      </c>
      <c r="C33" s="169"/>
      <c r="D33" s="235"/>
      <c r="G33" s="15"/>
    </row>
    <row r="34" spans="1:7">
      <c r="A34" s="173" t="s">
        <v>73</v>
      </c>
      <c r="B34" s="33">
        <f>IF((($B$28-$B$32-$B$39-$B$77-$B$38)*C20/100)&lt;0,0,($B$28-$B$32-$B$39-$B$77-$B$38)*C20/100)</f>
        <v>162.258543833581</v>
      </c>
      <c r="C34" s="169">
        <f>IF(ISERROR(B34/SUM($B$32,$B$34,$B$35,$B$36,$B$38,$B$39)*100),0,B34/SUM($B$32,$B$34,$B$35,$B$36,$B$38,$B$39)*100)</f>
        <v>2.0640954564760334</v>
      </c>
      <c r="D34" s="235"/>
      <c r="G34" s="15"/>
    </row>
    <row r="35" spans="1:7">
      <c r="A35" s="173" t="s">
        <v>74</v>
      </c>
      <c r="B35" s="33">
        <f>IF((($B$28-$B$32-$B$39-$B$77-$B$38)*C21/100)&lt;0,0,($B$28-$B$32-$B$39-$B$77-$B$38)*C21/100)</f>
        <v>1157.444279346211</v>
      </c>
      <c r="C35" s="169">
        <f>IF(ISERROR(B35/SUM($B$32,$B$34,$B$35,$B$36,$B$38,$B$39)*100),0,B35/SUM($B$32,$B$34,$B$35,$B$36,$B$38,$B$39)*100)</f>
        <v>14.723880922862373</v>
      </c>
      <c r="D35" s="235"/>
      <c r="G35" s="15"/>
    </row>
    <row r="36" spans="1:7">
      <c r="A36" s="173" t="s">
        <v>75</v>
      </c>
      <c r="B36" s="33">
        <f>IF((($B$28-$B$32-$B$39-$B$77-$B$38)*C22/100)&lt;0,0,($B$28-$B$32-$B$39-$B$77-$B$38)*C22/100)</f>
        <v>136.29717682020802</v>
      </c>
      <c r="C36" s="169">
        <f>IF(ISERROR(B36/SUM($B$32,$B$34,$B$35,$B$36,$B$38,$B$39)*100),0,B36/SUM($B$32,$B$34,$B$35,$B$36,$B$38,$B$39)*100)</f>
        <v>1.7338401834398678</v>
      </c>
      <c r="D36" s="235"/>
      <c r="G36" s="15"/>
    </row>
    <row r="37" spans="1:7">
      <c r="A37" s="173" t="s">
        <v>76</v>
      </c>
      <c r="B37" s="34" t="s">
        <v>111</v>
      </c>
      <c r="C37" s="169"/>
      <c r="D37" s="175"/>
      <c r="G37" s="15"/>
    </row>
    <row r="38" spans="1:7">
      <c r="A38" s="173" t="s">
        <v>77</v>
      </c>
      <c r="B38" s="33">
        <f>IF((B24-(B29-B18)*0.1)&lt;0,0,B24-(B29-B18)*0.1)</f>
        <v>35.400000000000006</v>
      </c>
      <c r="C38" s="169">
        <f>IF(ISERROR(B38/SUM($B$32,$B$34,$B$35,$B$36,$B$38,$B$39)*100),0,B38/SUM($B$32,$B$34,$B$35,$B$36,$B$38,$B$39)*100)</f>
        <v>0.45032438621040588</v>
      </c>
      <c r="D38" s="236"/>
      <c r="G38" s="15"/>
    </row>
    <row r="39" spans="1:7">
      <c r="A39" s="173" t="s">
        <v>78</v>
      </c>
      <c r="B39" s="33">
        <f>IF((B25-(B29-B18))&lt;0,0,B25-(B29-B18)*0.9)</f>
        <v>1486.6</v>
      </c>
      <c r="C39" s="169">
        <f>IF(ISERROR(B39/SUM($B$32,$B$34,$B$35,$B$36,$B$38,$B$39)*100),0,B39/SUM($B$32,$B$34,$B$35,$B$36,$B$38,$B$39)*100)</f>
        <v>18.911080015265235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4883</v>
      </c>
      <c r="C44" s="34" t="s">
        <v>111</v>
      </c>
      <c r="D44" s="176"/>
    </row>
    <row r="45" spans="1:7">
      <c r="A45" s="173" t="s">
        <v>72</v>
      </c>
      <c r="B45" s="33" t="str">
        <f t="shared" si="0"/>
        <v>-</v>
      </c>
      <c r="C45" s="34" t="s">
        <v>111</v>
      </c>
      <c r="D45" s="176"/>
    </row>
    <row r="46" spans="1:7">
      <c r="A46" s="173" t="s">
        <v>73</v>
      </c>
      <c r="B46" s="33">
        <f t="shared" si="0"/>
        <v>162.258543833581</v>
      </c>
      <c r="C46" s="34" t="s">
        <v>111</v>
      </c>
      <c r="D46" s="176"/>
    </row>
    <row r="47" spans="1:7">
      <c r="A47" s="173" t="s">
        <v>74</v>
      </c>
      <c r="B47" s="33">
        <f t="shared" si="0"/>
        <v>1157.444279346211</v>
      </c>
      <c r="C47" s="34" t="s">
        <v>111</v>
      </c>
      <c r="D47" s="176"/>
    </row>
    <row r="48" spans="1:7">
      <c r="A48" s="173" t="s">
        <v>75</v>
      </c>
      <c r="B48" s="33">
        <f t="shared" si="0"/>
        <v>136.29717682020802</v>
      </c>
      <c r="C48" s="33">
        <f>B48*10</f>
        <v>1362.9717682020803</v>
      </c>
      <c r="D48" s="236"/>
    </row>
    <row r="49" spans="1:6">
      <c r="A49" s="173" t="s">
        <v>76</v>
      </c>
      <c r="B49" s="33" t="str">
        <f t="shared" si="0"/>
        <v>-</v>
      </c>
      <c r="C49" s="34" t="s">
        <v>111</v>
      </c>
      <c r="D49" s="236"/>
    </row>
    <row r="50" spans="1:6">
      <c r="A50" s="173" t="s">
        <v>77</v>
      </c>
      <c r="B50" s="33">
        <f t="shared" si="0"/>
        <v>35.400000000000006</v>
      </c>
      <c r="C50" s="33">
        <f>B50*2</f>
        <v>70.800000000000011</v>
      </c>
      <c r="D50" s="236"/>
    </row>
    <row r="51" spans="1:6">
      <c r="A51" s="173" t="s">
        <v>78</v>
      </c>
      <c r="B51" s="33">
        <f t="shared" si="0"/>
        <v>1486.6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53477.45758879192</v>
      </c>
      <c r="C5" s="17">
        <f>IF(ISERROR('Eigen informatie GS &amp; warmtenet'!B58),0,'Eigen informatie GS &amp; warmtenet'!B58)</f>
        <v>0</v>
      </c>
      <c r="D5" s="30">
        <f>SUM(D6:D12)</f>
        <v>54181.602614783929</v>
      </c>
      <c r="E5" s="17">
        <f>SUM(E6:E12)</f>
        <v>781.12679083479077</v>
      </c>
      <c r="F5" s="17">
        <f>SUM(F6:F12)</f>
        <v>10116.302729390532</v>
      </c>
      <c r="G5" s="18"/>
      <c r="H5" s="17"/>
      <c r="I5" s="17"/>
      <c r="J5" s="17">
        <f>SUM(J6:J12)</f>
        <v>0</v>
      </c>
      <c r="K5" s="17"/>
      <c r="L5" s="17"/>
      <c r="M5" s="17"/>
      <c r="N5" s="17">
        <f>SUM(N6:N12)</f>
        <v>1832.1550718148308</v>
      </c>
      <c r="O5" s="17">
        <f>B38*B39*B40</f>
        <v>4.6900000000000004</v>
      </c>
      <c r="P5" s="17">
        <f>B46*B47*B48/1000-B46*B47*B48/1000/B49</f>
        <v>19.066666666666666</v>
      </c>
      <c r="R5" s="32"/>
    </row>
    <row r="6" spans="1:18">
      <c r="A6" s="32" t="s">
        <v>54</v>
      </c>
      <c r="B6" s="37">
        <f>B26</f>
        <v>3414.2557766189998</v>
      </c>
      <c r="C6" s="33"/>
      <c r="D6" s="37">
        <f>IF(ISERROR(TER_kantoor_gas_kWh/1000),0,TER_kantoor_gas_kWh/1000)*0.902</f>
        <v>5519.4259692114747</v>
      </c>
      <c r="E6" s="33">
        <f>$C$26*'E Balans VL '!I12/100/3.6*1000000</f>
        <v>13.265106532228886</v>
      </c>
      <c r="F6" s="33">
        <f>$C$26*('E Balans VL '!L12+'E Balans VL '!N12)/100/3.6*1000000</f>
        <v>519.27723637307872</v>
      </c>
      <c r="G6" s="34"/>
      <c r="H6" s="33"/>
      <c r="I6" s="33"/>
      <c r="J6" s="33">
        <f>$C$26*('E Balans VL '!D12+'E Balans VL '!E12)/100/3.6*1000000</f>
        <v>0</v>
      </c>
      <c r="K6" s="33"/>
      <c r="L6" s="33"/>
      <c r="M6" s="33"/>
      <c r="N6" s="33">
        <f>$C$26*'E Balans VL '!Y12/100/3.6*1000000</f>
        <v>1.8816639506862507</v>
      </c>
      <c r="O6" s="33"/>
      <c r="P6" s="33"/>
      <c r="R6" s="32"/>
    </row>
    <row r="7" spans="1:18">
      <c r="A7" s="32" t="s">
        <v>53</v>
      </c>
      <c r="B7" s="37">
        <f t="shared" ref="B7:B12" si="0">B27</f>
        <v>2867.2002173413898</v>
      </c>
      <c r="C7" s="33"/>
      <c r="D7" s="37">
        <f>IF(ISERROR(TER_horeca_gas_kWh/1000),0,TER_horeca_gas_kWh/1000)*0.902</f>
        <v>4936.0232907621439</v>
      </c>
      <c r="E7" s="33">
        <f>$C$27*'E Balans VL '!I9/100/3.6*1000000</f>
        <v>161.51015480517262</v>
      </c>
      <c r="F7" s="33">
        <f>$C$27*('E Balans VL '!L9+'E Balans VL '!N9)/100/3.6*1000000</f>
        <v>826.72888690842501</v>
      </c>
      <c r="G7" s="34"/>
      <c r="H7" s="33"/>
      <c r="I7" s="33"/>
      <c r="J7" s="33">
        <f>$C$27*('E Balans VL '!D9+'E Balans VL '!E9)/100/3.6*1000000</f>
        <v>0</v>
      </c>
      <c r="K7" s="33"/>
      <c r="L7" s="33"/>
      <c r="M7" s="33"/>
      <c r="N7" s="33">
        <f>$C$27*'E Balans VL '!Y9/100/3.6*1000000</f>
        <v>0.79161908063379205</v>
      </c>
      <c r="O7" s="33"/>
      <c r="P7" s="33"/>
      <c r="R7" s="32"/>
    </row>
    <row r="8" spans="1:18">
      <c r="A8" s="6" t="s">
        <v>52</v>
      </c>
      <c r="B8" s="37">
        <f t="shared" si="0"/>
        <v>29637.0735018374</v>
      </c>
      <c r="C8" s="33"/>
      <c r="D8" s="37">
        <f>IF(ISERROR(TER_handel_gas_kWh/1000),0,TER_handel_gas_kWh/1000)*0.902</f>
        <v>5177.702476012465</v>
      </c>
      <c r="E8" s="33">
        <f>$C$28*'E Balans VL '!I13/100/3.6*1000000</f>
        <v>427.17077774972984</v>
      </c>
      <c r="F8" s="33">
        <f>$C$28*('E Balans VL '!L13+'E Balans VL '!N13)/100/3.6*1000000</f>
        <v>5148.6498681370513</v>
      </c>
      <c r="G8" s="34"/>
      <c r="H8" s="33"/>
      <c r="I8" s="33"/>
      <c r="J8" s="33">
        <f>$C$28*('E Balans VL '!D13+'E Balans VL '!E13)/100/3.6*1000000</f>
        <v>0</v>
      </c>
      <c r="K8" s="33"/>
      <c r="L8" s="33"/>
      <c r="M8" s="33"/>
      <c r="N8" s="33">
        <f>$C$28*'E Balans VL '!Y13/100/3.6*1000000</f>
        <v>88.795971478492476</v>
      </c>
      <c r="O8" s="33"/>
      <c r="P8" s="33"/>
      <c r="R8" s="32"/>
    </row>
    <row r="9" spans="1:18">
      <c r="A9" s="32" t="s">
        <v>51</v>
      </c>
      <c r="B9" s="37">
        <f t="shared" si="0"/>
        <v>1689.9658038017501</v>
      </c>
      <c r="C9" s="33"/>
      <c r="D9" s="37">
        <f>IF(ISERROR(TER_gezond_gas_kWh/1000),0,TER_gezond_gas_kWh/1000)*0.902</f>
        <v>7216.783916044089</v>
      </c>
      <c r="E9" s="33">
        <f>$C$29*'E Balans VL '!I10/100/3.6*1000000</f>
        <v>1.8053215015107278</v>
      </c>
      <c r="F9" s="33">
        <f>$C$29*('E Balans VL '!L10+'E Balans VL '!N10)/100/3.6*1000000</f>
        <v>275.68478258813877</v>
      </c>
      <c r="G9" s="34"/>
      <c r="H9" s="33"/>
      <c r="I9" s="33"/>
      <c r="J9" s="33">
        <f>$C$29*('E Balans VL '!D10+'E Balans VL '!E10)/100/3.6*1000000</f>
        <v>0</v>
      </c>
      <c r="K9" s="33"/>
      <c r="L9" s="33"/>
      <c r="M9" s="33"/>
      <c r="N9" s="33">
        <f>$C$29*'E Balans VL '!Y10/100/3.6*1000000</f>
        <v>17.397233674888955</v>
      </c>
      <c r="O9" s="33"/>
      <c r="P9" s="33"/>
      <c r="R9" s="32"/>
    </row>
    <row r="10" spans="1:18">
      <c r="A10" s="32" t="s">
        <v>50</v>
      </c>
      <c r="B10" s="37">
        <f t="shared" si="0"/>
        <v>851.66893274632002</v>
      </c>
      <c r="C10" s="33"/>
      <c r="D10" s="37">
        <f>IF(ISERROR(TER_ander_gas_kWh/1000),0,TER_ander_gas_kWh/1000)*0.902</f>
        <v>1879.6790496298258</v>
      </c>
      <c r="E10" s="33">
        <f>$C$30*'E Balans VL '!I14/100/3.6*1000000</f>
        <v>3.916695873238802</v>
      </c>
      <c r="F10" s="33">
        <f>$C$30*('E Balans VL '!L14+'E Balans VL '!N14)/100/3.6*1000000</f>
        <v>255.27204319670628</v>
      </c>
      <c r="G10" s="34"/>
      <c r="H10" s="33"/>
      <c r="I10" s="33"/>
      <c r="J10" s="33">
        <f>$C$30*('E Balans VL '!D14+'E Balans VL '!E14)/100/3.6*1000000</f>
        <v>0</v>
      </c>
      <c r="K10" s="33"/>
      <c r="L10" s="33"/>
      <c r="M10" s="33"/>
      <c r="N10" s="33">
        <f>$C$30*'E Balans VL '!Y14/100/3.6*1000000</f>
        <v>592.81779651235502</v>
      </c>
      <c r="O10" s="33"/>
      <c r="P10" s="33"/>
      <c r="R10" s="32"/>
    </row>
    <row r="11" spans="1:18">
      <c r="A11" s="32" t="s">
        <v>55</v>
      </c>
      <c r="B11" s="37">
        <f t="shared" si="0"/>
        <v>776.08178107696097</v>
      </c>
      <c r="C11" s="33"/>
      <c r="D11" s="37">
        <f>IF(ISERROR(TER_onderwijs_gas_kWh/1000),0,TER_onderwijs_gas_kWh/1000)*0.902</f>
        <v>2248.3437995256181</v>
      </c>
      <c r="E11" s="33">
        <f>$C$31*'E Balans VL '!I11/100/3.6*1000000</f>
        <v>0.71991791351571222</v>
      </c>
      <c r="F11" s="33">
        <f>$C$31*('E Balans VL '!L11+'E Balans VL '!N11)/100/3.6*1000000</f>
        <v>272.61969273500796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14241.2115753691</v>
      </c>
      <c r="C12" s="33"/>
      <c r="D12" s="37">
        <f>IF(ISERROR(TER_rest_gas_kWh/1000),0,TER_rest_gas_kWh/1000)*0.902</f>
        <v>27203.644113598311</v>
      </c>
      <c r="E12" s="33">
        <f>$C$32*'E Balans VL '!I8/100/3.6*1000000</f>
        <v>172.73881645939412</v>
      </c>
      <c r="F12" s="33">
        <f>$C$32*('E Balans VL '!L8+'E Balans VL '!N8)/100/3.6*1000000</f>
        <v>2818.070219452125</v>
      </c>
      <c r="G12" s="34"/>
      <c r="H12" s="33"/>
      <c r="I12" s="33"/>
      <c r="J12" s="33">
        <f>$C$32*('E Balans VL '!D8+'E Balans VL '!E8)/100/3.6*1000000</f>
        <v>0</v>
      </c>
      <c r="K12" s="33"/>
      <c r="L12" s="33"/>
      <c r="M12" s="33"/>
      <c r="N12" s="33">
        <f>$C$32*'E Balans VL '!Y8/100/3.6*1000000</f>
        <v>1130.4707871177743</v>
      </c>
      <c r="O12" s="33"/>
      <c r="P12" s="33"/>
      <c r="R12" s="32"/>
    </row>
    <row r="13" spans="1:18">
      <c r="A13" s="16" t="s">
        <v>497</v>
      </c>
      <c r="B13" s="249">
        <f ca="1">'lokale energieproductie'!N90+'lokale energieproductie'!N59</f>
        <v>5400</v>
      </c>
      <c r="C13" s="249">
        <f ca="1">'lokale energieproductie'!O90+'lokale energieproductie'!O59</f>
        <v>7714.2857142857147</v>
      </c>
      <c r="D13" s="312">
        <f ca="1">('lokale energieproductie'!P59+'lokale energieproductie'!P90)*(-1)</f>
        <v>-15428.571428571429</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58877.45758879192</v>
      </c>
      <c r="C16" s="21">
        <f t="shared" ca="1" si="1"/>
        <v>7714.2857142857147</v>
      </c>
      <c r="D16" s="21">
        <f t="shared" ca="1" si="1"/>
        <v>38753.031186212502</v>
      </c>
      <c r="E16" s="21">
        <f t="shared" si="1"/>
        <v>781.12679083479077</v>
      </c>
      <c r="F16" s="21">
        <f t="shared" ca="1" si="1"/>
        <v>10116.302729390532</v>
      </c>
      <c r="G16" s="21">
        <f t="shared" si="1"/>
        <v>0</v>
      </c>
      <c r="H16" s="21">
        <f t="shared" si="1"/>
        <v>0</v>
      </c>
      <c r="I16" s="21">
        <f t="shared" si="1"/>
        <v>0</v>
      </c>
      <c r="J16" s="21">
        <f t="shared" si="1"/>
        <v>0</v>
      </c>
      <c r="K16" s="21">
        <f t="shared" si="1"/>
        <v>0</v>
      </c>
      <c r="L16" s="21">
        <f t="shared" ca="1" si="1"/>
        <v>0</v>
      </c>
      <c r="M16" s="21">
        <f t="shared" si="1"/>
        <v>0</v>
      </c>
      <c r="N16" s="21">
        <f t="shared" ca="1" si="1"/>
        <v>1832.1550718148308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0.20445257575427045</v>
      </c>
      <c r="C18" s="25">
        <f ca="1">'EF ele_warmte'!B22</f>
        <v>0.21549659902345403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12037.647857891325</v>
      </c>
      <c r="C20" s="23">
        <f t="shared" ref="C20:P20" ca="1" si="2">C16*C18</f>
        <v>1662.4023353237883</v>
      </c>
      <c r="D20" s="23">
        <f t="shared" ca="1" si="2"/>
        <v>7828.1122996149261</v>
      </c>
      <c r="E20" s="23">
        <f t="shared" si="2"/>
        <v>177.31578151949751</v>
      </c>
      <c r="F20" s="23">
        <f t="shared" ca="1" si="2"/>
        <v>2701.0528287472725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3414.2557766189998</v>
      </c>
      <c r="C26" s="39">
        <f>IF(ISERROR(B26*3.6/1000000/'E Balans VL '!Z12*100),0,B26*3.6/1000000/'E Balans VL '!Z12*100)</f>
        <v>7.2520483897845975E-2</v>
      </c>
      <c r="D26" s="239" t="s">
        <v>692</v>
      </c>
      <c r="F26" s="6"/>
    </row>
    <row r="27" spans="1:18">
      <c r="A27" s="233" t="s">
        <v>53</v>
      </c>
      <c r="B27" s="33">
        <f>IF(ISERROR(TER_horeca_ele_kWh/1000),0,TER_horeca_ele_kWh/1000)</f>
        <v>2867.2002173413898</v>
      </c>
      <c r="C27" s="39">
        <f>IF(ISERROR(B27*3.6/1000000/'E Balans VL '!Z9*100),0,B27*3.6/1000000/'E Balans VL '!Z9*100)</f>
        <v>0.22294227837210637</v>
      </c>
      <c r="D27" s="239" t="s">
        <v>692</v>
      </c>
      <c r="F27" s="6"/>
    </row>
    <row r="28" spans="1:18">
      <c r="A28" s="173" t="s">
        <v>52</v>
      </c>
      <c r="B28" s="33">
        <f>IF(ISERROR(TER_handel_ele_kWh/1000),0,TER_handel_ele_kWh/1000)</f>
        <v>29637.0735018374</v>
      </c>
      <c r="C28" s="39">
        <f>IF(ISERROR(B28*3.6/1000000/'E Balans VL '!Z13*100),0,B28*3.6/1000000/'E Balans VL '!Z13*100)</f>
        <v>0.84795155223392138</v>
      </c>
      <c r="D28" s="239" t="s">
        <v>692</v>
      </c>
      <c r="F28" s="6"/>
    </row>
    <row r="29" spans="1:18">
      <c r="A29" s="233" t="s">
        <v>51</v>
      </c>
      <c r="B29" s="33">
        <f>IF(ISERROR(TER_gezond_ele_kWh/1000),0,TER_gezond_ele_kWh/1000)</f>
        <v>1689.9658038017501</v>
      </c>
      <c r="C29" s="39">
        <f>IF(ISERROR(B29*3.6/1000000/'E Balans VL '!Z10*100),0,B29*3.6/1000000/'E Balans VL '!Z10*100)</f>
        <v>0.18424554270993684</v>
      </c>
      <c r="D29" s="239" t="s">
        <v>692</v>
      </c>
      <c r="F29" s="6"/>
    </row>
    <row r="30" spans="1:18">
      <c r="A30" s="233" t="s">
        <v>50</v>
      </c>
      <c r="B30" s="33">
        <f>IF(ISERROR(TER_ander_ele_kWh/1000),0,TER_ander_ele_kWh/1000)</f>
        <v>851.66893274632002</v>
      </c>
      <c r="C30" s="39">
        <f>IF(ISERROR(B30*3.6/1000000/'E Balans VL '!Z14*100),0,B30*3.6/1000000/'E Balans VL '!Z14*100)</f>
        <v>6.2323200533199868E-2</v>
      </c>
      <c r="D30" s="239" t="s">
        <v>692</v>
      </c>
      <c r="F30" s="6"/>
    </row>
    <row r="31" spans="1:18">
      <c r="A31" s="233" t="s">
        <v>55</v>
      </c>
      <c r="B31" s="33">
        <f>IF(ISERROR(TER_onderwijs_ele_kWh/1000),0,TER_onderwijs_ele_kWh/1000)</f>
        <v>776.08178107696097</v>
      </c>
      <c r="C31" s="39">
        <f>IF(ISERROR(B31*3.6/1000000/'E Balans VL '!Z11*100),0,B31*3.6/1000000/'E Balans VL '!Z11*100)</f>
        <v>0.15587660203174675</v>
      </c>
      <c r="D31" s="239" t="s">
        <v>692</v>
      </c>
    </row>
    <row r="32" spans="1:18">
      <c r="A32" s="233" t="s">
        <v>260</v>
      </c>
      <c r="B32" s="33">
        <f>IF(ISERROR(TER_rest_ele_kWh/1000),0,TER_rest_ele_kWh/1000)</f>
        <v>14241.2115753691</v>
      </c>
      <c r="C32" s="39">
        <f>IF(ISERROR(B32*3.6/1000000/'E Balans VL '!Z8*100),0,B32*3.6/1000000/'E Balans VL '!Z8*100)</f>
        <v>0.11605723178707418</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5514.2339510498323</v>
      </c>
      <c r="C5" s="17">
        <f>IF(ISERROR('Eigen informatie GS &amp; warmtenet'!B59),0,'Eigen informatie GS &amp; warmtenet'!B59)</f>
        <v>0</v>
      </c>
      <c r="D5" s="30">
        <f>SUM(D6:D15)</f>
        <v>8098.9505441728015</v>
      </c>
      <c r="E5" s="17">
        <f>SUM(E6:E15)</f>
        <v>558.03434391545557</v>
      </c>
      <c r="F5" s="17">
        <f>SUM(F6:F15)</f>
        <v>2752.4643246561172</v>
      </c>
      <c r="G5" s="18"/>
      <c r="H5" s="17"/>
      <c r="I5" s="17"/>
      <c r="J5" s="17">
        <f>SUM(J6:J15)</f>
        <v>7.8381522378213058</v>
      </c>
      <c r="K5" s="17"/>
      <c r="L5" s="17"/>
      <c r="M5" s="17"/>
      <c r="N5" s="17">
        <f>SUM(N6:N15)</f>
        <v>1210.692062692809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558.22736916521399</v>
      </c>
      <c r="C8" s="33"/>
      <c r="D8" s="37">
        <f>IF( ISERROR(IND_metaal_Gas_kWH/1000),0,IND_metaal_Gas_kWH/1000)*0.902</f>
        <v>339.33148505416949</v>
      </c>
      <c r="E8" s="33">
        <f>C30*'E Balans VL '!I18/100/3.6*1000000</f>
        <v>16.034385370916919</v>
      </c>
      <c r="F8" s="33">
        <f>C30*'E Balans VL '!L18/100/3.6*1000000+C30*'E Balans VL '!N18/100/3.6*1000000</f>
        <v>143.17458393564732</v>
      </c>
      <c r="G8" s="34"/>
      <c r="H8" s="33"/>
      <c r="I8" s="33"/>
      <c r="J8" s="40">
        <f>C30*'E Balans VL '!D18/100/3.6*1000000+C30*'E Balans VL '!E18/100/3.6*1000000</f>
        <v>0</v>
      </c>
      <c r="K8" s="33"/>
      <c r="L8" s="33"/>
      <c r="M8" s="33"/>
      <c r="N8" s="33">
        <f>C30*'E Balans VL '!Y18/100/3.6*1000000</f>
        <v>15.157012576338289</v>
      </c>
      <c r="O8" s="33"/>
      <c r="P8" s="33"/>
      <c r="R8" s="32"/>
    </row>
    <row r="9" spans="1:18">
      <c r="A9" s="6" t="s">
        <v>33</v>
      </c>
      <c r="B9" s="37">
        <f t="shared" si="0"/>
        <v>1144.7981599649702</v>
      </c>
      <c r="C9" s="33"/>
      <c r="D9" s="37">
        <f>IF( ISERROR(IND_andere_gas_kWh/1000),0,IND_andere_gas_kWh/1000)*0.902</f>
        <v>5179.8251675268721</v>
      </c>
      <c r="E9" s="33">
        <f>C31*'E Balans VL '!I19/100/3.6*1000000</f>
        <v>309.8687147038562</v>
      </c>
      <c r="F9" s="33">
        <f>C31*'E Balans VL '!L19/100/3.6*1000000+C31*'E Balans VL '!N19/100/3.6*1000000</f>
        <v>762.55671948799375</v>
      </c>
      <c r="G9" s="34"/>
      <c r="H9" s="33"/>
      <c r="I9" s="33"/>
      <c r="J9" s="40">
        <f>C31*'E Balans VL '!D19/100/3.6*1000000+C31*'E Balans VL '!E19/100/3.6*1000000</f>
        <v>0</v>
      </c>
      <c r="K9" s="33"/>
      <c r="L9" s="33"/>
      <c r="M9" s="33"/>
      <c r="N9" s="33">
        <f>C31*'E Balans VL '!Y19/100/3.6*1000000</f>
        <v>373.75758250308485</v>
      </c>
      <c r="O9" s="33"/>
      <c r="P9" s="33"/>
      <c r="R9" s="32"/>
    </row>
    <row r="10" spans="1:18">
      <c r="A10" s="6" t="s">
        <v>41</v>
      </c>
      <c r="B10" s="37">
        <f t="shared" si="0"/>
        <v>756.99615909620809</v>
      </c>
      <c r="C10" s="33"/>
      <c r="D10" s="37">
        <f>IF( ISERROR(IND_voed_gas_kWh/1000),0,IND_voed_gas_kWh/1000)*0.902</f>
        <v>302.26029624690784</v>
      </c>
      <c r="E10" s="33">
        <f>C32*'E Balans VL '!I20/100/3.6*1000000</f>
        <v>61.742345889307138</v>
      </c>
      <c r="F10" s="33">
        <f>C32*'E Balans VL '!L20/100/3.6*1000000+C32*'E Balans VL '!N20/100/3.6*1000000</f>
        <v>1128.749953921892</v>
      </c>
      <c r="G10" s="34"/>
      <c r="H10" s="33"/>
      <c r="I10" s="33"/>
      <c r="J10" s="40">
        <f>C32*'E Balans VL '!D20/100/3.6*1000000+C32*'E Balans VL '!E20/100/3.6*1000000</f>
        <v>1.0014140314772673E-2</v>
      </c>
      <c r="K10" s="33"/>
      <c r="L10" s="33"/>
      <c r="M10" s="33"/>
      <c r="N10" s="33">
        <f>C32*'E Balans VL '!Y20/100/3.6*1000000</f>
        <v>222.37876002825686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3054.2122628234401</v>
      </c>
      <c r="C15" s="33"/>
      <c r="D15" s="37">
        <f>IF( ISERROR(IND_rest_gas_kWh/1000),0,IND_rest_gas_kWh/1000)*0.902</f>
        <v>2277.5335953448521</v>
      </c>
      <c r="E15" s="33">
        <f>C37*'E Balans VL '!I15/100/3.6*1000000</f>
        <v>170.38889795137527</v>
      </c>
      <c r="F15" s="33">
        <f>C37*'E Balans VL '!L15/100/3.6*1000000+C37*'E Balans VL '!N15/100/3.6*1000000</f>
        <v>717.98306731058392</v>
      </c>
      <c r="G15" s="34"/>
      <c r="H15" s="33"/>
      <c r="I15" s="33"/>
      <c r="J15" s="40">
        <f>C37*'E Balans VL '!D15/100/3.6*1000000+C37*'E Balans VL '!E15/100/3.6*1000000</f>
        <v>7.8281380975065327</v>
      </c>
      <c r="K15" s="33"/>
      <c r="L15" s="33"/>
      <c r="M15" s="33"/>
      <c r="N15" s="33">
        <f>C37*'E Balans VL '!Y15/100/3.6*1000000</f>
        <v>599.39870758512905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5514.2339510498323</v>
      </c>
      <c r="C18" s="21">
        <f>C5+C16</f>
        <v>0</v>
      </c>
      <c r="D18" s="21">
        <f>MAX((D5+D16),0)</f>
        <v>8098.9505441728015</v>
      </c>
      <c r="E18" s="21">
        <f>MAX((E5+E16),0)</f>
        <v>558.03434391545557</v>
      </c>
      <c r="F18" s="21">
        <f>MAX((F5+F16),0)</f>
        <v>2752.4643246561172</v>
      </c>
      <c r="G18" s="21"/>
      <c r="H18" s="21"/>
      <c r="I18" s="21"/>
      <c r="J18" s="21">
        <f>MAX((J5+J16),0)</f>
        <v>7.8381522378213058</v>
      </c>
      <c r="K18" s="21"/>
      <c r="L18" s="21">
        <f>MAX((L5+L16),0)</f>
        <v>0</v>
      </c>
      <c r="M18" s="21"/>
      <c r="N18" s="21">
        <f>MAX((N5+N16),0)</f>
        <v>1210.692062692809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0.20445257575427045</v>
      </c>
      <c r="C20" s="25">
        <f ca="1">'EF ele_warmte'!B22</f>
        <v>0.21549659902345403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1127.399334603786</v>
      </c>
      <c r="C22" s="23">
        <f ca="1">C18*C20</f>
        <v>0</v>
      </c>
      <c r="D22" s="23">
        <f>D18*D20</f>
        <v>1635.988009922906</v>
      </c>
      <c r="E22" s="23">
        <f>E18*E20</f>
        <v>126.67379606880841</v>
      </c>
      <c r="F22" s="23">
        <f>F18*F20</f>
        <v>734.9079746831834</v>
      </c>
      <c r="G22" s="23"/>
      <c r="H22" s="23"/>
      <c r="I22" s="23"/>
      <c r="J22" s="23">
        <f>J18*J20</f>
        <v>2.774705892188742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558.22736916521399</v>
      </c>
      <c r="C30" s="39">
        <f>IF(ISERROR(B30*3.6/1000000/'E Balans VL '!Z18*100),0,B30*3.6/1000000/'E Balans VL '!Z18*100)</f>
        <v>5.4928148123182079E-2</v>
      </c>
      <c r="D30" s="239" t="s">
        <v>692</v>
      </c>
    </row>
    <row r="31" spans="1:18">
      <c r="A31" s="6" t="s">
        <v>33</v>
      </c>
      <c r="B31" s="37">
        <f>IF( ISERROR(IND_ander_ele_kWh/1000),0,IND_ander_ele_kWh/1000)</f>
        <v>1144.7981599649702</v>
      </c>
      <c r="C31" s="39">
        <f>IF(ISERROR(B31*3.6/1000000/'E Balans VL '!Z19*100),0,B31*3.6/1000000/'E Balans VL '!Z19*100)</f>
        <v>4.9855046669977837E-2</v>
      </c>
      <c r="D31" s="239" t="s">
        <v>692</v>
      </c>
    </row>
    <row r="32" spans="1:18">
      <c r="A32" s="173" t="s">
        <v>41</v>
      </c>
      <c r="B32" s="37">
        <f>IF( ISERROR(IND_voed_ele_kWh/1000),0,IND_voed_ele_kWh/1000)</f>
        <v>756.99615909620809</v>
      </c>
      <c r="C32" s="39">
        <f>IF(ISERROR(B32*3.6/1000000/'E Balans VL '!Z20*100),0,B32*3.6/1000000/'E Balans VL '!Z20*100)</f>
        <v>0.14362910411625579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3054.2122628234401</v>
      </c>
      <c r="C37" s="39">
        <f>IF(ISERROR(B37*3.6/1000000/'E Balans VL '!Z15*100),0,B37*3.6/1000000/'E Balans VL '!Z15*100)</f>
        <v>2.3536456830972836E-2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6416.9821020043601</v>
      </c>
      <c r="C5" s="17">
        <f>'Eigen informatie GS &amp; warmtenet'!B60</f>
        <v>0</v>
      </c>
      <c r="D5" s="30">
        <f>IF(ISERROR(SUM(LB_lb_gas_kWh,LB_rest_gas_kWh,onbekend_gas_kWh)/1000),0,SUM(LB_lb_gas_kWh,LB_rest_gas_kWh,onbekend_gas_kWh)/1000)*0.902</f>
        <v>448173.3265524719</v>
      </c>
      <c r="E5" s="17">
        <f>B17*'E Balans VL '!I25/3.6*1000000/100</f>
        <v>80.862241239003467</v>
      </c>
      <c r="F5" s="17">
        <f>B17*('E Balans VL '!L25/3.6*1000000+'E Balans VL '!N25/3.6*1000000)/100</f>
        <v>22140.195801986658</v>
      </c>
      <c r="G5" s="18"/>
      <c r="H5" s="17"/>
      <c r="I5" s="17"/>
      <c r="J5" s="17">
        <f>('E Balans VL '!D25+'E Balans VL '!E25)/3.6*1000000*landbouw!B17/100</f>
        <v>965.04116246341289</v>
      </c>
      <c r="K5" s="17"/>
      <c r="L5" s="17">
        <f>L6*(-1)</f>
        <v>46080</v>
      </c>
      <c r="M5" s="17"/>
      <c r="N5" s="17">
        <f>N6*(-1)</f>
        <v>115.71428571428572</v>
      </c>
      <c r="O5" s="17"/>
      <c r="P5" s="17"/>
      <c r="R5" s="32"/>
    </row>
    <row r="6" spans="1:18">
      <c r="A6" s="16" t="s">
        <v>497</v>
      </c>
      <c r="B6" s="17" t="s">
        <v>211</v>
      </c>
      <c r="C6" s="17">
        <f>'lokale energieproductie'!O91+'lokale energieproductie'!O60</f>
        <v>217171.92857142855</v>
      </c>
      <c r="D6" s="312">
        <f>('lokale energieproductie'!P60+'lokale energieproductie'!P91)*(-1)</f>
        <v>-382307.14285714284</v>
      </c>
      <c r="E6" s="250"/>
      <c r="F6" s="312">
        <f>('lokale energieproductie'!S60+'lokale energieproductie'!S91)*(-1)</f>
        <v>-11610</v>
      </c>
      <c r="G6" s="251"/>
      <c r="H6" s="250"/>
      <c r="I6" s="250"/>
      <c r="J6" s="250"/>
      <c r="K6" s="250"/>
      <c r="L6" s="312">
        <f>('lokale energieproductie'!T60+'lokale energieproductie'!U60+'lokale energieproductie'!T91+'lokale energieproductie'!U91)*(-1)</f>
        <v>-46080</v>
      </c>
      <c r="M6" s="250"/>
      <c r="N6" s="312">
        <f>('lokale energieproductie'!V60+'lokale energieproductie'!R60+'lokale energieproductie'!Q60+'lokale energieproductie'!Q91+'lokale energieproductie'!R91+'lokale energieproductie'!V91)*(-1)</f>
        <v>-115.71428571428572</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6416.9821020043601</v>
      </c>
      <c r="C8" s="21">
        <f>C5+C6</f>
        <v>217171.92857142855</v>
      </c>
      <c r="D8" s="21">
        <f>MAX((D5+D6),0)</f>
        <v>65866.183695329062</v>
      </c>
      <c r="E8" s="21">
        <f>MAX((E5+E6),0)</f>
        <v>80.862241239003467</v>
      </c>
      <c r="F8" s="21">
        <f>MAX((F5+F6),0)</f>
        <v>10530.195801986658</v>
      </c>
      <c r="G8" s="21"/>
      <c r="H8" s="21"/>
      <c r="I8" s="21"/>
      <c r="J8" s="21">
        <f>MAX((J5+J6),0)</f>
        <v>965.04116246341289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0.20445257575427045</v>
      </c>
      <c r="C10" s="31">
        <f ca="1">'EF ele_warmte'!B22</f>
        <v>0.21549659902345403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1311.968519323844</v>
      </c>
      <c r="C12" s="23">
        <f ca="1">C8*C10</f>
        <v>46799.812010507339</v>
      </c>
      <c r="D12" s="23">
        <f>D8*D10</f>
        <v>13304.969106456472</v>
      </c>
      <c r="E12" s="23">
        <f>E8*E10</f>
        <v>18.355728761253786</v>
      </c>
      <c r="F12" s="23">
        <f>F8*F10</f>
        <v>2811.5622791304377</v>
      </c>
      <c r="G12" s="23"/>
      <c r="H12" s="23"/>
      <c r="I12" s="23"/>
      <c r="J12" s="23">
        <f>J8*J10</f>
        <v>341.62457151204813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0.89496675169370654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105.6738626731152</v>
      </c>
      <c r="C26" s="249">
        <f>B26*'GWP N2O_CH4'!B5</f>
        <v>2219.1511161354192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17.509821973568414</v>
      </c>
      <c r="C27" s="249">
        <f>B27*'GWP N2O_CH4'!B5</f>
        <v>367.70626144493667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1.2661684086635367</v>
      </c>
      <c r="C28" s="249">
        <f>B28*'GWP N2O_CH4'!B4</f>
        <v>392.51220668569641</v>
      </c>
      <c r="D28" s="50"/>
    </row>
    <row r="29" spans="1:4">
      <c r="A29" s="41" t="s">
        <v>277</v>
      </c>
      <c r="B29" s="249">
        <f>B34*'ha_N2O bodem landbouw'!B4</f>
        <v>6.3616745982646252</v>
      </c>
      <c r="C29" s="249">
        <f>B29*'GWP N2O_CH4'!B4</f>
        <v>1972.1191254620337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1.5884465795599051E-3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1.4687286504560328E-5</v>
      </c>
      <c r="C5" s="448" t="s">
        <v>211</v>
      </c>
      <c r="D5" s="433">
        <f>SUM(D6:D11)</f>
        <v>2.3965099446913979E-5</v>
      </c>
      <c r="E5" s="433">
        <f>SUM(E6:E11)</f>
        <v>7.347794998866584E-4</v>
      </c>
      <c r="F5" s="446" t="s">
        <v>211</v>
      </c>
      <c r="G5" s="433">
        <f>SUM(G6:G11)</f>
        <v>0.17353860969011628</v>
      </c>
      <c r="H5" s="433">
        <f>SUM(H6:H11)</f>
        <v>3.5980858334515739E-2</v>
      </c>
      <c r="I5" s="448" t="s">
        <v>211</v>
      </c>
      <c r="J5" s="448" t="s">
        <v>211</v>
      </c>
      <c r="K5" s="448" t="s">
        <v>211</v>
      </c>
      <c r="L5" s="448" t="s">
        <v>211</v>
      </c>
      <c r="M5" s="433">
        <f>SUM(M6:M11)</f>
        <v>9.3689563663654409E-3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1.1827615779111284E-5</v>
      </c>
      <c r="C6" s="949"/>
      <c r="D6" s="949">
        <f>vkm_2011_GW_PW*SUMIFS(TableVerdeelsleutelVkm[CNG],TableVerdeelsleutelVkm[Voertuigtype],"Lichte voertuigen")*SUMIFS(TableECFTransport[EnergieConsumptieFactor (PJ per km)],TableECFTransport[Index],CONCATENATE($A6,"_CNG_CNG"))</f>
        <v>1.6750217195583086E-5</v>
      </c>
      <c r="E6" s="949">
        <f>vkm_2011_GW_PW*SUMIFS(TableVerdeelsleutelVkm[LPG],TableVerdeelsleutelVkm[Voertuigtype],"Lichte voertuigen")*SUMIFS(TableECFTransport[EnergieConsumptieFactor (PJ per km)],TableECFTransport[Index],CONCATENATE($A6,"_LPG_LPG"))</f>
        <v>5.2606917894246587E-4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9.4549036302859893E-2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2.5406186212167222E-2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5.3529336494520831E-3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3.9776451005114427E-2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1.4171771261588819E-5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1.7949457395036207E-3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2.8596707254490443E-6</v>
      </c>
      <c r="C8" s="949"/>
      <c r="D8" s="436">
        <f>vkm_2011_NGW_PW*SUMIFS(TableVerdeelsleutelVkm[CNG],TableVerdeelsleutelVkm[Voertuigtype],"Lichte voertuigen")*SUMIFS(TableECFTransport[EnergieConsumptieFactor (PJ per km)],TableECFTransport[Index],CONCATENATE($A8,"_CNG_CNG"))</f>
        <v>7.2148822513308945E-6</v>
      </c>
      <c r="E8" s="436">
        <f>vkm_2011_NGW_PW*SUMIFS(TableVerdeelsleutelVkm[LPG],TableVerdeelsleutelVkm[Voertuigtype],"Lichte voertuigen")*SUMIFS(TableECFTransport[EnergieConsumptieFactor (PJ per km)],TableECFTransport[Index],CONCATENATE($A8,"_LPG_LPG"))</f>
        <v>2.087103209441925E-4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3.5378423263312558E-2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1.0559207483349259E-2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2.0480361026424519E-3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3.8346991188293903E-3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1.2928677376662409E-6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1.7304087476728585E-4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4.0798018068223136</v>
      </c>
      <c r="C14" s="21"/>
      <c r="D14" s="21">
        <f t="shared" ref="D14:M14" si="0">((D5)*10^9/3600)+D12</f>
        <v>6.6569720685872165</v>
      </c>
      <c r="E14" s="21">
        <f t="shared" si="0"/>
        <v>204.10541663518288</v>
      </c>
      <c r="F14" s="21"/>
      <c r="G14" s="21">
        <f t="shared" si="0"/>
        <v>48205.169358365638</v>
      </c>
      <c r="H14" s="21">
        <f t="shared" si="0"/>
        <v>9994.6828706988163</v>
      </c>
      <c r="I14" s="21"/>
      <c r="J14" s="21"/>
      <c r="K14" s="21"/>
      <c r="L14" s="21"/>
      <c r="M14" s="21">
        <f t="shared" si="0"/>
        <v>2602.4878795459558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0.20445257575427045</v>
      </c>
      <c r="C16" s="56">
        <f ca="1">'EF ele_warmte'!B22</f>
        <v>0.21549659902345403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0.83412598797174853</v>
      </c>
      <c r="C18" s="23"/>
      <c r="D18" s="23">
        <f t="shared" ref="D18:M18" si="1">D14*D16</f>
        <v>1.3447083578546177</v>
      </c>
      <c r="E18" s="23">
        <f t="shared" si="1"/>
        <v>46.331929576186518</v>
      </c>
      <c r="F18" s="23"/>
      <c r="G18" s="23">
        <f t="shared" si="1"/>
        <v>12870.780218683625</v>
      </c>
      <c r="H18" s="23">
        <f t="shared" si="1"/>
        <v>2488.6760348040052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8.8664598022444811E-3</v>
      </c>
      <c r="H50" s="323">
        <f t="shared" si="2"/>
        <v>0</v>
      </c>
      <c r="I50" s="323">
        <f t="shared" si="2"/>
        <v>0</v>
      </c>
      <c r="J50" s="323">
        <f t="shared" si="2"/>
        <v>0</v>
      </c>
      <c r="K50" s="323">
        <f t="shared" si="2"/>
        <v>0</v>
      </c>
      <c r="L50" s="323">
        <f t="shared" si="2"/>
        <v>0</v>
      </c>
      <c r="M50" s="323">
        <f t="shared" si="2"/>
        <v>3.9431315402506069E-4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8.8664598022444811E-3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3.9431315402506069E-4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2462.9055006234667</v>
      </c>
      <c r="H54" s="21">
        <f t="shared" si="3"/>
        <v>0</v>
      </c>
      <c r="I54" s="21">
        <f t="shared" si="3"/>
        <v>0</v>
      </c>
      <c r="J54" s="21">
        <f t="shared" si="3"/>
        <v>0</v>
      </c>
      <c r="K54" s="21">
        <f t="shared" si="3"/>
        <v>0</v>
      </c>
      <c r="L54" s="21">
        <f t="shared" si="3"/>
        <v>0</v>
      </c>
      <c r="M54" s="21">
        <f t="shared" si="3"/>
        <v>109.53143167362798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0.20445257575427045</v>
      </c>
      <c r="C56" s="56">
        <f ca="1">'EF ele_warmte'!B22</f>
        <v>0.21549659902345403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657.59576866646569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8768.3416388043115</v>
      </c>
      <c r="C6" s="1142"/>
      <c r="D6" s="1145"/>
      <c r="E6" s="1145"/>
      <c r="F6" s="1148"/>
      <c r="G6" s="1151"/>
      <c r="H6" s="1139"/>
      <c r="I6" s="1145"/>
      <c r="J6" s="1145"/>
      <c r="K6" s="1145"/>
      <c r="L6" s="1175"/>
      <c r="M6" s="561"/>
      <c r="N6" s="1187"/>
      <c r="O6" s="1188"/>
      <c r="Q6" s="559"/>
      <c r="R6" s="1172"/>
      <c r="S6" s="1172"/>
    </row>
    <row r="7" spans="1:19" s="549" customFormat="1">
      <c r="A7" s="562" t="s">
        <v>252</v>
      </c>
      <c r="B7" s="563">
        <f>N57</f>
        <v>162324</v>
      </c>
      <c r="C7" s="564">
        <f>B100</f>
        <v>166736.43851263516</v>
      </c>
      <c r="D7" s="565"/>
      <c r="E7" s="565">
        <f>E100</f>
        <v>4867.0762559207869</v>
      </c>
      <c r="F7" s="566"/>
      <c r="G7" s="567"/>
      <c r="H7" s="565">
        <f>I100</f>
        <v>0</v>
      </c>
      <c r="I7" s="565">
        <f>G100+F100</f>
        <v>19317.387930476303</v>
      </c>
      <c r="J7" s="565">
        <f>H100+D100+C100</f>
        <v>48.509065673629117</v>
      </c>
      <c r="K7" s="565"/>
      <c r="L7" s="568"/>
      <c r="M7" s="569">
        <f>C7*$C$11+D7*$D$11+E7*$E$11+F7*$F$11+G7*$G$11+H7*$H$11+I7*$I$11+J7*$J$11</f>
        <v>34980.269939883154</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171092.3416388043</v>
      </c>
      <c r="C9" s="580">
        <f t="shared" ref="C9:L9" si="0">SUM(C7:C8)</f>
        <v>166736.43851263516</v>
      </c>
      <c r="D9" s="580">
        <f t="shared" si="0"/>
        <v>0</v>
      </c>
      <c r="E9" s="580">
        <f t="shared" si="0"/>
        <v>4867.0762559207869</v>
      </c>
      <c r="F9" s="580">
        <f t="shared" si="0"/>
        <v>0</v>
      </c>
      <c r="G9" s="580">
        <f t="shared" si="0"/>
        <v>0</v>
      </c>
      <c r="H9" s="580">
        <f t="shared" si="0"/>
        <v>0</v>
      </c>
      <c r="I9" s="580">
        <f t="shared" si="0"/>
        <v>19317.387930476303</v>
      </c>
      <c r="J9" s="580">
        <f t="shared" si="0"/>
        <v>48.509065673629117</v>
      </c>
      <c r="K9" s="580">
        <f t="shared" si="0"/>
        <v>0</v>
      </c>
      <c r="L9" s="580">
        <f t="shared" si="0"/>
        <v>0</v>
      </c>
      <c r="M9" s="581">
        <f>SUM(M4:M8)</f>
        <v>34980.269939883154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224886.21428571426</v>
      </c>
      <c r="C16" s="596">
        <f>B101</f>
        <v>230999.27577307911</v>
      </c>
      <c r="D16" s="597"/>
      <c r="E16" s="597">
        <f>E101</f>
        <v>6742.9237440792131</v>
      </c>
      <c r="F16" s="598"/>
      <c r="G16" s="599"/>
      <c r="H16" s="596">
        <f>I101</f>
        <v>0</v>
      </c>
      <c r="I16" s="597">
        <f>G101+F101</f>
        <v>26762.612069523697</v>
      </c>
      <c r="J16" s="597">
        <f>H101+D101+C101</f>
        <v>67.205220040656613</v>
      </c>
      <c r="K16" s="597"/>
      <c r="L16" s="600"/>
      <c r="M16" s="601">
        <f>C16*$C$21+E16*$E$21+H16*$H$21+I16*$I$21+J16*$J$21+D16*$D$21+F16*$F$21+G16*$G$21+K16*$K$21+L16*$L$21</f>
        <v>48462.214345831126</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224886.21428571426</v>
      </c>
      <c r="C19" s="579">
        <f>SUM(C16:C18)</f>
        <v>230999.27577307911</v>
      </c>
      <c r="D19" s="579">
        <f t="shared" ref="D19:M19" si="1">SUM(D16:D18)</f>
        <v>0</v>
      </c>
      <c r="E19" s="579">
        <f t="shared" si="1"/>
        <v>6742.9237440792131</v>
      </c>
      <c r="F19" s="579">
        <f t="shared" si="1"/>
        <v>0</v>
      </c>
      <c r="G19" s="579">
        <f t="shared" si="1"/>
        <v>0</v>
      </c>
      <c r="H19" s="579">
        <f t="shared" si="1"/>
        <v>0</v>
      </c>
      <c r="I19" s="579">
        <f t="shared" si="1"/>
        <v>26762.612069523697</v>
      </c>
      <c r="J19" s="579">
        <f t="shared" si="1"/>
        <v>67.205220040656613</v>
      </c>
      <c r="K19" s="579">
        <f t="shared" si="1"/>
        <v>0</v>
      </c>
      <c r="L19" s="579">
        <f t="shared" si="1"/>
        <v>0</v>
      </c>
      <c r="M19" s="606">
        <f t="shared" si="1"/>
        <v>48462.214345831126</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12035</v>
      </c>
      <c r="C27" s="839">
        <v>2861</v>
      </c>
      <c r="D27" s="658" t="s">
        <v>840</v>
      </c>
      <c r="E27" s="657" t="s">
        <v>841</v>
      </c>
      <c r="F27" s="657" t="s">
        <v>842</v>
      </c>
      <c r="G27" s="657" t="s">
        <v>843</v>
      </c>
      <c r="H27" s="657" t="s">
        <v>844</v>
      </c>
      <c r="I27" s="657" t="s">
        <v>841</v>
      </c>
      <c r="J27" s="838">
        <v>39263</v>
      </c>
      <c r="K27" s="838">
        <v>39261</v>
      </c>
      <c r="L27" s="657" t="s">
        <v>845</v>
      </c>
      <c r="M27" s="657">
        <v>1984</v>
      </c>
      <c r="N27" s="657">
        <v>8928</v>
      </c>
      <c r="O27" s="657">
        <v>12754.285714285714</v>
      </c>
      <c r="P27" s="657">
        <v>25508.571428571431</v>
      </c>
      <c r="Q27" s="657">
        <v>0</v>
      </c>
      <c r="R27" s="657">
        <v>0</v>
      </c>
      <c r="S27" s="657">
        <v>0</v>
      </c>
      <c r="T27" s="657">
        <v>0</v>
      </c>
      <c r="U27" s="657">
        <v>0</v>
      </c>
      <c r="V27" s="657">
        <v>0</v>
      </c>
      <c r="W27" s="657">
        <v>0</v>
      </c>
      <c r="X27" s="657">
        <v>10</v>
      </c>
      <c r="Y27" s="657" t="s">
        <v>112</v>
      </c>
      <c r="Z27" s="659" t="s">
        <v>112</v>
      </c>
    </row>
    <row r="28" spans="1:26" s="611" customFormat="1" ht="25.5">
      <c r="A28" s="610"/>
      <c r="B28" s="839">
        <v>12035</v>
      </c>
      <c r="C28" s="839">
        <v>2861</v>
      </c>
      <c r="D28" s="658" t="s">
        <v>846</v>
      </c>
      <c r="E28" s="657" t="s">
        <v>847</v>
      </c>
      <c r="F28" s="657" t="s">
        <v>848</v>
      </c>
      <c r="G28" s="657" t="s">
        <v>843</v>
      </c>
      <c r="H28" s="657" t="s">
        <v>844</v>
      </c>
      <c r="I28" s="657" t="s">
        <v>847</v>
      </c>
      <c r="J28" s="838">
        <v>39322</v>
      </c>
      <c r="K28" s="838">
        <v>39352</v>
      </c>
      <c r="L28" s="657" t="s">
        <v>845</v>
      </c>
      <c r="M28" s="657">
        <v>1564</v>
      </c>
      <c r="N28" s="657">
        <v>7038</v>
      </c>
      <c r="O28" s="657">
        <v>10054.285714285714</v>
      </c>
      <c r="P28" s="657">
        <v>20108.571428571431</v>
      </c>
      <c r="Q28" s="657">
        <v>0</v>
      </c>
      <c r="R28" s="657">
        <v>0</v>
      </c>
      <c r="S28" s="657">
        <v>0</v>
      </c>
      <c r="T28" s="657">
        <v>0</v>
      </c>
      <c r="U28" s="657">
        <v>0</v>
      </c>
      <c r="V28" s="657">
        <v>0</v>
      </c>
      <c r="W28" s="657">
        <v>0</v>
      </c>
      <c r="X28" s="657">
        <v>10</v>
      </c>
      <c r="Y28" s="657" t="s">
        <v>112</v>
      </c>
      <c r="Z28" s="659" t="s">
        <v>112</v>
      </c>
    </row>
    <row r="29" spans="1:26" s="611" customFormat="1" ht="25.5">
      <c r="A29" s="610"/>
      <c r="B29" s="839">
        <v>12035</v>
      </c>
      <c r="C29" s="839">
        <v>2861</v>
      </c>
      <c r="D29" s="658" t="s">
        <v>849</v>
      </c>
      <c r="E29" s="657" t="s">
        <v>850</v>
      </c>
      <c r="F29" s="657" t="s">
        <v>851</v>
      </c>
      <c r="G29" s="657" t="s">
        <v>843</v>
      </c>
      <c r="H29" s="657" t="s">
        <v>844</v>
      </c>
      <c r="I29" s="657" t="s">
        <v>850</v>
      </c>
      <c r="J29" s="838">
        <v>39462</v>
      </c>
      <c r="K29" s="838">
        <v>39471</v>
      </c>
      <c r="L29" s="657" t="s">
        <v>845</v>
      </c>
      <c r="M29" s="657">
        <v>1006</v>
      </c>
      <c r="N29" s="657">
        <v>4527</v>
      </c>
      <c r="O29" s="657">
        <v>6467.1428571428569</v>
      </c>
      <c r="P29" s="657">
        <v>12934.285714285716</v>
      </c>
      <c r="Q29" s="657">
        <v>0</v>
      </c>
      <c r="R29" s="657">
        <v>0</v>
      </c>
      <c r="S29" s="657">
        <v>0</v>
      </c>
      <c r="T29" s="657">
        <v>0</v>
      </c>
      <c r="U29" s="657">
        <v>0</v>
      </c>
      <c r="V29" s="657">
        <v>0</v>
      </c>
      <c r="W29" s="657">
        <v>0</v>
      </c>
      <c r="X29" s="657">
        <v>10</v>
      </c>
      <c r="Y29" s="657" t="s">
        <v>112</v>
      </c>
      <c r="Z29" s="659" t="s">
        <v>112</v>
      </c>
    </row>
    <row r="30" spans="1:26" s="611" customFormat="1" ht="25.5">
      <c r="A30" s="610"/>
      <c r="B30" s="839">
        <v>12035</v>
      </c>
      <c r="C30" s="839">
        <v>2861</v>
      </c>
      <c r="D30" s="658" t="s">
        <v>852</v>
      </c>
      <c r="E30" s="657" t="s">
        <v>853</v>
      </c>
      <c r="F30" s="657" t="s">
        <v>854</v>
      </c>
      <c r="G30" s="657" t="s">
        <v>843</v>
      </c>
      <c r="H30" s="657" t="s">
        <v>844</v>
      </c>
      <c r="I30" s="657" t="s">
        <v>853</v>
      </c>
      <c r="J30" s="838">
        <v>39533</v>
      </c>
      <c r="K30" s="838">
        <v>39533</v>
      </c>
      <c r="L30" s="657" t="s">
        <v>845</v>
      </c>
      <c r="M30" s="657">
        <v>2000</v>
      </c>
      <c r="N30" s="657">
        <v>9000</v>
      </c>
      <c r="O30" s="657">
        <v>12857.142857142857</v>
      </c>
      <c r="P30" s="657">
        <v>25714.285714285717</v>
      </c>
      <c r="Q30" s="657">
        <v>0</v>
      </c>
      <c r="R30" s="657">
        <v>0</v>
      </c>
      <c r="S30" s="657">
        <v>0</v>
      </c>
      <c r="T30" s="657">
        <v>0</v>
      </c>
      <c r="U30" s="657">
        <v>0</v>
      </c>
      <c r="V30" s="657">
        <v>0</v>
      </c>
      <c r="W30" s="657">
        <v>0</v>
      </c>
      <c r="X30" s="657">
        <v>10</v>
      </c>
      <c r="Y30" s="657" t="s">
        <v>112</v>
      </c>
      <c r="Z30" s="659" t="s">
        <v>112</v>
      </c>
    </row>
    <row r="31" spans="1:26" s="611" customFormat="1" ht="25.5">
      <c r="A31" s="610"/>
      <c r="B31" s="839">
        <v>12035</v>
      </c>
      <c r="C31" s="839">
        <v>2860</v>
      </c>
      <c r="D31" s="658" t="s">
        <v>855</v>
      </c>
      <c r="E31" s="657" t="s">
        <v>856</v>
      </c>
      <c r="F31" s="657" t="s">
        <v>857</v>
      </c>
      <c r="G31" s="657" t="s">
        <v>843</v>
      </c>
      <c r="H31" s="657" t="s">
        <v>844</v>
      </c>
      <c r="I31" s="657" t="s">
        <v>856</v>
      </c>
      <c r="J31" s="838">
        <v>39653</v>
      </c>
      <c r="K31" s="838">
        <v>39688</v>
      </c>
      <c r="L31" s="657" t="s">
        <v>845</v>
      </c>
      <c r="M31" s="657">
        <v>1158</v>
      </c>
      <c r="N31" s="657">
        <v>5211</v>
      </c>
      <c r="O31" s="657">
        <v>7444.2857142857147</v>
      </c>
      <c r="P31" s="657">
        <v>14888.571428571429</v>
      </c>
      <c r="Q31" s="657">
        <v>0</v>
      </c>
      <c r="R31" s="657">
        <v>0</v>
      </c>
      <c r="S31" s="657">
        <v>0</v>
      </c>
      <c r="T31" s="657">
        <v>0</v>
      </c>
      <c r="U31" s="657">
        <v>0</v>
      </c>
      <c r="V31" s="657">
        <v>0</v>
      </c>
      <c r="W31" s="657">
        <v>0</v>
      </c>
      <c r="X31" s="657">
        <v>10</v>
      </c>
      <c r="Y31" s="657" t="s">
        <v>112</v>
      </c>
      <c r="Z31" s="659" t="s">
        <v>112</v>
      </c>
    </row>
    <row r="32" spans="1:26" s="611" customFormat="1" ht="38.25">
      <c r="A32" s="610"/>
      <c r="B32" s="839">
        <v>12035</v>
      </c>
      <c r="C32" s="839">
        <v>2861</v>
      </c>
      <c r="D32" s="658" t="s">
        <v>858</v>
      </c>
      <c r="E32" s="657" t="s">
        <v>859</v>
      </c>
      <c r="F32" s="657" t="s">
        <v>860</v>
      </c>
      <c r="G32" s="657" t="s">
        <v>843</v>
      </c>
      <c r="H32" s="657" t="s">
        <v>844</v>
      </c>
      <c r="I32" s="657" t="s">
        <v>859</v>
      </c>
      <c r="J32" s="838">
        <v>39805</v>
      </c>
      <c r="K32" s="838">
        <v>39805</v>
      </c>
      <c r="L32" s="657" t="s">
        <v>845</v>
      </c>
      <c r="M32" s="657">
        <v>2014</v>
      </c>
      <c r="N32" s="657">
        <v>9062.9999999999982</v>
      </c>
      <c r="O32" s="657">
        <v>12947.142857142855</v>
      </c>
      <c r="P32" s="657">
        <v>25894.28571428571</v>
      </c>
      <c r="Q32" s="657">
        <v>0</v>
      </c>
      <c r="R32" s="657">
        <v>0</v>
      </c>
      <c r="S32" s="657">
        <v>0</v>
      </c>
      <c r="T32" s="657">
        <v>0</v>
      </c>
      <c r="U32" s="657">
        <v>0</v>
      </c>
      <c r="V32" s="657">
        <v>0</v>
      </c>
      <c r="W32" s="657">
        <v>0</v>
      </c>
      <c r="X32" s="657">
        <v>10</v>
      </c>
      <c r="Y32" s="657" t="s">
        <v>112</v>
      </c>
      <c r="Z32" s="659" t="s">
        <v>112</v>
      </c>
    </row>
    <row r="33" spans="1:26" s="611" customFormat="1" ht="38.25">
      <c r="A33" s="610"/>
      <c r="B33" s="839">
        <v>12035</v>
      </c>
      <c r="C33" s="839">
        <v>2860</v>
      </c>
      <c r="D33" s="658" t="s">
        <v>861</v>
      </c>
      <c r="E33" s="657" t="s">
        <v>862</v>
      </c>
      <c r="F33" s="657" t="s">
        <v>863</v>
      </c>
      <c r="G33" s="657" t="s">
        <v>843</v>
      </c>
      <c r="H33" s="657" t="s">
        <v>864</v>
      </c>
      <c r="I33" s="657" t="s">
        <v>862</v>
      </c>
      <c r="J33" s="838">
        <v>39834</v>
      </c>
      <c r="K33" s="838">
        <v>39834</v>
      </c>
      <c r="L33" s="657" t="s">
        <v>865</v>
      </c>
      <c r="M33" s="657">
        <v>773</v>
      </c>
      <c r="N33" s="657">
        <v>3478.5</v>
      </c>
      <c r="O33" s="657">
        <v>3913.3125</v>
      </c>
      <c r="P33" s="657">
        <v>0</v>
      </c>
      <c r="Q33" s="657">
        <v>0</v>
      </c>
      <c r="R33" s="657">
        <v>0</v>
      </c>
      <c r="S33" s="657">
        <v>2174.0625</v>
      </c>
      <c r="T33" s="657">
        <v>6522.1875</v>
      </c>
      <c r="U33" s="657">
        <v>0</v>
      </c>
      <c r="V33" s="657">
        <v>0</v>
      </c>
      <c r="W33" s="657">
        <v>0</v>
      </c>
      <c r="X33" s="657">
        <v>10</v>
      </c>
      <c r="Y33" s="657" t="s">
        <v>112</v>
      </c>
      <c r="Z33" s="659" t="s">
        <v>112</v>
      </c>
    </row>
    <row r="34" spans="1:26" s="611" customFormat="1" ht="25.5">
      <c r="A34" s="610"/>
      <c r="B34" s="839">
        <v>12035</v>
      </c>
      <c r="C34" s="839">
        <v>2861</v>
      </c>
      <c r="D34" s="658" t="s">
        <v>866</v>
      </c>
      <c r="E34" s="657" t="s">
        <v>867</v>
      </c>
      <c r="F34" s="657" t="s">
        <v>868</v>
      </c>
      <c r="G34" s="657" t="s">
        <v>843</v>
      </c>
      <c r="H34" s="657" t="s">
        <v>844</v>
      </c>
      <c r="I34" s="657" t="s">
        <v>867</v>
      </c>
      <c r="J34" s="838">
        <v>40006</v>
      </c>
      <c r="K34" s="838">
        <v>40007</v>
      </c>
      <c r="L34" s="657" t="s">
        <v>845</v>
      </c>
      <c r="M34" s="657">
        <v>1562</v>
      </c>
      <c r="N34" s="657">
        <v>7029</v>
      </c>
      <c r="O34" s="657">
        <v>10041.428571428572</v>
      </c>
      <c r="P34" s="657">
        <v>20082.857142857145</v>
      </c>
      <c r="Q34" s="657">
        <v>0</v>
      </c>
      <c r="R34" s="657">
        <v>0</v>
      </c>
      <c r="S34" s="657">
        <v>0</v>
      </c>
      <c r="T34" s="657">
        <v>0</v>
      </c>
      <c r="U34" s="657">
        <v>0</v>
      </c>
      <c r="V34" s="657">
        <v>0</v>
      </c>
      <c r="W34" s="657">
        <v>0</v>
      </c>
      <c r="X34" s="657">
        <v>10</v>
      </c>
      <c r="Y34" s="657" t="s">
        <v>112</v>
      </c>
      <c r="Z34" s="659" t="s">
        <v>112</v>
      </c>
    </row>
    <row r="35" spans="1:26" s="611" customFormat="1" ht="25.5">
      <c r="A35" s="610"/>
      <c r="B35" s="839">
        <v>12035</v>
      </c>
      <c r="C35" s="839">
        <v>2860</v>
      </c>
      <c r="D35" s="658" t="s">
        <v>869</v>
      </c>
      <c r="E35" s="657" t="s">
        <v>870</v>
      </c>
      <c r="F35" s="657" t="s">
        <v>871</v>
      </c>
      <c r="G35" s="657" t="s">
        <v>843</v>
      </c>
      <c r="H35" s="657" t="s">
        <v>844</v>
      </c>
      <c r="I35" s="657" t="s">
        <v>870</v>
      </c>
      <c r="J35" s="838">
        <v>40058</v>
      </c>
      <c r="K35" s="838">
        <v>40058</v>
      </c>
      <c r="L35" s="657" t="s">
        <v>845</v>
      </c>
      <c r="M35" s="657">
        <v>2014</v>
      </c>
      <c r="N35" s="657">
        <v>9062.9999999999982</v>
      </c>
      <c r="O35" s="657">
        <v>12947.142857142855</v>
      </c>
      <c r="P35" s="657">
        <v>25894.28571428571</v>
      </c>
      <c r="Q35" s="657">
        <v>0</v>
      </c>
      <c r="R35" s="657">
        <v>0</v>
      </c>
      <c r="S35" s="657">
        <v>0</v>
      </c>
      <c r="T35" s="657">
        <v>0</v>
      </c>
      <c r="U35" s="657">
        <v>0</v>
      </c>
      <c r="V35" s="657">
        <v>0</v>
      </c>
      <c r="W35" s="657">
        <v>0</v>
      </c>
      <c r="X35" s="657">
        <v>10</v>
      </c>
      <c r="Y35" s="657" t="s">
        <v>112</v>
      </c>
      <c r="Z35" s="659" t="s">
        <v>112</v>
      </c>
    </row>
    <row r="36" spans="1:26" s="611" customFormat="1" ht="25.5">
      <c r="A36" s="610"/>
      <c r="B36" s="839">
        <v>12035</v>
      </c>
      <c r="C36" s="839">
        <v>2861</v>
      </c>
      <c r="D36" s="658" t="s">
        <v>872</v>
      </c>
      <c r="E36" s="657" t="s">
        <v>873</v>
      </c>
      <c r="F36" s="657" t="s">
        <v>874</v>
      </c>
      <c r="G36" s="657" t="s">
        <v>843</v>
      </c>
      <c r="H36" s="657" t="s">
        <v>844</v>
      </c>
      <c r="I36" s="657" t="s">
        <v>873</v>
      </c>
      <c r="J36" s="838">
        <v>40108</v>
      </c>
      <c r="K36" s="838">
        <v>40112</v>
      </c>
      <c r="L36" s="657" t="s">
        <v>845</v>
      </c>
      <c r="M36" s="657">
        <v>2014</v>
      </c>
      <c r="N36" s="657">
        <v>9062.9999999999982</v>
      </c>
      <c r="O36" s="657">
        <v>12947.142857142855</v>
      </c>
      <c r="P36" s="657">
        <v>25894.28571428571</v>
      </c>
      <c r="Q36" s="657">
        <v>0</v>
      </c>
      <c r="R36" s="657">
        <v>0</v>
      </c>
      <c r="S36" s="657">
        <v>0</v>
      </c>
      <c r="T36" s="657">
        <v>0</v>
      </c>
      <c r="U36" s="657">
        <v>0</v>
      </c>
      <c r="V36" s="657">
        <v>0</v>
      </c>
      <c r="W36" s="657">
        <v>0</v>
      </c>
      <c r="X36" s="657">
        <v>10</v>
      </c>
      <c r="Y36" s="657" t="s">
        <v>112</v>
      </c>
      <c r="Z36" s="659" t="s">
        <v>112</v>
      </c>
    </row>
    <row r="37" spans="1:26" s="611" customFormat="1" ht="25.5">
      <c r="A37" s="610"/>
      <c r="B37" s="839">
        <v>12035</v>
      </c>
      <c r="C37" s="839">
        <v>2860</v>
      </c>
      <c r="D37" s="658" t="s">
        <v>875</v>
      </c>
      <c r="E37" s="657" t="s">
        <v>876</v>
      </c>
      <c r="F37" s="657" t="s">
        <v>877</v>
      </c>
      <c r="G37" s="657" t="s">
        <v>843</v>
      </c>
      <c r="H37" s="657" t="s">
        <v>844</v>
      </c>
      <c r="I37" s="657" t="s">
        <v>878</v>
      </c>
      <c r="J37" s="838">
        <v>40193</v>
      </c>
      <c r="K37" s="838">
        <v>40193</v>
      </c>
      <c r="L37" s="657" t="s">
        <v>845</v>
      </c>
      <c r="M37" s="657">
        <v>2014</v>
      </c>
      <c r="N37" s="657">
        <v>9062.9999999999982</v>
      </c>
      <c r="O37" s="657">
        <v>12947.142857142855</v>
      </c>
      <c r="P37" s="657">
        <v>25894.28571428571</v>
      </c>
      <c r="Q37" s="657">
        <v>0</v>
      </c>
      <c r="R37" s="657">
        <v>0</v>
      </c>
      <c r="S37" s="657">
        <v>0</v>
      </c>
      <c r="T37" s="657">
        <v>0</v>
      </c>
      <c r="U37" s="657">
        <v>0</v>
      </c>
      <c r="V37" s="657">
        <v>0</v>
      </c>
      <c r="W37" s="657">
        <v>0</v>
      </c>
      <c r="X37" s="657">
        <v>10</v>
      </c>
      <c r="Y37" s="657" t="s">
        <v>112</v>
      </c>
      <c r="Z37" s="659" t="s">
        <v>112</v>
      </c>
    </row>
    <row r="38" spans="1:26" s="611" customFormat="1" ht="38.25">
      <c r="A38" s="610"/>
      <c r="B38" s="839">
        <v>12035</v>
      </c>
      <c r="C38" s="839">
        <v>2861</v>
      </c>
      <c r="D38" s="658" t="s">
        <v>879</v>
      </c>
      <c r="E38" s="657" t="s">
        <v>880</v>
      </c>
      <c r="F38" s="657" t="s">
        <v>881</v>
      </c>
      <c r="G38" s="657" t="s">
        <v>843</v>
      </c>
      <c r="H38" s="657" t="s">
        <v>864</v>
      </c>
      <c r="I38" s="657" t="s">
        <v>880</v>
      </c>
      <c r="J38" s="838">
        <v>40196</v>
      </c>
      <c r="K38" s="838">
        <v>40196</v>
      </c>
      <c r="L38" s="657" t="s">
        <v>845</v>
      </c>
      <c r="M38" s="657">
        <v>640</v>
      </c>
      <c r="N38" s="657">
        <v>2880</v>
      </c>
      <c r="O38" s="657">
        <v>3240</v>
      </c>
      <c r="P38" s="657">
        <v>0</v>
      </c>
      <c r="Q38" s="657">
        <v>0</v>
      </c>
      <c r="R38" s="657">
        <v>0</v>
      </c>
      <c r="S38" s="657">
        <v>1800</v>
      </c>
      <c r="T38" s="657">
        <v>5400</v>
      </c>
      <c r="U38" s="657">
        <v>0</v>
      </c>
      <c r="V38" s="657">
        <v>0</v>
      </c>
      <c r="W38" s="657">
        <v>0</v>
      </c>
      <c r="X38" s="657">
        <v>10</v>
      </c>
      <c r="Y38" s="657" t="s">
        <v>112</v>
      </c>
      <c r="Z38" s="659" t="s">
        <v>112</v>
      </c>
    </row>
    <row r="39" spans="1:26" s="611" customFormat="1" ht="38.25">
      <c r="A39" s="610"/>
      <c r="B39" s="839">
        <v>12035</v>
      </c>
      <c r="C39" s="839">
        <v>2860</v>
      </c>
      <c r="D39" s="658" t="s">
        <v>882</v>
      </c>
      <c r="E39" s="657" t="s">
        <v>883</v>
      </c>
      <c r="F39" s="657" t="s">
        <v>884</v>
      </c>
      <c r="G39" s="657" t="s">
        <v>843</v>
      </c>
      <c r="H39" s="657" t="s">
        <v>864</v>
      </c>
      <c r="I39" s="657" t="s">
        <v>883</v>
      </c>
      <c r="J39" s="838">
        <v>40315</v>
      </c>
      <c r="K39" s="838">
        <v>40315</v>
      </c>
      <c r="L39" s="657" t="s">
        <v>845</v>
      </c>
      <c r="M39" s="657">
        <v>1058</v>
      </c>
      <c r="N39" s="657">
        <v>4761</v>
      </c>
      <c r="O39" s="657">
        <v>5356.125</v>
      </c>
      <c r="P39" s="657">
        <v>0</v>
      </c>
      <c r="Q39" s="657">
        <v>0</v>
      </c>
      <c r="R39" s="657">
        <v>0</v>
      </c>
      <c r="S39" s="657">
        <v>2975.625</v>
      </c>
      <c r="T39" s="657">
        <v>8926.875</v>
      </c>
      <c r="U39" s="657">
        <v>0</v>
      </c>
      <c r="V39" s="657">
        <v>0</v>
      </c>
      <c r="W39" s="657">
        <v>0</v>
      </c>
      <c r="X39" s="657">
        <v>10</v>
      </c>
      <c r="Y39" s="657" t="s">
        <v>112</v>
      </c>
      <c r="Z39" s="659" t="s">
        <v>112</v>
      </c>
    </row>
    <row r="40" spans="1:26" s="611" customFormat="1" ht="25.5">
      <c r="A40" s="610"/>
      <c r="B40" s="839">
        <v>12035</v>
      </c>
      <c r="C40" s="839">
        <v>2860</v>
      </c>
      <c r="D40" s="658" t="s">
        <v>885</v>
      </c>
      <c r="E40" s="657" t="s">
        <v>886</v>
      </c>
      <c r="F40" s="657" t="s">
        <v>887</v>
      </c>
      <c r="G40" s="657" t="s">
        <v>843</v>
      </c>
      <c r="H40" s="657" t="s">
        <v>844</v>
      </c>
      <c r="I40" s="657" t="s">
        <v>886</v>
      </c>
      <c r="J40" s="838">
        <v>40396</v>
      </c>
      <c r="K40" s="838">
        <v>40399</v>
      </c>
      <c r="L40" s="657" t="s">
        <v>845</v>
      </c>
      <c r="M40" s="657">
        <v>1008</v>
      </c>
      <c r="N40" s="657">
        <v>4536</v>
      </c>
      <c r="O40" s="657">
        <v>6480</v>
      </c>
      <c r="P40" s="657">
        <v>12960</v>
      </c>
      <c r="Q40" s="657">
        <v>0</v>
      </c>
      <c r="R40" s="657">
        <v>0</v>
      </c>
      <c r="S40" s="657">
        <v>0</v>
      </c>
      <c r="T40" s="657">
        <v>0</v>
      </c>
      <c r="U40" s="657">
        <v>0</v>
      </c>
      <c r="V40" s="657">
        <v>0</v>
      </c>
      <c r="W40" s="657">
        <v>0</v>
      </c>
      <c r="X40" s="657">
        <v>10</v>
      </c>
      <c r="Y40" s="657" t="s">
        <v>112</v>
      </c>
      <c r="Z40" s="659" t="s">
        <v>112</v>
      </c>
    </row>
    <row r="41" spans="1:26" s="611" customFormat="1" ht="38.25">
      <c r="A41" s="610"/>
      <c r="B41" s="839">
        <v>12035</v>
      </c>
      <c r="C41" s="839">
        <v>2860</v>
      </c>
      <c r="D41" s="658" t="s">
        <v>888</v>
      </c>
      <c r="E41" s="657" t="s">
        <v>889</v>
      </c>
      <c r="F41" s="657" t="s">
        <v>890</v>
      </c>
      <c r="G41" s="657" t="s">
        <v>843</v>
      </c>
      <c r="H41" s="657" t="s">
        <v>844</v>
      </c>
      <c r="I41" s="657" t="s">
        <v>889</v>
      </c>
      <c r="J41" s="838">
        <v>40422</v>
      </c>
      <c r="K41" s="838">
        <v>40664</v>
      </c>
      <c r="L41" s="657" t="s">
        <v>845</v>
      </c>
      <c r="M41" s="657">
        <v>265</v>
      </c>
      <c r="N41" s="657">
        <v>1192.5</v>
      </c>
      <c r="O41" s="657">
        <v>1703.5714285714287</v>
      </c>
      <c r="P41" s="657">
        <v>3407.1428571428573</v>
      </c>
      <c r="Q41" s="657">
        <v>0</v>
      </c>
      <c r="R41" s="657">
        <v>0</v>
      </c>
      <c r="S41" s="657">
        <v>0</v>
      </c>
      <c r="T41" s="657">
        <v>0</v>
      </c>
      <c r="U41" s="657">
        <v>0</v>
      </c>
      <c r="V41" s="657">
        <v>0</v>
      </c>
      <c r="W41" s="657">
        <v>0</v>
      </c>
      <c r="X41" s="657">
        <v>10</v>
      </c>
      <c r="Y41" s="657" t="s">
        <v>112</v>
      </c>
      <c r="Z41" s="659" t="s">
        <v>112</v>
      </c>
    </row>
    <row r="42" spans="1:26" s="611" customFormat="1" ht="25.5">
      <c r="A42" s="610"/>
      <c r="B42" s="839">
        <v>12035</v>
      </c>
      <c r="C42" s="839">
        <v>2861</v>
      </c>
      <c r="D42" s="658" t="s">
        <v>891</v>
      </c>
      <c r="E42" s="657" t="s">
        <v>892</v>
      </c>
      <c r="F42" s="657" t="s">
        <v>893</v>
      </c>
      <c r="G42" s="657" t="s">
        <v>843</v>
      </c>
      <c r="H42" s="657" t="s">
        <v>844</v>
      </c>
      <c r="I42" s="657" t="s">
        <v>892</v>
      </c>
      <c r="J42" s="838">
        <v>40466</v>
      </c>
      <c r="K42" s="838">
        <v>40466</v>
      </c>
      <c r="L42" s="657" t="s">
        <v>845</v>
      </c>
      <c r="M42" s="657">
        <v>800</v>
      </c>
      <c r="N42" s="657">
        <v>3600</v>
      </c>
      <c r="O42" s="657">
        <v>5142.8571428571431</v>
      </c>
      <c r="P42" s="657">
        <v>10285.714285714286</v>
      </c>
      <c r="Q42" s="657">
        <v>0</v>
      </c>
      <c r="R42" s="657">
        <v>0</v>
      </c>
      <c r="S42" s="657">
        <v>0</v>
      </c>
      <c r="T42" s="657">
        <v>0</v>
      </c>
      <c r="U42" s="657">
        <v>0</v>
      </c>
      <c r="V42" s="657">
        <v>0</v>
      </c>
      <c r="W42" s="657">
        <v>0</v>
      </c>
      <c r="X42" s="657">
        <v>10</v>
      </c>
      <c r="Y42" s="657" t="s">
        <v>112</v>
      </c>
      <c r="Z42" s="659" t="s">
        <v>112</v>
      </c>
    </row>
    <row r="43" spans="1:26" s="611" customFormat="1" ht="25.5">
      <c r="A43" s="610"/>
      <c r="B43" s="839">
        <v>12035</v>
      </c>
      <c r="C43" s="839">
        <v>2861</v>
      </c>
      <c r="D43" s="658" t="s">
        <v>894</v>
      </c>
      <c r="E43" s="657" t="s">
        <v>895</v>
      </c>
      <c r="F43" s="657" t="s">
        <v>896</v>
      </c>
      <c r="G43" s="657" t="s">
        <v>843</v>
      </c>
      <c r="H43" s="657" t="s">
        <v>844</v>
      </c>
      <c r="I43" s="657" t="s">
        <v>897</v>
      </c>
      <c r="J43" s="838">
        <v>40472</v>
      </c>
      <c r="K43" s="838">
        <v>40478</v>
      </c>
      <c r="L43" s="657" t="s">
        <v>845</v>
      </c>
      <c r="M43" s="657">
        <v>2040</v>
      </c>
      <c r="N43" s="657">
        <v>9180</v>
      </c>
      <c r="O43" s="657">
        <v>13114.285714285714</v>
      </c>
      <c r="P43" s="657">
        <v>26228.571428571431</v>
      </c>
      <c r="Q43" s="657">
        <v>0</v>
      </c>
      <c r="R43" s="657">
        <v>0</v>
      </c>
      <c r="S43" s="657">
        <v>0</v>
      </c>
      <c r="T43" s="657">
        <v>0</v>
      </c>
      <c r="U43" s="657">
        <v>0</v>
      </c>
      <c r="V43" s="657">
        <v>0</v>
      </c>
      <c r="W43" s="657">
        <v>0</v>
      </c>
      <c r="X43" s="657">
        <v>10</v>
      </c>
      <c r="Y43" s="657" t="s">
        <v>112</v>
      </c>
      <c r="Z43" s="659" t="s">
        <v>112</v>
      </c>
    </row>
    <row r="44" spans="1:26" s="611" customFormat="1" ht="38.25">
      <c r="A44" s="610"/>
      <c r="B44" s="839">
        <v>12035</v>
      </c>
      <c r="C44" s="839">
        <v>2861</v>
      </c>
      <c r="D44" s="658" t="s">
        <v>898</v>
      </c>
      <c r="E44" s="657" t="s">
        <v>899</v>
      </c>
      <c r="F44" s="657" t="s">
        <v>900</v>
      </c>
      <c r="G44" s="657" t="s">
        <v>843</v>
      </c>
      <c r="H44" s="657" t="s">
        <v>864</v>
      </c>
      <c r="I44" s="657" t="s">
        <v>899</v>
      </c>
      <c r="J44" s="838">
        <v>40477</v>
      </c>
      <c r="K44" s="838">
        <v>40477</v>
      </c>
      <c r="L44" s="657" t="s">
        <v>865</v>
      </c>
      <c r="M44" s="657">
        <v>528</v>
      </c>
      <c r="N44" s="657">
        <v>2376</v>
      </c>
      <c r="O44" s="657">
        <v>2673</v>
      </c>
      <c r="P44" s="657">
        <v>0</v>
      </c>
      <c r="Q44" s="657">
        <v>0</v>
      </c>
      <c r="R44" s="657">
        <v>0</v>
      </c>
      <c r="S44" s="657">
        <v>1485</v>
      </c>
      <c r="T44" s="657">
        <v>4455</v>
      </c>
      <c r="U44" s="657">
        <v>0</v>
      </c>
      <c r="V44" s="657">
        <v>0</v>
      </c>
      <c r="W44" s="657">
        <v>0</v>
      </c>
      <c r="X44" s="657">
        <v>10</v>
      </c>
      <c r="Y44" s="657" t="s">
        <v>112</v>
      </c>
      <c r="Z44" s="659" t="s">
        <v>112</v>
      </c>
    </row>
    <row r="45" spans="1:26" s="611" customFormat="1" ht="25.5">
      <c r="A45" s="610"/>
      <c r="B45" s="839">
        <v>12035</v>
      </c>
      <c r="C45" s="839">
        <v>2860</v>
      </c>
      <c r="D45" s="658" t="s">
        <v>901</v>
      </c>
      <c r="E45" s="657" t="s">
        <v>902</v>
      </c>
      <c r="F45" s="657" t="s">
        <v>903</v>
      </c>
      <c r="G45" s="657" t="s">
        <v>843</v>
      </c>
      <c r="H45" s="657" t="s">
        <v>844</v>
      </c>
      <c r="I45" s="657" t="s">
        <v>902</v>
      </c>
      <c r="J45" s="838">
        <v>40480</v>
      </c>
      <c r="K45" s="838">
        <v>40480</v>
      </c>
      <c r="L45" s="657" t="s">
        <v>845</v>
      </c>
      <c r="M45" s="657">
        <v>2014</v>
      </c>
      <c r="N45" s="657">
        <v>9062.9999999999982</v>
      </c>
      <c r="O45" s="657">
        <v>12947.142857142855</v>
      </c>
      <c r="P45" s="657">
        <v>25894.28571428571</v>
      </c>
      <c r="Q45" s="657">
        <v>0</v>
      </c>
      <c r="R45" s="657">
        <v>0</v>
      </c>
      <c r="S45" s="657">
        <v>0</v>
      </c>
      <c r="T45" s="657">
        <v>0</v>
      </c>
      <c r="U45" s="657">
        <v>0</v>
      </c>
      <c r="V45" s="657">
        <v>0</v>
      </c>
      <c r="W45" s="657">
        <v>0</v>
      </c>
      <c r="X45" s="657">
        <v>10</v>
      </c>
      <c r="Y45" s="657" t="s">
        <v>112</v>
      </c>
      <c r="Z45" s="659" t="s">
        <v>112</v>
      </c>
    </row>
    <row r="46" spans="1:26" s="611" customFormat="1" ht="38.25">
      <c r="A46" s="610"/>
      <c r="B46" s="839">
        <v>12035</v>
      </c>
      <c r="C46" s="839">
        <v>2861</v>
      </c>
      <c r="D46" s="658" t="s">
        <v>904</v>
      </c>
      <c r="E46" s="657" t="s">
        <v>905</v>
      </c>
      <c r="F46" s="657" t="s">
        <v>906</v>
      </c>
      <c r="G46" s="657" t="s">
        <v>843</v>
      </c>
      <c r="H46" s="657" t="s">
        <v>864</v>
      </c>
      <c r="I46" s="657" t="s">
        <v>907</v>
      </c>
      <c r="J46" s="838">
        <v>40519</v>
      </c>
      <c r="K46" s="838">
        <v>40513</v>
      </c>
      <c r="L46" s="657" t="s">
        <v>845</v>
      </c>
      <c r="M46" s="657">
        <v>1000</v>
      </c>
      <c r="N46" s="657">
        <v>4500</v>
      </c>
      <c r="O46" s="657">
        <v>5062.5</v>
      </c>
      <c r="P46" s="657">
        <v>0</v>
      </c>
      <c r="Q46" s="657">
        <v>0</v>
      </c>
      <c r="R46" s="657">
        <v>0</v>
      </c>
      <c r="S46" s="657">
        <v>0</v>
      </c>
      <c r="T46" s="657">
        <v>11250</v>
      </c>
      <c r="U46" s="657">
        <v>0</v>
      </c>
      <c r="V46" s="657">
        <v>0</v>
      </c>
      <c r="W46" s="657">
        <v>0</v>
      </c>
      <c r="X46" s="657">
        <v>10</v>
      </c>
      <c r="Y46" s="657" t="s">
        <v>112</v>
      </c>
      <c r="Z46" s="659" t="s">
        <v>112</v>
      </c>
    </row>
    <row r="47" spans="1:26" s="611" customFormat="1" ht="38.25">
      <c r="A47" s="610"/>
      <c r="B47" s="839">
        <v>12035</v>
      </c>
      <c r="C47" s="839">
        <v>2860</v>
      </c>
      <c r="D47" s="658" t="s">
        <v>908</v>
      </c>
      <c r="E47" s="657" t="s">
        <v>909</v>
      </c>
      <c r="F47" s="657" t="s">
        <v>910</v>
      </c>
      <c r="G47" s="657" t="s">
        <v>843</v>
      </c>
      <c r="H47" s="657" t="s">
        <v>864</v>
      </c>
      <c r="I47" s="657" t="s">
        <v>909</v>
      </c>
      <c r="J47" s="838">
        <v>40568</v>
      </c>
      <c r="K47" s="838">
        <v>39203</v>
      </c>
      <c r="L47" s="657" t="s">
        <v>845</v>
      </c>
      <c r="M47" s="657">
        <v>1129</v>
      </c>
      <c r="N47" s="657">
        <v>5080.5</v>
      </c>
      <c r="O47" s="657">
        <v>5715.5625</v>
      </c>
      <c r="P47" s="657">
        <v>0</v>
      </c>
      <c r="Q47" s="657">
        <v>0</v>
      </c>
      <c r="R47" s="657">
        <v>0</v>
      </c>
      <c r="S47" s="657">
        <v>3175.3125</v>
      </c>
      <c r="T47" s="657">
        <v>9525.9375</v>
      </c>
      <c r="U47" s="657">
        <v>0</v>
      </c>
      <c r="V47" s="657">
        <v>0</v>
      </c>
      <c r="W47" s="657">
        <v>0</v>
      </c>
      <c r="X47" s="657">
        <v>10</v>
      </c>
      <c r="Y47" s="657" t="s">
        <v>112</v>
      </c>
      <c r="Z47" s="659" t="s">
        <v>112</v>
      </c>
    </row>
    <row r="48" spans="1:26" s="611" customFormat="1" ht="25.5">
      <c r="A48" s="610"/>
      <c r="B48" s="839">
        <v>12035</v>
      </c>
      <c r="C48" s="839">
        <v>2861</v>
      </c>
      <c r="D48" s="658" t="s">
        <v>911</v>
      </c>
      <c r="E48" s="657" t="s">
        <v>912</v>
      </c>
      <c r="F48" s="657" t="s">
        <v>913</v>
      </c>
      <c r="G48" s="657" t="s">
        <v>843</v>
      </c>
      <c r="H48" s="657" t="s">
        <v>844</v>
      </c>
      <c r="I48" s="657" t="s">
        <v>912</v>
      </c>
      <c r="J48" s="838">
        <v>40570</v>
      </c>
      <c r="K48" s="838">
        <v>39247</v>
      </c>
      <c r="L48" s="657" t="s">
        <v>845</v>
      </c>
      <c r="M48" s="657">
        <v>1752</v>
      </c>
      <c r="N48" s="657">
        <v>7884</v>
      </c>
      <c r="O48" s="657">
        <v>11262.857142857143</v>
      </c>
      <c r="P48" s="657">
        <v>22525.714285714286</v>
      </c>
      <c r="Q48" s="657">
        <v>0</v>
      </c>
      <c r="R48" s="657">
        <v>0</v>
      </c>
      <c r="S48" s="657">
        <v>0</v>
      </c>
      <c r="T48" s="657">
        <v>0</v>
      </c>
      <c r="U48" s="657">
        <v>0</v>
      </c>
      <c r="V48" s="657">
        <v>0</v>
      </c>
      <c r="W48" s="657">
        <v>0</v>
      </c>
      <c r="X48" s="657">
        <v>10</v>
      </c>
      <c r="Y48" s="657" t="s">
        <v>112</v>
      </c>
      <c r="Z48" s="659" t="s">
        <v>112</v>
      </c>
    </row>
    <row r="49" spans="1:26" s="611" customFormat="1" ht="25.5">
      <c r="A49" s="610"/>
      <c r="B49" s="839">
        <v>12035</v>
      </c>
      <c r="C49" s="839">
        <v>2860</v>
      </c>
      <c r="D49" s="658" t="s">
        <v>914</v>
      </c>
      <c r="E49" s="657" t="s">
        <v>915</v>
      </c>
      <c r="F49" s="657" t="s">
        <v>916</v>
      </c>
      <c r="G49" s="657" t="s">
        <v>843</v>
      </c>
      <c r="H49" s="657" t="s">
        <v>844</v>
      </c>
      <c r="I49" s="657" t="s">
        <v>915</v>
      </c>
      <c r="J49" s="838">
        <v>40784</v>
      </c>
      <c r="K49" s="838">
        <v>40784</v>
      </c>
      <c r="L49" s="657" t="s">
        <v>845</v>
      </c>
      <c r="M49" s="657">
        <v>1160</v>
      </c>
      <c r="N49" s="657">
        <v>5220</v>
      </c>
      <c r="O49" s="657">
        <v>7457.1428571428569</v>
      </c>
      <c r="P49" s="657">
        <v>14914.285714285716</v>
      </c>
      <c r="Q49" s="657">
        <v>0</v>
      </c>
      <c r="R49" s="657">
        <v>0</v>
      </c>
      <c r="S49" s="657">
        <v>0</v>
      </c>
      <c r="T49" s="657">
        <v>0</v>
      </c>
      <c r="U49" s="657">
        <v>0</v>
      </c>
      <c r="V49" s="657">
        <v>0</v>
      </c>
      <c r="W49" s="657">
        <v>0</v>
      </c>
      <c r="X49" s="657">
        <v>10</v>
      </c>
      <c r="Y49" s="657" t="s">
        <v>112</v>
      </c>
      <c r="Z49" s="659" t="s">
        <v>112</v>
      </c>
    </row>
    <row r="50" spans="1:26" s="611" customFormat="1" ht="25.5">
      <c r="A50" s="612"/>
      <c r="B50" s="839">
        <v>12035</v>
      </c>
      <c r="C50" s="839">
        <v>2861</v>
      </c>
      <c r="D50" s="658" t="s">
        <v>917</v>
      </c>
      <c r="E50" s="657" t="s">
        <v>918</v>
      </c>
      <c r="F50" s="657" t="s">
        <v>919</v>
      </c>
      <c r="G50" s="657" t="s">
        <v>843</v>
      </c>
      <c r="H50" s="657" t="s">
        <v>844</v>
      </c>
      <c r="I50" s="657" t="s">
        <v>918</v>
      </c>
      <c r="J50" s="838">
        <v>40858</v>
      </c>
      <c r="K50" s="838">
        <v>41000</v>
      </c>
      <c r="L50" s="657" t="s">
        <v>845</v>
      </c>
      <c r="M50" s="657">
        <v>9</v>
      </c>
      <c r="N50" s="657">
        <v>40.5</v>
      </c>
      <c r="O50" s="657">
        <v>57.857142857142861</v>
      </c>
      <c r="P50" s="657">
        <v>0</v>
      </c>
      <c r="Q50" s="657">
        <v>0</v>
      </c>
      <c r="R50" s="657">
        <v>0</v>
      </c>
      <c r="S50" s="657">
        <v>0</v>
      </c>
      <c r="T50" s="657">
        <v>0</v>
      </c>
      <c r="U50" s="657">
        <v>0</v>
      </c>
      <c r="V50" s="657">
        <v>115.71428571428572</v>
      </c>
      <c r="W50" s="657">
        <v>0</v>
      </c>
      <c r="X50" s="657">
        <v>10</v>
      </c>
      <c r="Y50" s="657" t="s">
        <v>112</v>
      </c>
      <c r="Z50" s="659" t="s">
        <v>112</v>
      </c>
    </row>
    <row r="51" spans="1:26" s="611" customFormat="1" ht="38.25">
      <c r="A51" s="612"/>
      <c r="B51" s="839">
        <v>12035</v>
      </c>
      <c r="C51" s="839">
        <v>2861</v>
      </c>
      <c r="D51" s="657" t="s">
        <v>920</v>
      </c>
      <c r="E51" s="657" t="s">
        <v>921</v>
      </c>
      <c r="F51" s="657" t="s">
        <v>922</v>
      </c>
      <c r="G51" s="657" t="s">
        <v>843</v>
      </c>
      <c r="H51" s="657" t="s">
        <v>844</v>
      </c>
      <c r="I51" s="657" t="s">
        <v>921</v>
      </c>
      <c r="J51" s="838">
        <v>40921</v>
      </c>
      <c r="K51" s="838">
        <v>39455</v>
      </c>
      <c r="L51" s="657" t="s">
        <v>845</v>
      </c>
      <c r="M51" s="657">
        <v>2566</v>
      </c>
      <c r="N51" s="657">
        <v>11547</v>
      </c>
      <c r="O51" s="657">
        <v>16495.714285714286</v>
      </c>
      <c r="P51" s="657">
        <v>32991.428571428572</v>
      </c>
      <c r="Q51" s="657">
        <v>0</v>
      </c>
      <c r="R51" s="657">
        <v>0</v>
      </c>
      <c r="S51" s="657">
        <v>0</v>
      </c>
      <c r="T51" s="657">
        <v>0</v>
      </c>
      <c r="U51" s="657">
        <v>0</v>
      </c>
      <c r="V51" s="657">
        <v>0</v>
      </c>
      <c r="W51" s="657">
        <v>0</v>
      </c>
      <c r="X51" s="657">
        <v>10</v>
      </c>
      <c r="Y51" s="657" t="s">
        <v>112</v>
      </c>
      <c r="Z51" s="659" t="s">
        <v>112</v>
      </c>
    </row>
    <row r="52" spans="1:26" s="611" customFormat="1" ht="25.5">
      <c r="A52" s="612"/>
      <c r="B52" s="839">
        <v>12035</v>
      </c>
      <c r="C52" s="839">
        <v>2861</v>
      </c>
      <c r="D52" s="657" t="s">
        <v>923</v>
      </c>
      <c r="E52" s="657" t="s">
        <v>924</v>
      </c>
      <c r="F52" s="657" t="s">
        <v>925</v>
      </c>
      <c r="G52" s="657" t="s">
        <v>843</v>
      </c>
      <c r="H52" s="657" t="s">
        <v>844</v>
      </c>
      <c r="I52" s="657" t="s">
        <v>924</v>
      </c>
      <c r="J52" s="838">
        <v>41031</v>
      </c>
      <c r="K52" s="838">
        <v>41031</v>
      </c>
      <c r="L52" s="657" t="s">
        <v>845</v>
      </c>
      <c r="M52" s="657">
        <v>1200</v>
      </c>
      <c r="N52" s="657">
        <v>5400</v>
      </c>
      <c r="O52" s="657">
        <v>7714.2857142857147</v>
      </c>
      <c r="P52" s="657">
        <v>15428.571428571429</v>
      </c>
      <c r="Q52" s="657">
        <v>0</v>
      </c>
      <c r="R52" s="657">
        <v>0</v>
      </c>
      <c r="S52" s="657">
        <v>0</v>
      </c>
      <c r="T52" s="657">
        <v>0</v>
      </c>
      <c r="U52" s="657">
        <v>0</v>
      </c>
      <c r="V52" s="657">
        <v>0</v>
      </c>
      <c r="W52" s="657">
        <v>0</v>
      </c>
      <c r="X52" s="657">
        <v>1300</v>
      </c>
      <c r="Y52" s="657" t="s">
        <v>54</v>
      </c>
      <c r="Z52" s="659" t="s">
        <v>156</v>
      </c>
    </row>
    <row r="53" spans="1:26" s="611" customFormat="1" ht="25.5">
      <c r="A53" s="612"/>
      <c r="B53" s="839">
        <v>12035</v>
      </c>
      <c r="C53" s="839">
        <v>2861</v>
      </c>
      <c r="D53" s="657" t="s">
        <v>926</v>
      </c>
      <c r="E53" s="657" t="s">
        <v>880</v>
      </c>
      <c r="F53" s="657" t="s">
        <v>927</v>
      </c>
      <c r="G53" s="657" t="s">
        <v>843</v>
      </c>
      <c r="H53" s="657" t="s">
        <v>844</v>
      </c>
      <c r="I53" s="657" t="s">
        <v>880</v>
      </c>
      <c r="J53" s="838">
        <v>41033</v>
      </c>
      <c r="K53" s="838">
        <v>41033</v>
      </c>
      <c r="L53" s="657" t="s">
        <v>845</v>
      </c>
      <c r="M53" s="657">
        <v>800</v>
      </c>
      <c r="N53" s="657">
        <v>3600</v>
      </c>
      <c r="O53" s="657">
        <v>5142.8571428571431</v>
      </c>
      <c r="P53" s="657">
        <v>10285.714285714286</v>
      </c>
      <c r="Q53" s="657">
        <v>0</v>
      </c>
      <c r="R53" s="657">
        <v>0</v>
      </c>
      <c r="S53" s="657">
        <v>0</v>
      </c>
      <c r="T53" s="657">
        <v>0</v>
      </c>
      <c r="U53" s="657">
        <v>0</v>
      </c>
      <c r="V53" s="657">
        <v>0</v>
      </c>
      <c r="W53" s="657">
        <v>0</v>
      </c>
      <c r="X53" s="657">
        <v>10</v>
      </c>
      <c r="Y53" s="657" t="s">
        <v>112</v>
      </c>
      <c r="Z53" s="659" t="s">
        <v>112</v>
      </c>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36072</v>
      </c>
      <c r="N57" s="615">
        <f>SUM(N27:N56)</f>
        <v>162324</v>
      </c>
      <c r="O57" s="615">
        <f t="shared" ref="O57:W57" si="2">SUM(O27:O56)</f>
        <v>224886.21428571426</v>
      </c>
      <c r="P57" s="615">
        <f t="shared" si="2"/>
        <v>397735.71428571426</v>
      </c>
      <c r="Q57" s="615">
        <f t="shared" si="2"/>
        <v>0</v>
      </c>
      <c r="R57" s="615">
        <f t="shared" si="2"/>
        <v>0</v>
      </c>
      <c r="S57" s="615">
        <f t="shared" si="2"/>
        <v>11610</v>
      </c>
      <c r="T57" s="615">
        <f t="shared" si="2"/>
        <v>46080</v>
      </c>
      <c r="U57" s="615">
        <f t="shared" si="2"/>
        <v>0</v>
      </c>
      <c r="V57" s="615">
        <f t="shared" si="2"/>
        <v>115.71428571428572</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1200</v>
      </c>
      <c r="N59" s="615">
        <f ca="1">SUMIF($Z$27:AB56,"tertiair",N27:N56)</f>
        <v>5400</v>
      </c>
      <c r="O59" s="615">
        <f ca="1">SUMIF($Z$27:AC56,"tertiair",O27:O56)</f>
        <v>7714.2857142857147</v>
      </c>
      <c r="P59" s="615">
        <f ca="1">SUMIF($Z$27:AD56,"tertiair",P27:P56)</f>
        <v>15428.571428571429</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34872</v>
      </c>
      <c r="N60" s="620">
        <f t="shared" ref="N60:W60" si="4">SUMIF($Z$27:$Z$56,"landbouw",N27:N56)</f>
        <v>156924</v>
      </c>
      <c r="O60" s="620">
        <f t="shared" si="4"/>
        <v>217171.92857142855</v>
      </c>
      <c r="P60" s="620">
        <f t="shared" si="4"/>
        <v>382307.14285714284</v>
      </c>
      <c r="Q60" s="620">
        <f t="shared" si="4"/>
        <v>0</v>
      </c>
      <c r="R60" s="620">
        <f t="shared" si="4"/>
        <v>0</v>
      </c>
      <c r="S60" s="620">
        <f t="shared" si="4"/>
        <v>11610</v>
      </c>
      <c r="T60" s="620">
        <f t="shared" si="4"/>
        <v>46080</v>
      </c>
      <c r="U60" s="620">
        <f t="shared" si="4"/>
        <v>0</v>
      </c>
      <c r="V60" s="620">
        <f t="shared" si="4"/>
        <v>115.71428571428572</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0.58078585220320522</v>
      </c>
      <c r="C97" s="640">
        <f>IF(ISERROR(N57/(O57+N57)),0,N57/(N57+O57))</f>
        <v>0.41921414779679478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166736.43851263516</v>
      </c>
      <c r="C100" s="649">
        <f t="shared" si="9"/>
        <v>0</v>
      </c>
      <c r="D100" s="649">
        <f t="shared" si="9"/>
        <v>0</v>
      </c>
      <c r="E100" s="649">
        <f t="shared" si="9"/>
        <v>4867.0762559207869</v>
      </c>
      <c r="F100" s="649">
        <f t="shared" si="9"/>
        <v>19317.387930476303</v>
      </c>
      <c r="G100" s="649">
        <f t="shared" si="9"/>
        <v>0</v>
      </c>
      <c r="H100" s="649">
        <f t="shared" si="9"/>
        <v>48.509065673629117</v>
      </c>
      <c r="I100" s="650">
        <f t="shared" si="9"/>
        <v>0</v>
      </c>
      <c r="J100" s="607"/>
      <c r="K100" s="607"/>
      <c r="L100" s="645"/>
      <c r="M100" s="632"/>
      <c r="N100" s="632"/>
    </row>
    <row r="101" spans="1:14" ht="15.75" thickBot="1">
      <c r="A101" s="651" t="s">
        <v>286</v>
      </c>
      <c r="B101" s="652">
        <f>$B$97*P57</f>
        <v>230999.27577307911</v>
      </c>
      <c r="C101" s="652">
        <f t="shared" ref="C101:H101" si="10">$B$97*Q57</f>
        <v>0</v>
      </c>
      <c r="D101" s="652">
        <f t="shared" si="10"/>
        <v>0</v>
      </c>
      <c r="E101" s="652">
        <f t="shared" si="10"/>
        <v>6742.9237440792131</v>
      </c>
      <c r="F101" s="652">
        <f t="shared" si="10"/>
        <v>26762.612069523697</v>
      </c>
      <c r="G101" s="652">
        <f t="shared" si="10"/>
        <v>0</v>
      </c>
      <c r="H101" s="652">
        <f t="shared" si="10"/>
        <v>67.205220040656613</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2018-06-27T09:29:10Z</dcterms:modified>
</cp:coreProperties>
</file>