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K13" i="14"/>
  <c r="K15" s="1"/>
  <c r="K23" s="1"/>
  <c r="K55"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7" i="48"/>
  <c r="C28"/>
  <c r="C22"/>
  <c r="C25"/>
  <c r="R13" i="14"/>
  <c r="R15" s="1"/>
  <c r="F25" i="48"/>
  <c r="F31" s="1"/>
  <c r="F14" l="1"/>
  <c r="C29"/>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<sst xmlns="http://schemas.openxmlformats.org/spreadsheetml/2006/main" count="1988" uniqueCount="854">
  <si>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</si>
  <si>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</si>
  <si>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</si>
  <si>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</si>
  <si>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</si>
  <si>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</si>
  <si>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</si>
  <si>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</si>
  <si>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</si>
  <si>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</si>
  <si>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</si>
  <si>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</si>
  <si>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</si>
  <si>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</si>
  <si>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</si>
  <si>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</si>
  <si>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</si>
  <si>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</si>
  <si>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</si>
  <si>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</si>
  <si>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</si>
  <si>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</si>
  <si>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</si>
  <si>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</si>
  <si>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</si>
  <si>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</si>
  <si>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</si>
  <si>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</si>
  <si>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</si>
  <si>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</si>
  <si>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</si>
  <si>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</si>
  <si>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</si>
  <si>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</si>
  <si>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</si>
  <si>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</si>
  <si>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</si>
  <si>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</si>
  <si>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</si>
  <si>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</si>
  <si>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</si>
  <si>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</si>
  <si>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</si>
  <si>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</si>
  <si>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</si>
  <si>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</si>
  <si>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</si>
  <si>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</si>
  <si>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</si>
  <si>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</si>
  <si>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</si>
  <si>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</si>
  <si>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</si>
  <si>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</si>
  <si>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</si>
  <si>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</si>
  <si>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</si>
  <si>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</si>
  <si>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</si>
  <si>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</si>
  <si>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</si>
  <si>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</si>
  <si>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</si>
  <si>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</si>
  <si>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</si>
  <si>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</si>
  <si>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</si>
  <si>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</si>
  <si>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</si>
  <si>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</si>
  <si>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</si>
  <si>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</si>
  <si>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</si>
  <si>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</si>
  <si>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</si>
  <si>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</si>
  <si>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</si>
  <si>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</si>
  <si>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</si>
  <si>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</si>
  <si>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</si>
  <si>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</si>
  <si>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</si>
  <si>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</si>
  <si>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</si>
  <si>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</si>
  <si>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</si>
  <si>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</si>
  <si>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</si>
  <si>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</si>
  <si>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</si>
  <si>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</si>
  <si>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</si>
  <si>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</si>
  <si>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</si>
  <si>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</si>
  <si>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</si>
  <si>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</si>
  <si>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</si>
  <si>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</si>
  <si>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</si>
  <si>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</si>
  <si>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</si>
  <si>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</si>
  <si>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</si>
  <si>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</si>
  <si>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</si>
  <si>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</si>
  <si>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</si>
  <si>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</si>
  <si>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</si>
  <si>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</si>
  <si>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</si>
  <si>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</si>
  <si>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</si>
  <si>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</si>
  <si>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</si>
  <si>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</si>
  <si>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</si>
  <si>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</si>
  <si>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</si>
  <si>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</si>
  <si>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</si>
  <si>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</si>
  <si>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</si>
  <si>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</si>
  <si>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</si>
  <si>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</si>
  <si>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</si>
  <si>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</si>
  <si>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</si>
  <si>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</si>
  <si>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</si>
  <si>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</si>
  <si>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</si>
  <si>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</si>
  <si>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</si>
  <si>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</si>
  <si>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</si>
  <si>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</si>
  <si>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</si>
  <si>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</si>
  <si>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</si>
  <si>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</si>
  <si>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</si>
  <si>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</si>
  <si>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</si>
  <si>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</si>
  <si>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</si>
  <si>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</si>
  <si>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</si>
  <si>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</si>
  <si>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</si>
  <si>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</si>
  <si>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</si>
  <si>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</si>
  <si>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</si>
  <si>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</si>
  <si>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</si>
  <si>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</si>
  <si>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</si>
  <si>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</si>
  <si>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</si>
  <si>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</si>
  <si>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</si>
  <si>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</si>
  <si>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</si>
  <si>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</si>
  <si>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</si>
  <si>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</si>
  <si>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</si>
  <si>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</si>
  <si>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</si>
  <si>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</si>
  <si>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</si>
  <si>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</si>
  <si>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</si>
  <si>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</si>
  <si>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</si>
  <si>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</si>
  <si>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</si>
  <si>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</si>
  <si>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</si>
  <si>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</si>
  <si>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</si>
  <si>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</si>
  <si>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</si>
  <si>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</si>
  <si>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</si>
  <si>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</si>
  <si>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</si>
  <si>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</si>
  <si>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</si>
  <si>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</si>
  <si>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</si>
  <si>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</si>
  <si>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</si>
  <si>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</si>
  <si>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</si>
  <si>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</si>
  <si>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</si>
  <si>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</si>
  <si>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</si>
  <si>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</si>
  <si>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</si>
  <si>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</si>
  <si>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</si>
  <si>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</si>
  <si>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</si>
  <si>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</si>
  <si>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</si>
  <si>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</si>
  <si>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</si>
  <si>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</si>
  <si>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</si>
  <si>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</si>
  <si>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</si>
  <si>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</si>
  <si>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</si>
  <si>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</si>
  <si>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</si>
  <si>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</si>
  <si>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</si>
  <si>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</si>
  <si>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</si>
  <si>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</si>
  <si>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</si>
  <si>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</si>
  <si>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</si>
  <si>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</si>
  <si>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</si>
  <si>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</si>
  <si>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</si>
  <si>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</si>
  <si>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</si>
  <si>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</si>
  <si>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</si>
  <si>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</si>
  <si>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</si>
  <si>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</si>
  <si>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</si>
  <si>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</si>
  <si>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</si>
  <si>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</si>
  <si>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</si>
  <si>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</si>
  <si>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</si>
  <si>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</si>
  <si>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</si>
  <si>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</si>
  <si>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</si>
  <si>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</si>
  <si>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</si>
  <si>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</si>
  <si>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</si>
  <si>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</si>
  <si>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</si>
  <si>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</si>
  <si>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</si>
  <si>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</si>
  <si>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</si>
  <si>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</si>
  <si>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</si>
  <si>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</si>
  <si>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</si>
  <si>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</si>
  <si>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</si>
  <si>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</si>
  <si>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</si>
  <si>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</si>
  <si>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</si>
  <si>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</si>
  <si>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</si>
  <si>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</si>
  <si>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</si>
  <si>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</si>
  <si>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</si>
  <si>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</si>
  <si>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</si>
  <si>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</si>
  <si>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</si>
  <si>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</si>
  <si>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</si>
  <si>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</si>
  <si>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</si>
  <si>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</si>
  <si>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</si>
  <si>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</si>
  <si>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</si>
  <si>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</si>
  <si>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</si>
  <si>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</si>
  <si>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</si>
  <si>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</si>
  <si>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</si>
  <si>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</si>
  <si>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</si>
  <si>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</si>
  <si>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</si>
  <si>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</si>
  <si>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</si>
  <si>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</si>
  <si>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</si>
  <si>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</si>
  <si>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</si>
  <si>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</si>
  <si>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</si>
  <si>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</si>
  <si>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</si>
  <si>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</si>
  <si>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</si>
  <si>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</si>
  <si>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</si>
  <si>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</si>
  <si>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</si>
  <si>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</si>
  <si>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</si>
  <si>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</si>
  <si>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</si>
  <si>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</si>
  <si>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</si>
  <si>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</si>
  <si>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</si>
  <si>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</si>
  <si>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</si>
  <si>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</si>
  <si>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</si>
  <si>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</si>
  <si>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</si>
  <si>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</si>
  <si>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</si>
  <si>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</si>
  <si>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</si>
  <si>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</si>
  <si>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</si>
  <si>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</si>
  <si>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</si>
  <si>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</si>
  <si>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</si>
  <si>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</si>
  <si>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</si>
  <si>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</si>
  <si>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</si>
  <si>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</si>
  <si>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</si>
  <si>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</si>
  <si>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</si>
  <si>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</si>
  <si>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</si>
  <si>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</si>
  <si>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</si>
  <si>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</si>
  <si>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</si>
  <si>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</si>
  <si>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</si>
  <si>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</si>
  <si>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</si>
  <si>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</si>
  <si>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</si>
  <si>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</si>
  <si>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</si>
  <si>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</si>
  <si>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</si>
  <si>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</si>
  <si>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</si>
  <si>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</si>
  <si>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</si>
  <si>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</si>
  <si>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</si>
  <si>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</si>
  <si>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</si>
  <si>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</si>
  <si>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</si>
  <si>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</si>
  <si>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</si>
  <si>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</si>
  <si>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</si>
  <si>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</si>
  <si>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</si>
  <si>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</si>
  <si>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</si>
  <si>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</si>
  <si>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</si>
  <si>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</si>
  <si>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</si>
  <si>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</si>
  <si>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</si>
  <si>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</si>
  <si>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</si>
  <si>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</si>
  <si>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</si>
  <si>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</si>
  <si>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</si>
  <si>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</si>
  <si>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</si>
  <si>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</si>
  <si>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</si>
  <si>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</si>
  <si>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</si>
  <si>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</si>
  <si>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</si>
  <si>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</si>
  <si>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</si>
  <si>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</si>
  <si>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</si>
  <si>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</si>
  <si>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</si>
  <si>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</si>
  <si>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</si>
  <si>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</si>
  <si>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</si>
  <si>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</si>
  <si>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</si>
  <si>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</si>
  <si>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</si>
  <si>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</si>
  <si>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</si>
  <si>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</si>
  <si>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</si>
  <si>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</si>
  <si>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</si>
  <si>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</si>
  <si>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</si>
  <si>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</si>
  <si>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</si>
  <si>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</si>
  <si>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</si>
  <si>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</si>
  <si>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</si>
  <si>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</si>
  <si>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</si>
  <si>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</si>
  <si>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</si>
  <si>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</si>
  <si>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</si>
  <si>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</si>
  <si>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</si>
  <si>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</si>
  <si>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</si>
  <si>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</si>
  <si>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</si>
  <si>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</si>
  <si>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</si>
  <si>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</si>
  <si>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</si>
  <si>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</si>
  <si>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</si>
  <si>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</si>
  <si>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</si>
  <si>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</si>
  <si>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</si>
  <si>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</si>
  <si>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</si>
  <si>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</si>
  <si>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</si>
  <si>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</si>
  <si>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</si>
  <si>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</si>
  <si>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</si>
  <si>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</si>
  <si>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</si>
  <si>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</si>
  <si>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</si>
  <si>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</si>
  <si>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</si>
  <si>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</si>
  <si>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</si>
  <si>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</si>
  <si>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</si>
  <si>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</si>
  <si>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</si>
  <si>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</si>
  <si>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</si>
  <si>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</si>
  <si>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</si>
  <si>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</si>
  <si>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</si>
  <si>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</si>
  <si>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</si>
  <si>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</si>
  <si>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</si>
  <si>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</si>
  <si>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</si>
  <si>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</si>
  <si>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</si>
  <si>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</si>
  <si>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</si>
  <si>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</si>
  <si>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</si>
  <si>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</si>
  <si>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</si>
  <si>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</si>
  <si>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</si>
  <si>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</si>
  <si>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</si>
  <si>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</si>
  <si>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</si>
  <si>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</si>
  <si>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</si>
  <si>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</si>
  <si>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</si>
  <si>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</si>
  <si>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</si>
  <si>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</si>
  <si>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</si>
  <si>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</si>
  <si>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</si>
  <si>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</si>
  <si>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</si>
  <si>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</si>
  <si>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</si>
  <si>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</si>
  <si>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</si>
  <si>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</si>
  <si>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</si>
  <si>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</si>
  <si>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</si>
  <si>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</si>
  <si>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</si>
  <si>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</si>
  <si>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</si>
  <si>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</si>
  <si>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</si>
  <si>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</si>
  <si>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</si>
  <si>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</si>
  <si>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</si>
  <si>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</si>
  <si>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</si>
  <si>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</si>
  <si>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</si>
  <si>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</si>
  <si>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</si>
  <si>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</si>
  <si>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</si>
  <si>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</si>
  <si>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</si>
  <si>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</si>
  <si>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</si>
  <si>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</si>
  <si>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</si>
  <si>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</si>
  <si>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</si>
  <si>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</si>
  <si>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</si>
  <si>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</si>
  <si>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</si>
  <si>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</si>
  <si>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</si>
  <si>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</si>
  <si>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</si>
  <si>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</si>
  <si>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</si>
  <si>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</si>
  <si>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</si>
  <si>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</si>
  <si>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</si>
  <si>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</si>
  <si>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</si>
  <si>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</si>
  <si>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</si>
  <si>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</si>
  <si>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</si>
  <si>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</si>
  <si>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</si>
  <si>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</si>
  <si>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</si>
  <si>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</si>
  <si>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</si>
  <si>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</si>
  <si>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</si>
  <si>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</si>
  <si>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</si>
  <si>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</si>
  <si>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</si>
  <si>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</si>
  <si>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</si>
  <si>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</si>
  <si>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</si>
  <si>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</si>
  <si>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</si>
  <si>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</si>
  <si>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</si>
  <si>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</si>
  <si>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</si>
  <si>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</si>
  <si>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</si>
  <si>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</si>
  <si>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</si>
  <si>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</si>
  <si>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</si>
  <si>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</si>
  <si>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</si>
  <si>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</si>
  <si>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</si>
  <si>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</si>
  <si>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</si>
  <si>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</si>
  <si>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</si>
  <si>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</si>
  <si>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</si>
  <si>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</si>
  <si>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</si>
  <si>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</si>
  <si>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</si>
  <si>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</si>
  <si>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</si>
  <si>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</si>
  <si>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</si>
  <si>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</si>
  <si>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</si>
  <si>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</si>
  <si>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</si>
  <si>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</si>
  <si>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</si>
  <si>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</si>
  <si>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</si>
  <si>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</si>
  <si>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</si>
  <si>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</si>
  <si>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</si>
  <si>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</si>
  <si>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</si>
  <si>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</si>
  <si>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</si>
  <si>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</si>
  <si>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</si>
  <si>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</si>
  <si>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</si>
  <si>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</si>
  <si>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</si>
  <si>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</si>
  <si>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</si>
  <si>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</si>
  <si>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</si>
  <si>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</si>
  <si>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</si>
  <si>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</si>
  <si>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</si>
  <si>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</si>
  <si>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</si>
  <si>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</si>
  <si>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</si>
  <si>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</si>
  <si>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</si>
  <si>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</si>
  <si>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</si>
  <si>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</si>
  <si>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</si>
  <si>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</si>
  <si>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</si>
  <si>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</si>
  <si>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</si>
  <si>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</si>
  <si>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</si>
  <si>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</si>
  <si>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</si>
  <si>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</si>
  <si>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</si>
  <si>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</si>
  <si>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</si>
  <si>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</si>
  <si>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</si>
  <si>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</si>
  <si>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</si>
  <si>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</si>
  <si>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</si>
  <si>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</si>
  <si>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</si>
  <si>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</si>
  <si>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</si>
  <si>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</si>
  <si>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</si>
  <si>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</si>
  <si>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</si>
  <si>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</si>
  <si>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</si>
  <si>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</si>
  <si>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</si>
  <si>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</si>
  <si>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</si>
  <si>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</si>
  <si>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</si>
  <si>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</si>
  <si>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</si>
  <si>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</si>
  <si>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</si>
  <si>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</si>
  <si>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</si>
  <si>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</si>
  <si>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</si>
  <si>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</si>
  <si>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</si>
  <si>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</si>
  <si>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</si>
  <si>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</si>
  <si>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</si>
  <si>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</si>
  <si>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</si>
  <si>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</si>
  <si>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</si>
  <si>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</si>
  <si>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</si>
  <si>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</si>
  <si>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</si>
  <si>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</si>
  <si>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</si>
  <si>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</si>
  <si>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</si>
  <si>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</si>
  <si>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</si>
  <si>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</si>
  <si>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</si>
  <si>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</si>
  <si>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</si>
  <si>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</si>
  <si>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</si>
  <si>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</si>
  <si>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</si>
  <si>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</si>
  <si>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</si>
  <si>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</si>
  <si>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</si>
  <si>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</si>
  <si>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</si>
  <si>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</si>
  <si>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</si>
  <si>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</si>
  <si>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</si>
  <si>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</si>
  <si>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</si>
  <si>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</si>
  <si>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</si>
  <si>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</si>
  <si>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</si>
  <si>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</si>
  <si>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</si>
  <si>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</si>
  <si>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</si>
  <si>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</si>
  <si>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</si>
  <si>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</si>
  <si>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</si>
  <si>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</si>
  <si>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</si>
  <si>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</si>
  <si>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</si>
  <si>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</si>
  <si>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</si>
  <si>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</si>
  <si>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</si>
  <si>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</si>
  <si>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</si>
  <si>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</si>
  <si>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</si>
  <si>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</si>
  <si>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</si>
  <si>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</si>
  <si>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</si>
  <si>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</si>
  <si>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</si>
  <si>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</si>
  <si>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</si>
  <si>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</si>
  <si>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</si>
  <si>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</si>
  <si>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</si>
  <si>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</si>
  <si>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</si>
  <si>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</si>
  <si>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</si>
  <si>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</si>
  <si>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</si>
  <si>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</si>
  <si>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</si>
  <si>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</si>
  <si>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</si>
  <si>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</si>
  <si>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</si>
  <si>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</si>
  <si>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</si>
  <si>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</si>
  <si>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</si>
  <si>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</si>
  <si>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</si>
  <si>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</si>
  <si>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</si>
  <si>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</si>
  <si>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</si>
  <si>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</si>
  <si>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</si>
  <si>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</si>
  <si>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</si>
  <si>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</si>
  <si>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</si>
  <si>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</si>
  <si>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</si>
  <si>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</si>
  <si>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</si>
  <si>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</si>
  <si>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</si>
  <si>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</si>
  <si>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</si>
  <si>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</si>
  <si>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</si>
  <si>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</si>
  <si>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</si>
  <si>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</si>
  <si>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</si>
  <si>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</si>
  <si>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</si>
  <si>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</si>
  <si>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</si>
  <si>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</si>
  <si>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</si>
  <si>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</si>
  <si>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</si>
  <si>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</si>
  <si>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</si>
  <si>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</si>
  <si>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</si>
  <si>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</si>
  <si>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</si>
  <si>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</si>
  <si>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</si>
  <si>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</si>
  <si>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</si>
  <si>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</si>
  <si>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</si>
  <si>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</si>
  <si>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</si>
  <si>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</si>
  <si>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</si>
  <si>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12030</t>
  </si>
  <si>
    <t>PUURS</t>
  </si>
  <si>
    <t>Cultuurgrond (ha)</t>
  </si>
  <si>
    <t>Paarden&amp;pony's 200 - 600 kg</t>
  </si>
  <si>
    <t>Paarden&amp;pony's &lt; 200 kg</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</si>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</sst>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144424.72674157278</c:v>
                </c:pt>
                <c:pt idx="1">
                  <c:v>74667.22147820695</c:v>
                </c:pt>
                <c:pt idx="2">
                  <c:v>1523.1859999999999</c:v>
                </c:pt>
                <c:pt idx="3">
                  <c:v>7468.6856043280914</c:v>
                </c:pt>
                <c:pt idx="4">
                  <c:v>328129.41077262058</c:v>
                </c:pt>
                <c:pt idx="5">
                  <c:v>425438.81555177388</c:v>
                </c:pt>
                <c:pt idx="6">
                  <c:v>1706.3145210400919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9456"/>
        <c:axId val="182420992"/>
      </c:barChart>
      <c:catAx>
        <c:axId val="182419456"/>
        <c:scaling>
          <c:orientation val="minMax"/>
        </c:scaling>
        <c:axPos val="b"/>
        <c:numFmt formatCode="General" sourceLinked="0"/>
        <c:tickLblPos val="nextTo"/>
        <c:crossAx val="182420992"/>
        <c:crosses val="autoZero"/>
        <c:auto val="1"/>
        <c:lblAlgn val="ctr"/>
        <c:lblOffset val="100"/>
      </c:catAx>
      <c:valAx>
        <c:axId val="182420992"/>
        <c:scaling>
          <c:orientation val="minMax"/>
        </c:scaling>
        <c:axPos val="l"/>
        <c:majorGridlines/>
        <c:numFmt formatCode="#,##0" sourceLinked="1"/>
        <c:tickLblPos val="nextTo"/>
        <c:crossAx val="18241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144424.72674157278</c:v>
                </c:pt>
                <c:pt idx="1">
                  <c:v>74667.22147820695</c:v>
                </c:pt>
                <c:pt idx="2">
                  <c:v>1523.1859999999999</c:v>
                </c:pt>
                <c:pt idx="3">
                  <c:v>7468.6856043280914</c:v>
                </c:pt>
                <c:pt idx="4">
                  <c:v>328129.41077262058</c:v>
                </c:pt>
                <c:pt idx="5">
                  <c:v>425438.81555177388</c:v>
                </c:pt>
                <c:pt idx="6">
                  <c:v>1706.3145210400919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27374.36400217994</c:v>
                </c:pt>
                <c:pt idx="1">
                  <c:v>14756.669017673035</c:v>
                </c:pt>
                <c:pt idx="2">
                  <c:v>300.12358152629616</c:v>
                </c:pt>
                <c:pt idx="3">
                  <c:v>1717.8463270393734</c:v>
                </c:pt>
                <c:pt idx="4">
                  <c:v>65714.841054871096</c:v>
                </c:pt>
                <c:pt idx="5">
                  <c:v>107739.29589410863</c:v>
                </c:pt>
                <c:pt idx="6">
                  <c:v>436.18764563769003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27374.36400217994</c:v>
                </c:pt>
                <c:pt idx="1">
                  <c:v>14756.669017673035</c:v>
                </c:pt>
                <c:pt idx="2">
                  <c:v>300.12358152629616</c:v>
                </c:pt>
                <c:pt idx="3">
                  <c:v>1717.8463270393734</c:v>
                </c:pt>
                <c:pt idx="4">
                  <c:v>65714.841054871096</c:v>
                </c:pt>
                <c:pt idx="5">
                  <c:v>107739.29589410863</c:v>
                </c:pt>
                <c:pt idx="6">
                  <c:v>436.18764563769003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12030</v>
      </c>
      <c r="B6" s="398"/>
      <c r="C6" s="399"/>
    </row>
    <row r="7" spans="1:7" s="396" customFormat="1" ht="15.75" customHeight="1">
      <c r="A7" s="400" t="str">
        <f>txtMunicipality</f>
        <v>PUURS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6870</v>
      </c>
      <c r="C9" s="338">
        <v>7472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1148</v>
      </c>
    </row>
    <row r="15" spans="1:6">
      <c r="A15" s="1212" t="s">
        <v>184</v>
      </c>
      <c r="B15" s="335">
        <v>916</v>
      </c>
    </row>
    <row r="16" spans="1:6">
      <c r="A16" s="1212" t="s">
        <v>6</v>
      </c>
      <c r="B16" s="335">
        <v>495</v>
      </c>
    </row>
    <row r="17" spans="1:6">
      <c r="A17" s="1212" t="s">
        <v>7</v>
      </c>
      <c r="B17" s="335">
        <v>26</v>
      </c>
    </row>
    <row r="18" spans="1:6">
      <c r="A18" s="1212" t="s">
        <v>8</v>
      </c>
      <c r="B18" s="335">
        <v>229</v>
      </c>
    </row>
    <row r="19" spans="1:6">
      <c r="A19" s="1212" t="s">
        <v>9</v>
      </c>
      <c r="B19" s="335">
        <v>80</v>
      </c>
    </row>
    <row r="20" spans="1:6">
      <c r="A20" s="1212" t="s">
        <v>10</v>
      </c>
      <c r="B20" s="335">
        <v>67</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495</v>
      </c>
    </row>
    <row r="29" spans="1:6">
      <c r="A29" s="1213" t="s">
        <v>836</v>
      </c>
      <c r="B29" s="1213">
        <v>128</v>
      </c>
      <c r="C29" s="341"/>
      <c r="D29" s="341"/>
      <c r="E29" s="341"/>
      <c r="F29" s="341"/>
    </row>
    <row r="30" spans="1:6">
      <c r="A30" s="1208" t="s">
        <v>837</v>
      </c>
      <c r="B30" s="1208">
        <v>43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11720.1965325937</v>
      </c>
      <c r="E38" s="335">
        <v>4</v>
      </c>
      <c r="F38" s="335">
        <v>41448.557390163201</v>
      </c>
    </row>
    <row r="39" spans="1:6">
      <c r="A39" s="1212" t="s">
        <v>30</v>
      </c>
      <c r="B39" s="1212" t="s">
        <v>31</v>
      </c>
      <c r="C39" s="335">
        <v>5095</v>
      </c>
      <c r="D39" s="335">
        <v>97371491.500035405</v>
      </c>
      <c r="E39" s="335">
        <v>6818</v>
      </c>
      <c r="F39" s="335">
        <v>26726767.151669201</v>
      </c>
    </row>
    <row r="40" spans="1:6">
      <c r="A40" s="1212" t="s">
        <v>30</v>
      </c>
      <c r="B40" s="1212" t="s">
        <v>29</v>
      </c>
      <c r="C40" s="335">
        <v>0</v>
      </c>
      <c r="D40" s="335">
        <v>0</v>
      </c>
      <c r="E40" s="335">
        <v>0</v>
      </c>
      <c r="F40" s="335">
        <v>0</v>
      </c>
    </row>
    <row r="41" spans="1:6">
      <c r="A41" s="1212" t="s">
        <v>32</v>
      </c>
      <c r="B41" s="1212" t="s">
        <v>33</v>
      </c>
      <c r="C41" s="335">
        <v>46</v>
      </c>
      <c r="D41" s="335">
        <v>1853589.8215439699</v>
      </c>
      <c r="E41" s="335">
        <v>147</v>
      </c>
      <c r="F41" s="335">
        <v>10551664.014033301</v>
      </c>
    </row>
    <row r="42" spans="1:6">
      <c r="A42" s="1212" t="s">
        <v>32</v>
      </c>
      <c r="B42" s="1212" t="s">
        <v>34</v>
      </c>
      <c r="C42" s="335">
        <v>11</v>
      </c>
      <c r="D42" s="335">
        <v>111395876.926145</v>
      </c>
      <c r="E42" s="335">
        <v>12</v>
      </c>
      <c r="F42" s="335">
        <v>44156472.995513901</v>
      </c>
    </row>
    <row r="43" spans="1:6">
      <c r="A43" s="1212" t="s">
        <v>32</v>
      </c>
      <c r="B43" s="1212" t="s">
        <v>35</v>
      </c>
      <c r="C43" s="335">
        <v>0</v>
      </c>
      <c r="D43" s="335">
        <v>0</v>
      </c>
      <c r="E43" s="335">
        <v>0</v>
      </c>
      <c r="F43" s="335">
        <v>0</v>
      </c>
    </row>
    <row r="44" spans="1:6">
      <c r="A44" s="1212" t="s">
        <v>32</v>
      </c>
      <c r="B44" s="1212" t="s">
        <v>36</v>
      </c>
      <c r="C44" s="335">
        <v>3</v>
      </c>
      <c r="D44" s="335">
        <v>271770.64869741403</v>
      </c>
      <c r="E44" s="335">
        <v>14</v>
      </c>
      <c r="F44" s="335">
        <v>1204454.00999916</v>
      </c>
    </row>
    <row r="45" spans="1:6">
      <c r="A45" s="1212" t="s">
        <v>32</v>
      </c>
      <c r="B45" s="1212" t="s">
        <v>37</v>
      </c>
      <c r="C45" s="335">
        <v>3</v>
      </c>
      <c r="D45" s="335">
        <v>127368.265622001</v>
      </c>
      <c r="E45" s="335">
        <v>3</v>
      </c>
      <c r="F45" s="335">
        <v>33137.233693615002</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33</v>
      </c>
      <c r="D48" s="335">
        <v>31476479.3085238</v>
      </c>
      <c r="E48" s="335">
        <v>43</v>
      </c>
      <c r="F48" s="335">
        <v>42151101.440960102</v>
      </c>
    </row>
    <row r="49" spans="1:6">
      <c r="A49" s="1212" t="s">
        <v>32</v>
      </c>
      <c r="B49" s="1212" t="s">
        <v>40</v>
      </c>
      <c r="C49" s="335">
        <v>0</v>
      </c>
      <c r="D49" s="335">
        <v>0</v>
      </c>
      <c r="E49" s="335">
        <v>0</v>
      </c>
      <c r="F49" s="335">
        <v>0</v>
      </c>
    </row>
    <row r="50" spans="1:6">
      <c r="A50" s="1212" t="s">
        <v>32</v>
      </c>
      <c r="B50" s="1212" t="s">
        <v>41</v>
      </c>
      <c r="C50" s="335">
        <v>15</v>
      </c>
      <c r="D50" s="335">
        <v>29749771.747244101</v>
      </c>
      <c r="E50" s="335">
        <v>15</v>
      </c>
      <c r="F50" s="335">
        <v>14682511.723931599</v>
      </c>
    </row>
    <row r="51" spans="1:6">
      <c r="A51" s="1212" t="s">
        <v>42</v>
      </c>
      <c r="B51" s="1212" t="s">
        <v>43</v>
      </c>
      <c r="C51" s="335">
        <v>6</v>
      </c>
      <c r="D51" s="335">
        <v>161706.63885977201</v>
      </c>
      <c r="E51" s="335">
        <v>38</v>
      </c>
      <c r="F51" s="335">
        <v>654683.06495102798</v>
      </c>
    </row>
    <row r="52" spans="1:6">
      <c r="A52" s="1212" t="s">
        <v>42</v>
      </c>
      <c r="B52" s="1212" t="s">
        <v>29</v>
      </c>
      <c r="C52" s="335">
        <v>4</v>
      </c>
      <c r="D52" s="335">
        <v>589084.44427478896</v>
      </c>
      <c r="E52" s="335">
        <v>14</v>
      </c>
      <c r="F52" s="335">
        <v>207962.61839224101</v>
      </c>
    </row>
    <row r="53" spans="1:6">
      <c r="A53" s="1212" t="s">
        <v>44</v>
      </c>
      <c r="B53" s="1212" t="s">
        <v>45</v>
      </c>
      <c r="C53" s="335">
        <v>118</v>
      </c>
      <c r="D53" s="335">
        <v>3117383.7021265398</v>
      </c>
      <c r="E53" s="335">
        <v>220</v>
      </c>
      <c r="F53" s="335">
        <v>833769.52908779797</v>
      </c>
    </row>
    <row r="54" spans="1:6">
      <c r="A54" s="1212" t="s">
        <v>46</v>
      </c>
      <c r="B54" s="1212" t="s">
        <v>47</v>
      </c>
      <c r="C54" s="335">
        <v>0</v>
      </c>
      <c r="D54" s="335">
        <v>0</v>
      </c>
      <c r="E54" s="335">
        <v>1</v>
      </c>
      <c r="F54" s="335">
        <v>1523186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37</v>
      </c>
      <c r="D57" s="335">
        <v>2086297.90416208</v>
      </c>
      <c r="E57" s="335">
        <v>65</v>
      </c>
      <c r="F57" s="335">
        <v>3140369.5783747998</v>
      </c>
    </row>
    <row r="58" spans="1:6">
      <c r="A58" s="1212" t="s">
        <v>49</v>
      </c>
      <c r="B58" s="1212" t="s">
        <v>51</v>
      </c>
      <c r="C58" s="335">
        <v>23</v>
      </c>
      <c r="D58" s="335">
        <v>2668043.3150919499</v>
      </c>
      <c r="E58" s="335">
        <v>40</v>
      </c>
      <c r="F58" s="335">
        <v>1624664.3739617399</v>
      </c>
    </row>
    <row r="59" spans="1:6">
      <c r="A59" s="1212" t="s">
        <v>49</v>
      </c>
      <c r="B59" s="1212" t="s">
        <v>52</v>
      </c>
      <c r="C59" s="335">
        <v>89</v>
      </c>
      <c r="D59" s="335">
        <v>5206686.1726211105</v>
      </c>
      <c r="E59" s="335">
        <v>160</v>
      </c>
      <c r="F59" s="335">
        <v>7043539.2044931501</v>
      </c>
    </row>
    <row r="60" spans="1:6">
      <c r="A60" s="1212" t="s">
        <v>49</v>
      </c>
      <c r="B60" s="1212" t="s">
        <v>53</v>
      </c>
      <c r="C60" s="335">
        <v>43</v>
      </c>
      <c r="D60" s="335">
        <v>2416619.2695999001</v>
      </c>
      <c r="E60" s="335">
        <v>118</v>
      </c>
      <c r="F60" s="335">
        <v>2366053.1480174898</v>
      </c>
    </row>
    <row r="61" spans="1:6">
      <c r="A61" s="1212" t="s">
        <v>49</v>
      </c>
      <c r="B61" s="1212" t="s">
        <v>54</v>
      </c>
      <c r="C61" s="335">
        <v>140</v>
      </c>
      <c r="D61" s="335">
        <v>14446569.939442201</v>
      </c>
      <c r="E61" s="335">
        <v>218</v>
      </c>
      <c r="F61" s="335">
        <v>9684420.3316153605</v>
      </c>
    </row>
    <row r="62" spans="1:6">
      <c r="A62" s="1212" t="s">
        <v>49</v>
      </c>
      <c r="B62" s="1212" t="s">
        <v>55</v>
      </c>
      <c r="C62" s="335">
        <v>23</v>
      </c>
      <c r="D62" s="335">
        <v>2339536.3305696798</v>
      </c>
      <c r="E62" s="335">
        <v>24</v>
      </c>
      <c r="F62" s="335">
        <v>486447.63161542203</v>
      </c>
    </row>
    <row r="63" spans="1:6">
      <c r="A63" s="1212" t="s">
        <v>49</v>
      </c>
      <c r="B63" s="1212" t="s">
        <v>29</v>
      </c>
      <c r="C63" s="335">
        <v>99</v>
      </c>
      <c r="D63" s="335">
        <v>7660666.0647093002</v>
      </c>
      <c r="E63" s="335">
        <v>107</v>
      </c>
      <c r="F63" s="335">
        <v>7579246.6521993801</v>
      </c>
    </row>
    <row r="64" spans="1:6">
      <c r="A64" s="1212" t="s">
        <v>56</v>
      </c>
      <c r="B64" s="1212" t="s">
        <v>57</v>
      </c>
      <c r="C64" s="335">
        <v>0</v>
      </c>
      <c r="D64" s="335">
        <v>0</v>
      </c>
      <c r="E64" s="335">
        <v>0</v>
      </c>
      <c r="F64" s="335">
        <v>0</v>
      </c>
    </row>
    <row r="65" spans="1:6">
      <c r="A65" s="1212" t="s">
        <v>56</v>
      </c>
      <c r="B65" s="1212" t="s">
        <v>29</v>
      </c>
      <c r="C65" s="335">
        <v>1</v>
      </c>
      <c r="D65" s="335">
        <v>30174.180137005402</v>
      </c>
      <c r="E65" s="335">
        <v>1</v>
      </c>
      <c r="F65" s="335">
        <v>6211.7959626354004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11</v>
      </c>
      <c r="D68" s="335">
        <v>4878942.2903061304</v>
      </c>
      <c r="E68" s="335">
        <v>36</v>
      </c>
      <c r="F68" s="335">
        <v>2354862.0789353801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258324486</v>
      </c>
      <c r="E73" s="335">
        <v>262990277.49462846</v>
      </c>
    </row>
    <row r="74" spans="1:6">
      <c r="A74" s="1212" t="s">
        <v>64</v>
      </c>
      <c r="B74" s="1212" t="s">
        <v>727</v>
      </c>
      <c r="C74" s="1212" t="s">
        <v>728</v>
      </c>
      <c r="D74" s="335">
        <v>40745329.025569238</v>
      </c>
      <c r="E74" s="335">
        <v>38390959.838018499</v>
      </c>
    </row>
    <row r="75" spans="1:6">
      <c r="A75" s="1212" t="s">
        <v>65</v>
      </c>
      <c r="B75" s="1212" t="s">
        <v>725</v>
      </c>
      <c r="C75" s="1212" t="s">
        <v>729</v>
      </c>
      <c r="D75" s="335">
        <v>66531686</v>
      </c>
      <c r="E75" s="335">
        <v>66654712.916097566</v>
      </c>
    </row>
    <row r="76" spans="1:6">
      <c r="A76" s="1212" t="s">
        <v>65</v>
      </c>
      <c r="B76" s="1212" t="s">
        <v>727</v>
      </c>
      <c r="C76" s="1212" t="s">
        <v>730</v>
      </c>
      <c r="D76" s="335">
        <v>9531319.025569234</v>
      </c>
      <c r="E76" s="335">
        <v>9027822.8102678396</v>
      </c>
    </row>
    <row r="77" spans="1:6">
      <c r="A77" s="1212" t="s">
        <v>66</v>
      </c>
      <c r="B77" s="1212" t="s">
        <v>725</v>
      </c>
      <c r="C77" s="1212" t="s">
        <v>731</v>
      </c>
      <c r="D77" s="335">
        <v>68785045</v>
      </c>
      <c r="E77" s="335">
        <v>74617012.766985089</v>
      </c>
    </row>
    <row r="78" spans="1:6">
      <c r="A78" s="1208" t="s">
        <v>66</v>
      </c>
      <c r="B78" s="1208" t="s">
        <v>727</v>
      </c>
      <c r="C78" s="1208" t="s">
        <v>732</v>
      </c>
      <c r="D78" s="1208">
        <v>8646574</v>
      </c>
      <c r="E78" s="1208">
        <v>9950154.5829242356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450787.94886153005</v>
      </c>
      <c r="C83" s="335">
        <v>445349.14576374175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12697.066414936056</v>
      </c>
    </row>
    <row r="91" spans="1:6">
      <c r="A91" s="1212" t="s">
        <v>68</v>
      </c>
      <c r="B91" s="335">
        <v>3249.9667613483989</v>
      </c>
    </row>
    <row r="92" spans="1:6">
      <c r="A92" s="1208" t="s">
        <v>69</v>
      </c>
      <c r="B92" s="338">
        <v>5941.3139529098662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3477</v>
      </c>
    </row>
    <row r="98" spans="1:6">
      <c r="A98" s="1212" t="s">
        <v>72</v>
      </c>
      <c r="B98" s="335">
        <v>9</v>
      </c>
    </row>
    <row r="99" spans="1:6">
      <c r="A99" s="1212" t="s">
        <v>73</v>
      </c>
      <c r="B99" s="335">
        <v>46</v>
      </c>
    </row>
    <row r="100" spans="1:6">
      <c r="A100" s="1212" t="s">
        <v>74</v>
      </c>
      <c r="B100" s="335">
        <v>346</v>
      </c>
    </row>
    <row r="101" spans="1:6">
      <c r="A101" s="1212" t="s">
        <v>75</v>
      </c>
      <c r="B101" s="335">
        <v>50</v>
      </c>
    </row>
    <row r="102" spans="1:6">
      <c r="A102" s="1212" t="s">
        <v>76</v>
      </c>
      <c r="B102" s="335">
        <v>70</v>
      </c>
    </row>
    <row r="103" spans="1:6">
      <c r="A103" s="1212" t="s">
        <v>77</v>
      </c>
      <c r="B103" s="335">
        <v>102</v>
      </c>
    </row>
    <row r="104" spans="1:6">
      <c r="A104" s="1212" t="s">
        <v>78</v>
      </c>
      <c r="B104" s="335">
        <v>1915</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29</v>
      </c>
      <c r="C123" s="335">
        <v>29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110</v>
      </c>
    </row>
    <row r="130" spans="1:6">
      <c r="A130" s="1212" t="s">
        <v>295</v>
      </c>
      <c r="B130" s="335">
        <v>1</v>
      </c>
    </row>
    <row r="131" spans="1:6">
      <c r="A131" s="1212" t="s">
        <v>296</v>
      </c>
      <c r="B131" s="335">
        <v>3</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191707.8922985238</v>
      </c>
      <c r="C3" s="43" t="s">
        <v>170</v>
      </c>
      <c r="D3" s="43"/>
      <c r="E3" s="156"/>
      <c r="F3" s="43"/>
      <c r="G3" s="43"/>
      <c r="H3" s="43"/>
      <c r="I3" s="43"/>
      <c r="J3" s="43"/>
      <c r="K3" s="96"/>
    </row>
    <row r="4" spans="1:11">
      <c r="A4" s="366" t="s">
        <v>171</v>
      </c>
      <c r="B4" s="49">
        <f>IF(ISERROR('SEAP template'!B69),0,'SEAP template'!B69)</f>
        <v>36508.097129194321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3474.340588235294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0.19703672534168262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4963.3436974789911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20885.357142857141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1523.1859999999999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1523.1859999999999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0.19703672534168262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300.12358152629616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26726.767151669199</v>
      </c>
      <c r="C5" s="17">
        <f>IF(ISERROR('Eigen informatie GS &amp; warmtenet'!B57),0,'Eigen informatie GS &amp; warmtenet'!B57)</f>
        <v>0</v>
      </c>
      <c r="D5" s="30">
        <f>(SUM(HH_hh_gas_kWh,HH_rest_gas_kWh)/1000)*0.902</f>
        <v>87829.085333031937</v>
      </c>
      <c r="E5" s="17">
        <f>B46*B57</f>
        <v>2769.7739085905391</v>
      </c>
      <c r="F5" s="17">
        <f>B51*B62</f>
        <v>11601.620228454989</v>
      </c>
      <c r="G5" s="18"/>
      <c r="H5" s="17"/>
      <c r="I5" s="17"/>
      <c r="J5" s="17">
        <f>B50*B61+C50*C61</f>
        <v>0</v>
      </c>
      <c r="K5" s="17"/>
      <c r="L5" s="17"/>
      <c r="M5" s="17"/>
      <c r="N5" s="17">
        <f>B48*B59+C48*C59</f>
        <v>11286.61002514439</v>
      </c>
      <c r="O5" s="17">
        <f>B69*B70*B71</f>
        <v>217.30333333333337</v>
      </c>
      <c r="P5" s="17">
        <f>B77*B78*B79/1000-B77*B78*B79/1000/B80</f>
        <v>743.6</v>
      </c>
    </row>
    <row r="6" spans="1:16">
      <c r="A6" s="16" t="s">
        <v>634</v>
      </c>
      <c r="B6" s="831">
        <f>kWh_PV_kleiner_dan_10kW</f>
        <v>3249.9667613483989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29976.733913017597</v>
      </c>
      <c r="C8" s="21">
        <f>C5</f>
        <v>0</v>
      </c>
      <c r="D8" s="21">
        <f>D5</f>
        <v>87829.085333031937</v>
      </c>
      <c r="E8" s="21">
        <f>E5</f>
        <v>2769.7739085905391</v>
      </c>
      <c r="F8" s="21">
        <f>F5</f>
        <v>11601.620228454989</v>
      </c>
      <c r="G8" s="21"/>
      <c r="H8" s="21"/>
      <c r="I8" s="21"/>
      <c r="J8" s="21">
        <f>J5</f>
        <v>0</v>
      </c>
      <c r="K8" s="21"/>
      <c r="L8" s="21">
        <f>L5</f>
        <v>0</v>
      </c>
      <c r="M8" s="21">
        <f>M5</f>
        <v>0</v>
      </c>
      <c r="N8" s="21">
        <f>N5</f>
        <v>11286.61002514439</v>
      </c>
      <c r="O8" s="21">
        <f>O5</f>
        <v>217.30333333333337</v>
      </c>
      <c r="P8" s="21">
        <f>P5</f>
        <v>743.6</v>
      </c>
    </row>
    <row r="9" spans="1:16">
      <c r="B9" s="19"/>
      <c r="C9" s="19"/>
      <c r="D9" s="261"/>
      <c r="E9" s="19"/>
      <c r="F9" s="19"/>
      <c r="G9" s="19"/>
      <c r="H9" s="19"/>
      <c r="I9" s="19"/>
      <c r="J9" s="19"/>
      <c r="K9" s="19"/>
      <c r="L9" s="19"/>
      <c r="M9" s="19"/>
      <c r="N9" s="19"/>
      <c r="O9" s="19"/>
      <c r="P9" s="19"/>
    </row>
    <row r="10" spans="1:16">
      <c r="A10" s="24" t="s">
        <v>214</v>
      </c>
      <c r="B10" s="25">
        <f ca="1">'EF ele_warmte'!B12</f>
        <v>0.19703672534168262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5906.5174866599509</v>
      </c>
      <c r="C12" s="23">
        <f ca="1">C10*C8</f>
        <v>0</v>
      </c>
      <c r="D12" s="23">
        <f>D8*D10</f>
        <v>17741.475237272451</v>
      </c>
      <c r="E12" s="23">
        <f>E10*E8</f>
        <v>628.73867725005243</v>
      </c>
      <c r="F12" s="23">
        <f>F10*F8</f>
        <v>3097.6326009974823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3477</v>
      </c>
      <c r="C18" s="168" t="s">
        <v>111</v>
      </c>
      <c r="D18" s="230"/>
      <c r="E18" s="15"/>
    </row>
    <row r="19" spans="1:7">
      <c r="A19" s="173" t="s">
        <v>72</v>
      </c>
      <c r="B19" s="37">
        <f>aantalw2001_ander</f>
        <v>9</v>
      </c>
      <c r="C19" s="168" t="s">
        <v>111</v>
      </c>
      <c r="D19" s="231"/>
      <c r="E19" s="15"/>
    </row>
    <row r="20" spans="1:7">
      <c r="A20" s="173" t="s">
        <v>73</v>
      </c>
      <c r="B20" s="37">
        <f>aantalw2001_propaan</f>
        <v>46</v>
      </c>
      <c r="C20" s="169">
        <f>IF(ISERROR(B20/SUM($B$20,$B$21,$B$22)*100),0,B20/SUM($B$20,$B$21,$B$22)*100)</f>
        <v>10.407239819004525</v>
      </c>
      <c r="D20" s="231"/>
      <c r="E20" s="15"/>
    </row>
    <row r="21" spans="1:7">
      <c r="A21" s="173" t="s">
        <v>74</v>
      </c>
      <c r="B21" s="37">
        <f>aantalw2001_elektriciteit</f>
        <v>346</v>
      </c>
      <c r="C21" s="169">
        <f>IF(ISERROR(B21/SUM($B$20,$B$21,$B$22)*100),0,B21/SUM($B$20,$B$21,$B$22)*100)</f>
        <v>78.280542986425345</v>
      </c>
      <c r="D21" s="231"/>
      <c r="E21" s="15"/>
    </row>
    <row r="22" spans="1:7">
      <c r="A22" s="173" t="s">
        <v>75</v>
      </c>
      <c r="B22" s="37">
        <f>aantalw2001_hout</f>
        <v>50</v>
      </c>
      <c r="C22" s="169">
        <f>IF(ISERROR(B22/SUM($B$20,$B$21,$B$22)*100),0,B22/SUM($B$20,$B$21,$B$22)*100)</f>
        <v>11.312217194570136</v>
      </c>
      <c r="D22" s="231"/>
      <c r="E22" s="15"/>
    </row>
    <row r="23" spans="1:7">
      <c r="A23" s="173" t="s">
        <v>76</v>
      </c>
      <c r="B23" s="37">
        <f>aantalw2001_niet_gespec</f>
        <v>70</v>
      </c>
      <c r="C23" s="168" t="s">
        <v>111</v>
      </c>
      <c r="D23" s="230"/>
      <c r="E23" s="15"/>
    </row>
    <row r="24" spans="1:7">
      <c r="A24" s="173" t="s">
        <v>77</v>
      </c>
      <c r="B24" s="37">
        <f>aantalw2001_steenkool</f>
        <v>102</v>
      </c>
      <c r="C24" s="168" t="s">
        <v>111</v>
      </c>
      <c r="D24" s="231"/>
      <c r="E24" s="15"/>
    </row>
    <row r="25" spans="1:7">
      <c r="A25" s="173" t="s">
        <v>78</v>
      </c>
      <c r="B25" s="37">
        <f>aantalw2001_stookolie</f>
        <v>1915</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6870</v>
      </c>
      <c r="C28" s="36"/>
      <c r="D28" s="230"/>
    </row>
    <row r="29" spans="1:7" s="15" customFormat="1">
      <c r="A29" s="232" t="s">
        <v>746</v>
      </c>
      <c r="B29" s="37">
        <f>SUM(HH_hh_gas_aantal,HH_rest_gas_aantal)</f>
        <v>5095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5095</v>
      </c>
      <c r="C32" s="169">
        <f>IF(ISERROR(B32/SUM($B$32,$B$34,$B$35,$B$36,$B$38,$B$39)*100),0,B32/SUM($B$32,$B$34,$B$35,$B$36,$B$38,$B$39)*100)</f>
        <v>74.586444151661539</v>
      </c>
      <c r="D32" s="235"/>
      <c r="G32" s="15"/>
    </row>
    <row r="33" spans="1:7">
      <c r="A33" s="173" t="s">
        <v>72</v>
      </c>
      <c r="B33" s="34" t="s">
        <v>111</v>
      </c>
      <c r="C33" s="169"/>
      <c r="D33" s="235"/>
      <c r="G33" s="15"/>
    </row>
    <row r="34" spans="1:7">
      <c r="A34" s="173" t="s">
        <v>73</v>
      </c>
      <c r="B34" s="33">
        <f>IF((($B$28-$B$32-$B$39-$B$77-$B$38)*C20/100)&lt;0,0,($B$28-$B$32-$B$39-$B$77-$B$38)*C20/100)</f>
        <v>132.9212669683258</v>
      </c>
      <c r="C34" s="169">
        <f>IF(ISERROR(B34/SUM($B$32,$B$34,$B$35,$B$36,$B$38,$B$39)*100),0,B34/SUM($B$32,$B$34,$B$35,$B$36,$B$38,$B$39)*100)</f>
        <v>1.9458537105595926</v>
      </c>
      <c r="D34" s="235"/>
      <c r="G34" s="15"/>
    </row>
    <row r="35" spans="1:7">
      <c r="A35" s="173" t="s">
        <v>74</v>
      </c>
      <c r="B35" s="33">
        <f>IF((($B$28-$B$32-$B$39-$B$77-$B$38)*C21/100)&lt;0,0,($B$28-$B$32-$B$39-$B$77-$B$38)*C21/100)</f>
        <v>999.79909502262456</v>
      </c>
      <c r="C35" s="169">
        <f>IF(ISERROR(B35/SUM($B$32,$B$34,$B$35,$B$36,$B$38,$B$39)*100),0,B35/SUM($B$32,$B$34,$B$35,$B$36,$B$38,$B$39)*100)</f>
        <v>14.636203996817807</v>
      </c>
      <c r="D35" s="235"/>
      <c r="G35" s="15"/>
    </row>
    <row r="36" spans="1:7">
      <c r="A36" s="173" t="s">
        <v>75</v>
      </c>
      <c r="B36" s="33">
        <f>IF((($B$28-$B$32-$B$39-$B$77-$B$38)*C22/100)&lt;0,0,($B$28-$B$32-$B$39-$B$77-$B$38)*C22/100)</f>
        <v>144.47963800904981</v>
      </c>
      <c r="C36" s="169">
        <f>IF(ISERROR(B36/SUM($B$32,$B$34,$B$35,$B$36,$B$38,$B$39)*100),0,B36/SUM($B$32,$B$34,$B$35,$B$36,$B$38,$B$39)*100)</f>
        <v>2.1150583810430357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458.79999999999995</v>
      </c>
      <c r="C39" s="169">
        <f>IF(ISERROR(B39/SUM($B$32,$B$34,$B$35,$B$36,$B$38,$B$39)*100),0,B39/SUM($B$32,$B$34,$B$35,$B$36,$B$38,$B$39)*100)</f>
        <v>6.7164397599180194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5095</v>
      </c>
      <c r="C44" s="34" t="s">
        <v>111</v>
      </c>
      <c r="D44" s="176"/>
    </row>
    <row r="45" spans="1:7">
      <c r="A45" s="173" t="s">
        <v>72</v>
      </c>
      <c r="B45" s="33" t="str">
        <f t="shared" si="0"/>
        <v>-</v>
      </c>
      <c r="C45" s="34" t="s">
        <v>111</v>
      </c>
      <c r="D45" s="176"/>
    </row>
    <row r="46" spans="1:7">
      <c r="A46" s="173" t="s">
        <v>73</v>
      </c>
      <c r="B46" s="33">
        <f t="shared" si="0"/>
        <v>132.9212669683258</v>
      </c>
      <c r="C46" s="34" t="s">
        <v>111</v>
      </c>
      <c r="D46" s="176"/>
    </row>
    <row r="47" spans="1:7">
      <c r="A47" s="173" t="s">
        <v>74</v>
      </c>
      <c r="B47" s="33">
        <f t="shared" si="0"/>
        <v>999.79909502262456</v>
      </c>
      <c r="C47" s="34" t="s">
        <v>111</v>
      </c>
      <c r="D47" s="176"/>
    </row>
    <row r="48" spans="1:7">
      <c r="A48" s="173" t="s">
        <v>75</v>
      </c>
      <c r="B48" s="33">
        <f t="shared" si="0"/>
        <v>144.47963800904981</v>
      </c>
      <c r="C48" s="33">
        <f>B48*10</f>
        <v>1444.7963800904981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458.79999999999995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31924.740920277342</v>
      </c>
      <c r="C5" s="17">
        <f>IF(ISERROR('Eigen informatie GS &amp; warmtenet'!B58),0,'Eigen informatie GS &amp; warmtenet'!B58)</f>
        <v>0</v>
      </c>
      <c r="D5" s="30">
        <f>SUM(D6:D12)</f>
        <v>33215.62593456899</v>
      </c>
      <c r="E5" s="17">
        <f>SUM(E6:E12)</f>
        <v>380.98910870318656</v>
      </c>
      <c r="F5" s="17">
        <f>SUM(F6:F12)</f>
        <v>6255.7364902674581</v>
      </c>
      <c r="G5" s="18"/>
      <c r="H5" s="17"/>
      <c r="I5" s="17"/>
      <c r="J5" s="17">
        <f>SUM(J6:J12)</f>
        <v>0</v>
      </c>
      <c r="K5" s="17"/>
      <c r="L5" s="17"/>
      <c r="M5" s="17"/>
      <c r="N5" s="17">
        <f>SUM(N6:N12)</f>
        <v>2831.3656910566278</v>
      </c>
      <c r="O5" s="17">
        <f>B38*B39*B40</f>
        <v>1.5633333333333335</v>
      </c>
      <c r="P5" s="17">
        <f>B46*B47*B48/1000-B46*B47*B48/1000/B49</f>
        <v>57.2</v>
      </c>
      <c r="R5" s="32"/>
    </row>
    <row r="6" spans="1:18">
      <c r="A6" s="32" t="s">
        <v>54</v>
      </c>
      <c r="B6" s="37">
        <f>B26</f>
        <v>9684.4203316153598</v>
      </c>
      <c r="C6" s="33"/>
      <c r="D6" s="37">
        <f>IF(ISERROR(TER_kantoor_gas_kWh/1000),0,TER_kantoor_gas_kWh/1000)*0.902</f>
        <v>13030.806085376866</v>
      </c>
      <c r="E6" s="33">
        <f>$C$26*'E Balans VL '!I12/100/3.6*1000000</f>
        <v>37.626023299570932</v>
      </c>
      <c r="F6" s="33">
        <f>$C$26*('E Balans VL '!L12+'E Balans VL '!N12)/100/3.6*1000000</f>
        <v>1472.91221123931</v>
      </c>
      <c r="G6" s="34"/>
      <c r="H6" s="33"/>
      <c r="I6" s="33"/>
      <c r="J6" s="33">
        <f>$C$26*('E Balans VL '!D12+'E Balans VL '!E12)/100/3.6*1000000</f>
        <v>0</v>
      </c>
      <c r="K6" s="33"/>
      <c r="L6" s="33"/>
      <c r="M6" s="33"/>
      <c r="N6" s="33">
        <f>$C$26*'E Balans VL '!Y12/100/3.6*1000000</f>
        <v>5.3372757677044733</v>
      </c>
      <c r="O6" s="33"/>
      <c r="P6" s="33"/>
      <c r="R6" s="32"/>
    </row>
    <row r="7" spans="1:18">
      <c r="A7" s="32" t="s">
        <v>53</v>
      </c>
      <c r="B7" s="37">
        <f t="shared" ref="B7:B12" si="0">B27</f>
        <v>2366.05314801749</v>
      </c>
      <c r="C7" s="33"/>
      <c r="D7" s="37">
        <f>IF(ISERROR(TER_horeca_gas_kWh/1000),0,TER_horeca_gas_kWh/1000)*0.902</f>
        <v>2179.7905811791102</v>
      </c>
      <c r="E7" s="33">
        <f>$C$27*'E Balans VL '!I9/100/3.6*1000000</f>
        <v>133.28040640562992</v>
      </c>
      <c r="F7" s="33">
        <f>$C$27*('E Balans VL '!L9+'E Balans VL '!N9)/100/3.6*1000000</f>
        <v>682.22807517797025</v>
      </c>
      <c r="G7" s="34"/>
      <c r="H7" s="33"/>
      <c r="I7" s="33"/>
      <c r="J7" s="33">
        <f>$C$27*('E Balans VL '!D9+'E Balans VL '!E9)/100/3.6*1000000</f>
        <v>0</v>
      </c>
      <c r="K7" s="33"/>
      <c r="L7" s="33"/>
      <c r="M7" s="33"/>
      <c r="N7" s="33">
        <f>$C$27*'E Balans VL '!Y9/100/3.6*1000000</f>
        <v>0.65325497899865703</v>
      </c>
      <c r="O7" s="33"/>
      <c r="P7" s="33"/>
      <c r="R7" s="32"/>
    </row>
    <row r="8" spans="1:18">
      <c r="A8" s="6" t="s">
        <v>52</v>
      </c>
      <c r="B8" s="37">
        <f t="shared" si="0"/>
        <v>7043.5392044931505</v>
      </c>
      <c r="C8" s="33"/>
      <c r="D8" s="37">
        <f>IF(ISERROR(TER_handel_gas_kWh/1000),0,TER_handel_gas_kWh/1000)*0.902</f>
        <v>4696.4309277042412</v>
      </c>
      <c r="E8" s="33">
        <f>$C$28*'E Balans VL '!I13/100/3.6*1000000</f>
        <v>101.52129628816144</v>
      </c>
      <c r="F8" s="33">
        <f>$C$28*('E Balans VL '!L13+'E Balans VL '!N13)/100/3.6*1000000</f>
        <v>1223.6267927797771</v>
      </c>
      <c r="G8" s="34"/>
      <c r="H8" s="33"/>
      <c r="I8" s="33"/>
      <c r="J8" s="33">
        <f>$C$28*('E Balans VL '!D13+'E Balans VL '!E13)/100/3.6*1000000</f>
        <v>0</v>
      </c>
      <c r="K8" s="33"/>
      <c r="L8" s="33"/>
      <c r="M8" s="33"/>
      <c r="N8" s="33">
        <f>$C$28*'E Balans VL '!Y13/100/3.6*1000000</f>
        <v>21.103227559598366</v>
      </c>
      <c r="O8" s="33"/>
      <c r="P8" s="33"/>
      <c r="R8" s="32"/>
    </row>
    <row r="9" spans="1:18">
      <c r="A9" s="32" t="s">
        <v>51</v>
      </c>
      <c r="B9" s="37">
        <f t="shared" si="0"/>
        <v>1624.66437396174</v>
      </c>
      <c r="C9" s="33"/>
      <c r="D9" s="37">
        <f>IF(ISERROR(TER_gezond_gas_kWh/1000),0,TER_gezond_gas_kWh/1000)*0.902</f>
        <v>2406.575070212939</v>
      </c>
      <c r="E9" s="33">
        <f>$C$29*'E Balans VL '!I10/100/3.6*1000000</f>
        <v>1.7355626489325522</v>
      </c>
      <c r="F9" s="33">
        <f>$C$29*('E Balans VL '!L10+'E Balans VL '!N10)/100/3.6*1000000</f>
        <v>265.03213479630836</v>
      </c>
      <c r="G9" s="34"/>
      <c r="H9" s="33"/>
      <c r="I9" s="33"/>
      <c r="J9" s="33">
        <f>$C$29*('E Balans VL '!D10+'E Balans VL '!E10)/100/3.6*1000000</f>
        <v>0</v>
      </c>
      <c r="K9" s="33"/>
      <c r="L9" s="33"/>
      <c r="M9" s="33"/>
      <c r="N9" s="33">
        <f>$C$29*'E Balans VL '!Y10/100/3.6*1000000</f>
        <v>16.724992714938562</v>
      </c>
      <c r="O9" s="33"/>
      <c r="P9" s="33"/>
      <c r="R9" s="32"/>
    </row>
    <row r="10" spans="1:18">
      <c r="A10" s="32" t="s">
        <v>50</v>
      </c>
      <c r="B10" s="37">
        <f t="shared" si="0"/>
        <v>3140.3695783747999</v>
      </c>
      <c r="C10" s="33"/>
      <c r="D10" s="37">
        <f>IF(ISERROR(TER_ander_gas_kWh/1000),0,TER_ander_gas_kWh/1000)*0.902</f>
        <v>1881.8407095541963</v>
      </c>
      <c r="E10" s="33">
        <f>$C$30*'E Balans VL '!I14/100/3.6*1000000</f>
        <v>14.442082005272487</v>
      </c>
      <c r="F10" s="33">
        <f>$C$30*('E Balans VL '!L14+'E Balans VL '!N14)/100/3.6*1000000</f>
        <v>941.26781879842827</v>
      </c>
      <c r="G10" s="34"/>
      <c r="H10" s="33"/>
      <c r="I10" s="33"/>
      <c r="J10" s="33">
        <f>$C$30*('E Balans VL '!D14+'E Balans VL '!E14)/100/3.6*1000000</f>
        <v>0</v>
      </c>
      <c r="K10" s="33"/>
      <c r="L10" s="33"/>
      <c r="M10" s="33"/>
      <c r="N10" s="33">
        <f>$C$30*'E Balans VL '!Y14/100/3.6*1000000</f>
        <v>2185.904524758686</v>
      </c>
      <c r="O10" s="33"/>
      <c r="P10" s="33"/>
      <c r="R10" s="32"/>
    </row>
    <row r="11" spans="1:18">
      <c r="A11" s="32" t="s">
        <v>55</v>
      </c>
      <c r="B11" s="37">
        <f t="shared" si="0"/>
        <v>486.44763161542204</v>
      </c>
      <c r="C11" s="33"/>
      <c r="D11" s="37">
        <f>IF(ISERROR(TER_onderwijs_gas_kWh/1000),0,TER_onderwijs_gas_kWh/1000)*0.902</f>
        <v>2110.2617701738509</v>
      </c>
      <c r="E11" s="33">
        <f>$C$31*'E Balans VL '!I11/100/3.6*1000000</f>
        <v>0.4512441504570075</v>
      </c>
      <c r="F11" s="33">
        <f>$C$31*('E Balans VL '!L11+'E Balans VL '!N11)/100/3.6*1000000</f>
        <v>170.87787279149876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7579.2466521993802</v>
      </c>
      <c r="C12" s="33"/>
      <c r="D12" s="37">
        <f>IF(ISERROR(TER_rest_gas_kWh/1000),0,TER_rest_gas_kWh/1000)*0.902</f>
        <v>6909.9207903677889</v>
      </c>
      <c r="E12" s="33">
        <f>$C$32*'E Balans VL '!I8/100/3.6*1000000</f>
        <v>91.932493905162247</v>
      </c>
      <c r="F12" s="33">
        <f>$C$32*('E Balans VL '!L8+'E Balans VL '!N8)/100/3.6*1000000</f>
        <v>1499.7915846841647</v>
      </c>
      <c r="G12" s="34"/>
      <c r="H12" s="33"/>
      <c r="I12" s="33"/>
      <c r="J12" s="33">
        <f>$C$32*('E Balans VL '!D8+'E Balans VL '!E8)/100/3.6*1000000</f>
        <v>0</v>
      </c>
      <c r="K12" s="33"/>
      <c r="L12" s="33"/>
      <c r="M12" s="33"/>
      <c r="N12" s="33">
        <f>$C$32*'E Balans VL '!Y8/100/3.6*1000000</f>
        <v>601.64241527670185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31924.740920277342</v>
      </c>
      <c r="C16" s="21">
        <f t="shared" ca="1" si="1"/>
        <v>0</v>
      </c>
      <c r="D16" s="21">
        <f t="shared" ca="1" si="1"/>
        <v>33215.62593456899</v>
      </c>
      <c r="E16" s="21">
        <f t="shared" si="1"/>
        <v>380.98910870318656</v>
      </c>
      <c r="F16" s="21">
        <f t="shared" ca="1" si="1"/>
        <v>6255.7364902674581</v>
      </c>
      <c r="G16" s="21">
        <f t="shared" si="1"/>
        <v>0</v>
      </c>
      <c r="H16" s="21">
        <f t="shared" si="1"/>
        <v>0</v>
      </c>
      <c r="I16" s="21">
        <f t="shared" si="1"/>
        <v>0</v>
      </c>
      <c r="J16" s="21">
        <f t="shared" si="1"/>
        <v>0</v>
      </c>
      <c r="K16" s="21">
        <f t="shared" si="1"/>
        <v>0</v>
      </c>
      <c r="L16" s="21">
        <f t="shared" ca="1" si="1"/>
        <v>0</v>
      </c>
      <c r="M16" s="21">
        <f t="shared" si="1"/>
        <v>0</v>
      </c>
      <c r="N16" s="21">
        <f t="shared" ca="1" si="1"/>
        <v>2831.3656910566278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0.19703672534168262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6290.346408313063</v>
      </c>
      <c r="C20" s="23">
        <f t="shared" ref="C20:P20" ca="1" si="2">C16*C18</f>
        <v>0</v>
      </c>
      <c r="D20" s="23">
        <f t="shared" ca="1" si="2"/>
        <v>6709.5564387829363</v>
      </c>
      <c r="E20" s="23">
        <f t="shared" si="2"/>
        <v>86.484527675623355</v>
      </c>
      <c r="F20" s="23">
        <f t="shared" ca="1" si="2"/>
        <v>1670.2816429014115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9684.4203316153598</v>
      </c>
      <c r="C26" s="39">
        <f>IF(ISERROR(B26*3.6/1000000/'E Balans VL '!Z12*100),0,B26*3.6/1000000/'E Balans VL '!Z12*100)</f>
        <v>0.20570188488173605</v>
      </c>
      <c r="D26" s="239" t="s">
        <v>692</v>
      </c>
      <c r="F26" s="6"/>
    </row>
    <row r="27" spans="1:18">
      <c r="A27" s="233" t="s">
        <v>53</v>
      </c>
      <c r="B27" s="33">
        <f>IF(ISERROR(TER_horeca_ele_kWh/1000),0,TER_horeca_ele_kWh/1000)</f>
        <v>2366.05314801749</v>
      </c>
      <c r="C27" s="39">
        <f>IF(ISERROR(B27*3.6/1000000/'E Balans VL '!Z9*100),0,B27*3.6/1000000/'E Balans VL '!Z9*100)</f>
        <v>0.18397504170728324</v>
      </c>
      <c r="D27" s="239" t="s">
        <v>692</v>
      </c>
      <c r="F27" s="6"/>
    </row>
    <row r="28" spans="1:18">
      <c r="A28" s="173" t="s">
        <v>52</v>
      </c>
      <c r="B28" s="33">
        <f>IF(ISERROR(TER_handel_ele_kWh/1000),0,TER_handel_ele_kWh/1000)</f>
        <v>7043.5392044931505</v>
      </c>
      <c r="C28" s="39">
        <f>IF(ISERROR(B28*3.6/1000000/'E Balans VL '!Z13*100),0,B28*3.6/1000000/'E Balans VL '!Z13*100)</f>
        <v>0.20152394605696031</v>
      </c>
      <c r="D28" s="239" t="s">
        <v>692</v>
      </c>
      <c r="F28" s="6"/>
    </row>
    <row r="29" spans="1:18">
      <c r="A29" s="233" t="s">
        <v>51</v>
      </c>
      <c r="B29" s="33">
        <f>IF(ISERROR(TER_gezond_ele_kWh/1000),0,TER_gezond_ele_kWh/1000)</f>
        <v>1624.66437396174</v>
      </c>
      <c r="C29" s="39">
        <f>IF(ISERROR(B29*3.6/1000000/'E Balans VL '!Z10*100),0,B29*3.6/1000000/'E Balans VL '!Z10*100)</f>
        <v>0.17712616943413362</v>
      </c>
      <c r="D29" s="239" t="s">
        <v>692</v>
      </c>
      <c r="F29" s="6"/>
    </row>
    <row r="30" spans="1:18">
      <c r="A30" s="233" t="s">
        <v>50</v>
      </c>
      <c r="B30" s="33">
        <f>IF(ISERROR(TER_ander_ele_kWh/1000),0,TER_ander_ele_kWh/1000)</f>
        <v>3140.3695783747999</v>
      </c>
      <c r="C30" s="39">
        <f>IF(ISERROR(B30*3.6/1000000/'E Balans VL '!Z14*100),0,B30*3.6/1000000/'E Balans VL '!Z14*100)</f>
        <v>0.22980512198595118</v>
      </c>
      <c r="D30" s="239" t="s">
        <v>692</v>
      </c>
      <c r="F30" s="6"/>
    </row>
    <row r="31" spans="1:18">
      <c r="A31" s="233" t="s">
        <v>55</v>
      </c>
      <c r="B31" s="33">
        <f>IF(ISERROR(TER_onderwijs_ele_kWh/1000),0,TER_onderwijs_ele_kWh/1000)</f>
        <v>486.44763161542204</v>
      </c>
      <c r="C31" s="39">
        <f>IF(ISERROR(B31*3.6/1000000/'E Balans VL '!Z11*100),0,B31*3.6/1000000/'E Balans VL '!Z11*100)</f>
        <v>9.7703368036007987E-2</v>
      </c>
      <c r="D31" s="239" t="s">
        <v>692</v>
      </c>
    </row>
    <row r="32" spans="1:18">
      <c r="A32" s="233" t="s">
        <v>260</v>
      </c>
      <c r="B32" s="33">
        <f>IF(ISERROR(TER_rest_ele_kWh/1000),0,TER_rest_ele_kWh/1000)</f>
        <v>7579.2466521993802</v>
      </c>
      <c r="C32" s="39">
        <f>IF(ISERROR(B32*3.6/1000000/'E Balans VL '!Z8*100),0,B32*3.6/1000000/'E Balans VL '!Z8*100)</f>
        <v>6.1766260604334253E-2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112779.34141813169</v>
      </c>
      <c r="C5" s="17">
        <f>IF(ISERROR('Eigen informatie GS &amp; warmtenet'!B59),0,'Eigen informatie GS &amp; warmtenet'!B59)</f>
        <v>0</v>
      </c>
      <c r="D5" s="30">
        <f>SUM(D6:D15)</f>
        <v>157737.12075943421</v>
      </c>
      <c r="E5" s="17">
        <f>SUM(E6:E15)</f>
        <v>6648.7405979873556</v>
      </c>
      <c r="F5" s="17">
        <f>SUM(F6:F15)</f>
        <v>39986.297217973944</v>
      </c>
      <c r="G5" s="18"/>
      <c r="H5" s="17"/>
      <c r="I5" s="17"/>
      <c r="J5" s="17">
        <f>SUM(J6:J15)</f>
        <v>108.41240741293363</v>
      </c>
      <c r="K5" s="17"/>
      <c r="L5" s="17"/>
      <c r="M5" s="17"/>
      <c r="N5" s="17">
        <f>SUM(N6:N15)</f>
        <v>17135.105514537609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1204.45400999916</v>
      </c>
      <c r="C8" s="33"/>
      <c r="D8" s="37">
        <f>IF( ISERROR(IND_metaal_Gas_kWH/1000),0,IND_metaal_Gas_kWH/1000)*0.902</f>
        <v>245.13712512506743</v>
      </c>
      <c r="E8" s="33">
        <f>C30*'E Balans VL '!I18/100/3.6*1000000</f>
        <v>34.596440132903858</v>
      </c>
      <c r="F8" s="33">
        <f>C30*'E Balans VL '!L18/100/3.6*1000000+C30*'E Balans VL '!N18/100/3.6*1000000</f>
        <v>308.91928858510329</v>
      </c>
      <c r="G8" s="34"/>
      <c r="H8" s="33"/>
      <c r="I8" s="33"/>
      <c r="J8" s="40">
        <f>C30*'E Balans VL '!D18/100/3.6*1000000+C30*'E Balans VL '!E18/100/3.6*1000000</f>
        <v>0</v>
      </c>
      <c r="K8" s="33"/>
      <c r="L8" s="33"/>
      <c r="M8" s="33"/>
      <c r="N8" s="33">
        <f>C30*'E Balans VL '!Y18/100/3.6*1000000</f>
        <v>32.70338501044597</v>
      </c>
      <c r="O8" s="33"/>
      <c r="P8" s="33"/>
      <c r="R8" s="32"/>
    </row>
    <row r="9" spans="1:18">
      <c r="A9" s="6" t="s">
        <v>33</v>
      </c>
      <c r="B9" s="37">
        <f t="shared" si="0"/>
        <v>10551.6640140333</v>
      </c>
      <c r="C9" s="33"/>
      <c r="D9" s="37">
        <f>IF( ISERROR(IND_andere_gas_kWh/1000),0,IND_andere_gas_kWh/1000)*0.902</f>
        <v>1671.938019032661</v>
      </c>
      <c r="E9" s="33">
        <f>C31*'E Balans VL '!I19/100/3.6*1000000</f>
        <v>2856.0760144089313</v>
      </c>
      <c r="F9" s="33">
        <f>C31*'E Balans VL '!L19/100/3.6*1000000+C31*'E Balans VL '!N19/100/3.6*1000000</f>
        <v>7028.5248326455703</v>
      </c>
      <c r="G9" s="34"/>
      <c r="H9" s="33"/>
      <c r="I9" s="33"/>
      <c r="J9" s="40">
        <f>C31*'E Balans VL '!D19/100/3.6*1000000+C31*'E Balans VL '!E19/100/3.6*1000000</f>
        <v>0</v>
      </c>
      <c r="K9" s="33"/>
      <c r="L9" s="33"/>
      <c r="M9" s="33"/>
      <c r="N9" s="33">
        <f>C31*'E Balans VL '!Y19/100/3.6*1000000</f>
        <v>3444.9430224368612</v>
      </c>
      <c r="O9" s="33"/>
      <c r="P9" s="33"/>
      <c r="R9" s="32"/>
    </row>
    <row r="10" spans="1:18">
      <c r="A10" s="6" t="s">
        <v>41</v>
      </c>
      <c r="B10" s="37">
        <f t="shared" si="0"/>
        <v>14682.511723931599</v>
      </c>
      <c r="C10" s="33"/>
      <c r="D10" s="37">
        <f>IF( ISERROR(IND_voed_gas_kWh/1000),0,IND_voed_gas_kWh/1000)*0.902</f>
        <v>26834.294116014178</v>
      </c>
      <c r="E10" s="33">
        <f>C32*'E Balans VL '!I20/100/3.6*1000000</f>
        <v>1197.5393883967897</v>
      </c>
      <c r="F10" s="33">
        <f>C32*'E Balans VL '!L20/100/3.6*1000000+C32*'E Balans VL '!N20/100/3.6*1000000</f>
        <v>21892.957094567169</v>
      </c>
      <c r="G10" s="34"/>
      <c r="H10" s="33"/>
      <c r="I10" s="33"/>
      <c r="J10" s="40">
        <f>C32*'E Balans VL '!D20/100/3.6*1000000+C32*'E Balans VL '!E20/100/3.6*1000000</f>
        <v>0.1942318079292383</v>
      </c>
      <c r="K10" s="33"/>
      <c r="L10" s="33"/>
      <c r="M10" s="33"/>
      <c r="N10" s="33">
        <f>C32*'E Balans VL '!Y20/100/3.6*1000000</f>
        <v>4313.203854516898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33.137233693615002</v>
      </c>
      <c r="C12" s="33"/>
      <c r="D12" s="37">
        <f>IF( ISERROR(IND_min_gas_kWh/1000),0,IND_min_gas_kWh/1000)*0.902</f>
        <v>114.8861755910449</v>
      </c>
      <c r="E12" s="33">
        <f>C34*'E Balans VL '!I22/100/3.6*1000000</f>
        <v>0.25813183017737484</v>
      </c>
      <c r="F12" s="33">
        <f>C34*'E Balans VL '!L22/100/3.6*1000000+C34*'E Balans VL '!N22/100/3.6*1000000</f>
        <v>12.497328204026555</v>
      </c>
      <c r="G12" s="34"/>
      <c r="H12" s="33"/>
      <c r="I12" s="33"/>
      <c r="J12" s="40">
        <f>C34*'E Balans VL '!D22/100/3.6*1000000+C34*'E Balans VL '!E22/100/3.6*1000000</f>
        <v>0.18225188802953357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44156.472995513905</v>
      </c>
      <c r="C14" s="33"/>
      <c r="D14" s="37">
        <f>IF( ISERROR(IND_chemie_gas_kWh/1000),0,IND_chemie_gas_kWh/1000)*0.902</f>
        <v>100479.0809873828</v>
      </c>
      <c r="E14" s="33">
        <f>C36*'E Balans VL '!I24/100/3.6*1000000</f>
        <v>208.73801712443554</v>
      </c>
      <c r="F14" s="33">
        <f>C36*'E Balans VL '!L24/100/3.6*1000000+C36*'E Balans VL '!N24/100/3.6*1000000</f>
        <v>834.53363814021191</v>
      </c>
      <c r="G14" s="34"/>
      <c r="H14" s="33"/>
      <c r="I14" s="33"/>
      <c r="J14" s="40">
        <f>C36*'E Balans VL '!D24/100/3.6*1000000+C36*'E Balans VL '!E24/100/3.6*1000000</f>
        <v>0</v>
      </c>
      <c r="K14" s="33"/>
      <c r="L14" s="33"/>
      <c r="M14" s="33"/>
      <c r="N14" s="33">
        <f>C36*'E Balans VL '!Y24/100/3.6*1000000</f>
        <v>1071.9697816072</v>
      </c>
      <c r="O14" s="33"/>
      <c r="P14" s="33"/>
      <c r="R14" s="32"/>
    </row>
    <row r="15" spans="1:18">
      <c r="A15" s="6" t="s">
        <v>270</v>
      </c>
      <c r="B15" s="37">
        <f t="shared" si="0"/>
        <v>42151.101440960105</v>
      </c>
      <c r="C15" s="33"/>
      <c r="D15" s="37">
        <f>IF( ISERROR(IND_rest_gas_kWh/1000),0,IND_rest_gas_kWh/1000)*0.902</f>
        <v>28391.784336288471</v>
      </c>
      <c r="E15" s="33">
        <f>C37*'E Balans VL '!I15/100/3.6*1000000</f>
        <v>2351.5326060941179</v>
      </c>
      <c r="F15" s="33">
        <f>C37*'E Balans VL '!L15/100/3.6*1000000+C37*'E Balans VL '!N15/100/3.6*1000000</f>
        <v>9908.8650358318646</v>
      </c>
      <c r="G15" s="34"/>
      <c r="H15" s="33"/>
      <c r="I15" s="33"/>
      <c r="J15" s="40">
        <f>C37*'E Balans VL '!D15/100/3.6*1000000+C37*'E Balans VL '!E15/100/3.6*1000000</f>
        <v>108.03592371697486</v>
      </c>
      <c r="K15" s="33"/>
      <c r="L15" s="33"/>
      <c r="M15" s="33"/>
      <c r="N15" s="33">
        <f>C37*'E Balans VL '!Y15/100/3.6*1000000</f>
        <v>8272.2854709662042</v>
      </c>
      <c r="O15" s="33"/>
      <c r="P15" s="33"/>
      <c r="R15" s="32"/>
    </row>
    <row r="16" spans="1:18">
      <c r="A16" s="16" t="s">
        <v>497</v>
      </c>
      <c r="B16" s="249">
        <f>'lokale energieproductie'!N89+'lokale energieproductie'!N58</f>
        <v>14619.749999999998</v>
      </c>
      <c r="C16" s="249">
        <f>'lokale energieproductie'!O89+'lokale energieproductie'!O58</f>
        <v>20885.357142857141</v>
      </c>
      <c r="D16" s="312">
        <f>('lokale energieproductie'!P58+'lokale energieproductie'!P89)*(-1)</f>
        <v>-41770.714285714283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127399.09141813169</v>
      </c>
      <c r="C18" s="21">
        <f>C5+C16</f>
        <v>20885.357142857141</v>
      </c>
      <c r="D18" s="21">
        <f>MAX((D5+D16),0)</f>
        <v>115966.40647371992</v>
      </c>
      <c r="E18" s="21">
        <f>MAX((E5+E16),0)</f>
        <v>6648.7405979873556</v>
      </c>
      <c r="F18" s="21">
        <f>MAX((F5+F16),0)</f>
        <v>39986.297217973944</v>
      </c>
      <c r="G18" s="21"/>
      <c r="H18" s="21"/>
      <c r="I18" s="21"/>
      <c r="J18" s="21">
        <f>MAX((J5+J16),0)</f>
        <v>108.41240741293363</v>
      </c>
      <c r="K18" s="21"/>
      <c r="L18" s="21">
        <f>MAX((L5+L16),0)</f>
        <v>0</v>
      </c>
      <c r="M18" s="21"/>
      <c r="N18" s="21">
        <f>MAX((N5+N16),0)</f>
        <v>17135.105514537609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0.19703672534168262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25102.299784534331</v>
      </c>
      <c r="C22" s="23">
        <f ca="1">C18*C20</f>
        <v>4963.3436974789911</v>
      </c>
      <c r="D22" s="23">
        <f>D18*D20</f>
        <v>23425.214107691427</v>
      </c>
      <c r="E22" s="23">
        <f>E18*E20</f>
        <v>1509.2641157431299</v>
      </c>
      <c r="F22" s="23">
        <f>F18*F20</f>
        <v>10676.341357199044</v>
      </c>
      <c r="G22" s="23"/>
      <c r="H22" s="23"/>
      <c r="I22" s="23"/>
      <c r="J22" s="23">
        <f>J18*J20</f>
        <v>38.377992224178506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1204.45400999916</v>
      </c>
      <c r="C30" s="39">
        <f>IF(ISERROR(B30*3.6/1000000/'E Balans VL '!Z18*100),0,B30*3.6/1000000/'E Balans VL '!Z18*100)</f>
        <v>0.11851519994035639</v>
      </c>
      <c r="D30" s="239" t="s">
        <v>692</v>
      </c>
    </row>
    <row r="31" spans="1:18">
      <c r="A31" s="6" t="s">
        <v>33</v>
      </c>
      <c r="B31" s="37">
        <f>IF( ISERROR(IND_ander_ele_kWh/1000),0,IND_ander_ele_kWh/1000)</f>
        <v>10551.6640140333</v>
      </c>
      <c r="C31" s="39">
        <f>IF(ISERROR(B31*3.6/1000000/'E Balans VL '!Z19*100),0,B31*3.6/1000000/'E Balans VL '!Z19*100)</f>
        <v>0.45951655083167897</v>
      </c>
      <c r="D31" s="239" t="s">
        <v>692</v>
      </c>
    </row>
    <row r="32" spans="1:18">
      <c r="A32" s="173" t="s">
        <v>41</v>
      </c>
      <c r="B32" s="37">
        <f>IF( ISERROR(IND_voed_ele_kWh/1000),0,IND_voed_ele_kWh/1000)</f>
        <v>14682.511723931599</v>
      </c>
      <c r="C32" s="39">
        <f>IF(ISERROR(B32*3.6/1000000/'E Balans VL '!Z20*100),0,B32*3.6/1000000/'E Balans VL '!Z20*100)</f>
        <v>2.7857948547618738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33.137233693615002</v>
      </c>
      <c r="C34" s="39">
        <f>IF(ISERROR(B34*3.6/1000000/'E Balans VL '!Z22*100),0,B34*3.6/1000000/'E Balans VL '!Z22*100)</f>
        <v>4.6594278110512095E-3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44156.472995513905</v>
      </c>
      <c r="C36" s="39">
        <f>IF(ISERROR(B36*3.6/1000000/'E Balans VL '!Z24*100),0,B36*3.6/1000000/'E Balans VL '!Z24*100)</f>
        <v>1.2868501029250408</v>
      </c>
      <c r="D36" s="239" t="s">
        <v>692</v>
      </c>
    </row>
    <row r="37" spans="1:5">
      <c r="A37" s="173" t="s">
        <v>270</v>
      </c>
      <c r="B37" s="37">
        <f>IF( ISERROR(IND_rest_ele_kWh/1000),0,IND_rest_ele_kWh/1000)</f>
        <v>42151.101440960105</v>
      </c>
      <c r="C37" s="39">
        <f>IF(ISERROR(B37*3.6/1000000/'E Balans VL '!Z15*100),0,B37*3.6/1000000/'E Balans VL '!Z15*100)</f>
        <v>0.32482600882690044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862.64568334326896</v>
      </c>
      <c r="C5" s="17">
        <f>'Eigen informatie GS &amp; warmtenet'!B60</f>
        <v>0</v>
      </c>
      <c r="D5" s="30">
        <f>IF(ISERROR(SUM(LB_lb_gas_kWh,LB_rest_gas_kWh,onbekend_gas_kWh)/1000),0,SUM(LB_lb_gas_kWh,LB_rest_gas_kWh,onbekend_gas_kWh)/1000)*0.902</f>
        <v>3489.0936563055129</v>
      </c>
      <c r="E5" s="17">
        <f>B17*'E Balans VL '!I25/3.6*1000000/100</f>
        <v>10.870446923718255</v>
      </c>
      <c r="F5" s="17">
        <f>B17*('E Balans VL '!L25/3.6*1000000+'E Balans VL '!N25/3.6*1000000)/100</f>
        <v>2976.3437131907981</v>
      </c>
      <c r="G5" s="18"/>
      <c r="H5" s="17"/>
      <c r="I5" s="17"/>
      <c r="J5" s="17">
        <f>('E Balans VL '!D25+'E Balans VL '!E25)/3.6*1000000*landbouw!B17/100</f>
        <v>129.73210456479276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862.64568334326896</v>
      </c>
      <c r="C8" s="21">
        <f>C5+C6</f>
        <v>0</v>
      </c>
      <c r="D8" s="21">
        <f>MAX((D5+D6),0)</f>
        <v>3489.0936563055129</v>
      </c>
      <c r="E8" s="21">
        <f>MAX((E5+E6),0)</f>
        <v>10.870446923718255</v>
      </c>
      <c r="F8" s="21">
        <f>MAX((F5+F6),0)</f>
        <v>2976.3437131907981</v>
      </c>
      <c r="G8" s="21"/>
      <c r="H8" s="21"/>
      <c r="I8" s="21"/>
      <c r="J8" s="21">
        <f>MAX((J5+J6),0)</f>
        <v>129.73210456479276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0.19703672534168262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169.9728805760958</v>
      </c>
      <c r="C12" s="23">
        <f ca="1">C8*C10</f>
        <v>0</v>
      </c>
      <c r="D12" s="23">
        <f>D8*D10</f>
        <v>704.7969185737137</v>
      </c>
      <c r="E12" s="23">
        <f>E8*E10</f>
        <v>2.467591451684044</v>
      </c>
      <c r="F12" s="23">
        <f>F8*F10</f>
        <v>794.68377142194311</v>
      </c>
      <c r="G12" s="23"/>
      <c r="H12" s="23"/>
      <c r="I12" s="23"/>
      <c r="J12" s="23">
        <f>J8*J10</f>
        <v>45.925165015936635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0.12031188381266869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94.587266997916316</v>
      </c>
      <c r="C26" s="249">
        <f>B26*'GWP N2O_CH4'!B5</f>
        <v>1986.3326069562427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23.613950206632637</v>
      </c>
      <c r="C27" s="249">
        <f>B27*'GWP N2O_CH4'!B5</f>
        <v>495.89295433928538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1.6767613877389074</v>
      </c>
      <c r="C28" s="249">
        <f>B28*'GWP N2O_CH4'!B4</f>
        <v>519.79603019906131</v>
      </c>
      <c r="D28" s="50"/>
    </row>
    <row r="29" spans="1:4">
      <c r="A29" s="41" t="s">
        <v>277</v>
      </c>
      <c r="B29" s="249">
        <f>B34*'ha_N2O bodem landbouw'!B4</f>
        <v>6.8382045307189046</v>
      </c>
      <c r="C29" s="249">
        <f>B29*'GWP N2O_CH4'!B4</f>
        <v>2119.8434045228605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1.7074313420737557E-3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7.7379709514079602E-5</v>
      </c>
      <c r="C5" s="448" t="s">
        <v>211</v>
      </c>
      <c r="D5" s="433">
        <f>SUM(D6:D11)</f>
        <v>1.2490497844013708E-4</v>
      </c>
      <c r="E5" s="433">
        <f>SUM(E6:E11)</f>
        <v>3.9973909826409434E-3</v>
      </c>
      <c r="F5" s="446" t="s">
        <v>211</v>
      </c>
      <c r="G5" s="433">
        <f>SUM(G6:G11)</f>
        <v>1.2726837616364635</v>
      </c>
      <c r="H5" s="433">
        <f>SUM(H6:H11)</f>
        <v>0.18918480184168807</v>
      </c>
      <c r="I5" s="448" t="s">
        <v>211</v>
      </c>
      <c r="J5" s="448" t="s">
        <v>211</v>
      </c>
      <c r="K5" s="448" t="s">
        <v>211</v>
      </c>
      <c r="L5" s="448" t="s">
        <v>211</v>
      </c>
      <c r="M5" s="433">
        <f>SUM(M6:M11)</f>
        <v>6.5511496837639308E-2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5.0779930616498233E-5</v>
      </c>
      <c r="C6" s="949"/>
      <c r="D6" s="949">
        <f>vkm_2011_GW_PW*SUMIFS(TableVerdeelsleutelVkm[CNG],TableVerdeelsleutelVkm[Voertuigtype],"Lichte voertuigen")*SUMIFS(TableECFTransport[EnergieConsumptieFactor (PJ per km)],TableECFTransport[Index],CONCATENATE($A6,"_CNG_CNG"))</f>
        <v>7.1914313322993001E-5</v>
      </c>
      <c r="E6" s="949">
        <f>vkm_2011_GW_PW*SUMIFS(TableVerdeelsleutelVkm[LPG],TableVerdeelsleutelVkm[Voertuigtype],"Lichte voertuigen")*SUMIFS(TableECFTransport[EnergieConsumptieFactor (PJ per km)],TableECFTransport[Index],CONCATENATE($A6,"_LPG_LPG"))</f>
        <v>2.2585918333055508E-3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0.40593079729520565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0.1090772981789086</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2.298194364699932E-2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0.38462565311551883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1.37036528889706E-4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1.7356555447209938E-2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1.3078413321138465E-5</v>
      </c>
      <c r="C8" s="949"/>
      <c r="D8" s="436">
        <f>vkm_2011_NGW_PW*SUMIFS(TableVerdeelsleutelVkm[CNG],TableVerdeelsleutelVkm[Voertuigtype],"Lichte voertuigen")*SUMIFS(TableECFTransport[EnergieConsumptieFactor (PJ per km)],TableECFTransport[Index],CONCATENATE($A8,"_CNG_CNG"))</f>
        <v>3.2996530441956581E-5</v>
      </c>
      <c r="E8" s="436">
        <f>vkm_2011_NGW_PW*SUMIFS(TableVerdeelsleutelVkm[LPG],TableVerdeelsleutelVkm[Voertuigtype],"Lichte voertuigen")*SUMIFS(TableECFTransport[EnergieConsumptieFactor (PJ per km)],TableECFTransport[Index],CONCATENATE($A8,"_LPG_LPG"))</f>
        <v>9.5451543333437161E-4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0.16179962188308469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4.8291461874239001E-2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9.3664848923351411E-3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0.11477300362558208</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3.8695686139741542E-5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5.1791340941247923E-3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1.3521365576442912E-5</v>
      </c>
      <c r="C10" s="949"/>
      <c r="D10" s="436">
        <f>vkm_2011_SW_PW*SUMIFS(TableVerdeelsleutelVkm[CNG],TableVerdeelsleutelVkm[Voertuigtype],"Lichte voertuigen")*SUMIFS(TableECFTransport[EnergieConsumptieFactor (PJ per km)],TableECFTransport[Index],CONCATENATE($A10,"_CNG_CNG"))</f>
        <v>1.9994134675187477E-5</v>
      </c>
      <c r="E10" s="436">
        <f>vkm_2011_SW_PW*SUMIFS(TableVerdeelsleutelVkm[LPG],TableVerdeelsleutelVkm[Voertuigtype],"Lichte voertuigen")*SUMIFS(TableECFTransport[EnergieConsumptieFactor (PJ per km)],TableECFTransport[Index],CONCATENATE($A10,"_LPG_LPG"))</f>
        <v>7.842837160010205E-4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0.12765833243676794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3.161038040470654E-2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7.1121472712384103E-3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7.789635328030417E-2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2.9929168804478605E-5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3.515231485731712E-3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21.494363753910999</v>
      </c>
      <c r="C14" s="21"/>
      <c r="D14" s="21">
        <f t="shared" ref="D14:M14" si="0">((D5)*10^9/3600)+D12</f>
        <v>34.695827344482524</v>
      </c>
      <c r="E14" s="21">
        <f t="shared" si="0"/>
        <v>1110.3863840669287</v>
      </c>
      <c r="F14" s="21"/>
      <c r="G14" s="21">
        <f t="shared" si="0"/>
        <v>353523.26712123986</v>
      </c>
      <c r="H14" s="21">
        <f t="shared" si="0"/>
        <v>52551.333844913352</v>
      </c>
      <c r="I14" s="21"/>
      <c r="J14" s="21"/>
      <c r="K14" s="21"/>
      <c r="L14" s="21"/>
      <c r="M14" s="21">
        <f t="shared" si="0"/>
        <v>18197.638010455365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0.19703672534168262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4.2351790473735802</v>
      </c>
      <c r="C18" s="23"/>
      <c r="D18" s="23">
        <f t="shared" ref="D18:M18" si="1">D14*D16</f>
        <v>7.0085571235854704</v>
      </c>
      <c r="E18" s="23">
        <f t="shared" si="1"/>
        <v>252.05770918319283</v>
      </c>
      <c r="F18" s="23"/>
      <c r="G18" s="23">
        <f t="shared" si="1"/>
        <v>94390.712321371044</v>
      </c>
      <c r="H18" s="23">
        <f t="shared" si="1"/>
        <v>13085.282127383425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5.8811817389351458E-3</v>
      </c>
      <c r="H50" s="323">
        <f t="shared" si="2"/>
        <v>0</v>
      </c>
      <c r="I50" s="323">
        <f t="shared" si="2"/>
        <v>0</v>
      </c>
      <c r="J50" s="323">
        <f t="shared" si="2"/>
        <v>0</v>
      </c>
      <c r="K50" s="323">
        <f t="shared" si="2"/>
        <v>0</v>
      </c>
      <c r="L50" s="323">
        <f t="shared" si="2"/>
        <v>0</v>
      </c>
      <c r="M50" s="323">
        <f t="shared" si="2"/>
        <v>2.6155053680918542E-4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5.8811817389351458E-3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2.6155053680918542E-4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1633.6615941486516</v>
      </c>
      <c r="H54" s="21">
        <f t="shared" si="3"/>
        <v>0</v>
      </c>
      <c r="I54" s="21">
        <f t="shared" si="3"/>
        <v>0</v>
      </c>
      <c r="J54" s="21">
        <f t="shared" si="3"/>
        <v>0</v>
      </c>
      <c r="K54" s="21">
        <f t="shared" si="3"/>
        <v>0</v>
      </c>
      <c r="L54" s="21">
        <f t="shared" si="3"/>
        <v>0</v>
      </c>
      <c r="M54" s="21">
        <f t="shared" si="3"/>
        <v>72.652926891440387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0.19703672534168262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436.18764563769003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12697.066414936056</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9191.2807142582642</v>
      </c>
      <c r="C6" s="1142"/>
      <c r="D6" s="1145"/>
      <c r="E6" s="1145"/>
      <c r="F6" s="1148"/>
      <c r="G6" s="1151"/>
      <c r="H6" s="1139"/>
      <c r="I6" s="1145"/>
      <c r="J6" s="1145"/>
      <c r="K6" s="1145"/>
      <c r="L6" s="1175"/>
      <c r="M6" s="561"/>
      <c r="N6" s="1187"/>
      <c r="O6" s="1188"/>
      <c r="Q6" s="559"/>
      <c r="R6" s="1172"/>
      <c r="S6" s="1172"/>
    </row>
    <row r="7" spans="1:19" s="549" customFormat="1">
      <c r="A7" s="562" t="s">
        <v>252</v>
      </c>
      <c r="B7" s="563">
        <f>N57</f>
        <v>14619.749999999998</v>
      </c>
      <c r="C7" s="564">
        <f>B100</f>
        <v>17199.705882352941</v>
      </c>
      <c r="D7" s="565"/>
      <c r="E7" s="565">
        <f>E100</f>
        <v>0</v>
      </c>
      <c r="F7" s="566"/>
      <c r="G7" s="567"/>
      <c r="H7" s="565">
        <f>I100</f>
        <v>0</v>
      </c>
      <c r="I7" s="565">
        <f>G100+F100</f>
        <v>0</v>
      </c>
      <c r="J7" s="565">
        <f>H100+D100+C100</f>
        <v>0</v>
      </c>
      <c r="K7" s="565"/>
      <c r="L7" s="568"/>
      <c r="M7" s="569">
        <f>C7*$C$11+D7*$D$11+E7*$E$11+F7*$F$11+G7*$G$11+H7*$H$11+I7*$I$11+J7*$J$11</f>
        <v>3474.340588235294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36508.097129194321</v>
      </c>
      <c r="C9" s="580">
        <f t="shared" ref="C9:L9" si="0">SUM(C7:C8)</f>
        <v>17199.705882352941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3474.340588235294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20885.357142857141</v>
      </c>
      <c r="C16" s="596">
        <f>B101</f>
        <v>24571.008403361342</v>
      </c>
      <c r="D16" s="597"/>
      <c r="E16" s="597">
        <f>E101</f>
        <v>0</v>
      </c>
      <c r="F16" s="598"/>
      <c r="G16" s="599"/>
      <c r="H16" s="596">
        <f>I101</f>
        <v>0</v>
      </c>
      <c r="I16" s="597">
        <f>G101+F101</f>
        <v>0</v>
      </c>
      <c r="J16" s="597">
        <f>H101+D101+C101</f>
        <v>0</v>
      </c>
      <c r="K16" s="597"/>
      <c r="L16" s="600"/>
      <c r="M16" s="601">
        <f>C16*$C$21+E16*$E$21+H16*$H$21+I16*$I$21+J16*$J$21+D16*$D$21+F16*$F$21+G16*$G$21+K16*$K$21+L16*$L$21</f>
        <v>4963.3436974789911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20885.357142857141</v>
      </c>
      <c r="C19" s="579">
        <f>SUM(C16:C18)</f>
        <v>24571.008403361342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4963.3436974789911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12030</v>
      </c>
      <c r="C27" s="839">
        <v>2870</v>
      </c>
      <c r="D27" s="658" t="s">
        <v>840</v>
      </c>
      <c r="E27" s="657" t="s">
        <v>841</v>
      </c>
      <c r="F27" s="657" t="s">
        <v>842</v>
      </c>
      <c r="G27" s="657" t="s">
        <v>843</v>
      </c>
      <c r="H27" s="657" t="s">
        <v>844</v>
      </c>
      <c r="I27" s="657" t="s">
        <v>841</v>
      </c>
      <c r="J27" s="838">
        <v>39510</v>
      </c>
      <c r="K27" s="838">
        <v>39513</v>
      </c>
      <c r="L27" s="657" t="s">
        <v>845</v>
      </c>
      <c r="M27" s="657">
        <v>2014</v>
      </c>
      <c r="N27" s="657">
        <v>9062.9999999999982</v>
      </c>
      <c r="O27" s="657">
        <v>12947.142857142855</v>
      </c>
      <c r="P27" s="657">
        <v>25894.28571428571</v>
      </c>
      <c r="Q27" s="657">
        <v>0</v>
      </c>
      <c r="R27" s="657">
        <v>0</v>
      </c>
      <c r="S27" s="657">
        <v>0</v>
      </c>
      <c r="T27" s="657">
        <v>0</v>
      </c>
      <c r="U27" s="657">
        <v>0</v>
      </c>
      <c r="V27" s="657">
        <v>0</v>
      </c>
      <c r="W27" s="657">
        <v>0</v>
      </c>
      <c r="X27" s="657">
        <v>300</v>
      </c>
      <c r="Y27" s="657" t="s">
        <v>34</v>
      </c>
      <c r="Z27" s="659" t="s">
        <v>390</v>
      </c>
    </row>
    <row r="28" spans="1:26" s="611" customFormat="1" ht="25.5">
      <c r="A28" s="610"/>
      <c r="B28" s="839">
        <v>12030</v>
      </c>
      <c r="C28" s="839">
        <v>2870</v>
      </c>
      <c r="D28" s="658" t="s">
        <v>846</v>
      </c>
      <c r="E28" s="657" t="s">
        <v>847</v>
      </c>
      <c r="F28" s="657" t="s">
        <v>848</v>
      </c>
      <c r="G28" s="657" t="s">
        <v>843</v>
      </c>
      <c r="H28" s="657" t="s">
        <v>844</v>
      </c>
      <c r="I28" s="657" t="s">
        <v>847</v>
      </c>
      <c r="J28" s="838">
        <v>40934</v>
      </c>
      <c r="K28" s="838">
        <v>40934</v>
      </c>
      <c r="L28" s="657" t="s">
        <v>845</v>
      </c>
      <c r="M28" s="657">
        <v>1189</v>
      </c>
      <c r="N28" s="657">
        <v>5350.5</v>
      </c>
      <c r="O28" s="657">
        <v>7643.5714285714284</v>
      </c>
      <c r="P28" s="657">
        <v>15287.142857142859</v>
      </c>
      <c r="Q28" s="657">
        <v>0</v>
      </c>
      <c r="R28" s="657">
        <v>0</v>
      </c>
      <c r="S28" s="657">
        <v>0</v>
      </c>
      <c r="T28" s="657">
        <v>0</v>
      </c>
      <c r="U28" s="657">
        <v>0</v>
      </c>
      <c r="V28" s="657">
        <v>0</v>
      </c>
      <c r="W28" s="657">
        <v>0</v>
      </c>
      <c r="X28" s="657">
        <v>300</v>
      </c>
      <c r="Y28" s="657" t="s">
        <v>849</v>
      </c>
      <c r="Z28" s="659" t="s">
        <v>390</v>
      </c>
    </row>
    <row r="29" spans="1:26" s="611" customFormat="1" ht="25.5">
      <c r="A29" s="610"/>
      <c r="B29" s="839">
        <v>12030</v>
      </c>
      <c r="C29" s="839">
        <v>2870</v>
      </c>
      <c r="D29" s="658" t="s">
        <v>850</v>
      </c>
      <c r="E29" s="657" t="s">
        <v>851</v>
      </c>
      <c r="F29" s="657" t="s">
        <v>852</v>
      </c>
      <c r="G29" s="657" t="s">
        <v>853</v>
      </c>
      <c r="H29" s="657" t="s">
        <v>844</v>
      </c>
      <c r="I29" s="657" t="s">
        <v>851</v>
      </c>
      <c r="J29" s="838">
        <v>41241</v>
      </c>
      <c r="K29" s="838">
        <v>41311</v>
      </c>
      <c r="L29" s="657" t="s">
        <v>845</v>
      </c>
      <c r="M29" s="657">
        <v>55</v>
      </c>
      <c r="N29" s="657">
        <v>206.25</v>
      </c>
      <c r="O29" s="657">
        <v>294.64285714285717</v>
      </c>
      <c r="P29" s="657">
        <v>589.28571428571433</v>
      </c>
      <c r="Q29" s="657">
        <v>0</v>
      </c>
      <c r="R29" s="657">
        <v>0</v>
      </c>
      <c r="S29" s="657">
        <v>0</v>
      </c>
      <c r="T29" s="657">
        <v>0</v>
      </c>
      <c r="U29" s="657">
        <v>0</v>
      </c>
      <c r="V29" s="657">
        <v>0</v>
      </c>
      <c r="W29" s="657">
        <v>0</v>
      </c>
      <c r="X29" s="657">
        <v>500</v>
      </c>
      <c r="Y29" s="657" t="s">
        <v>41</v>
      </c>
      <c r="Z29" s="659" t="s">
        <v>390</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3258</v>
      </c>
      <c r="N57" s="615">
        <f>SUM(N27:N56)</f>
        <v>14619.749999999998</v>
      </c>
      <c r="O57" s="615">
        <f t="shared" ref="O57:W57" si="2">SUM(O27:O56)</f>
        <v>20885.357142857141</v>
      </c>
      <c r="P57" s="615">
        <f t="shared" si="2"/>
        <v>41770.714285714283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3258</v>
      </c>
      <c r="N58" s="615">
        <f t="shared" ref="N58:W58" si="3">SUMIF($Z$27:$Z$56,"industrie",N27:N56)</f>
        <v>14619.749999999998</v>
      </c>
      <c r="O58" s="615">
        <f t="shared" si="3"/>
        <v>20885.357142857141</v>
      </c>
      <c r="P58" s="615">
        <f t="shared" si="3"/>
        <v>41770.714285714283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17199.705882352941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24571.008403361342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33447.926920277343</v>
      </c>
      <c r="D10" s="704">
        <f ca="1">tertiair!C16</f>
        <v>0</v>
      </c>
      <c r="E10" s="704">
        <f ca="1">tertiair!D16</f>
        <v>33215.62593456899</v>
      </c>
      <c r="F10" s="704">
        <f>tertiair!E16</f>
        <v>380.98910870318656</v>
      </c>
      <c r="G10" s="704">
        <f ca="1">tertiair!F16</f>
        <v>6255.7364902674581</v>
      </c>
      <c r="H10" s="704">
        <f>tertiair!G16</f>
        <v>0</v>
      </c>
      <c r="I10" s="704">
        <f>tertiair!H16</f>
        <v>0</v>
      </c>
      <c r="J10" s="704">
        <f>tertiair!I16</f>
        <v>0</v>
      </c>
      <c r="K10" s="704">
        <f>tertiair!J16</f>
        <v>0</v>
      </c>
      <c r="L10" s="704">
        <f>tertiair!K16</f>
        <v>0</v>
      </c>
      <c r="M10" s="704">
        <f ca="1">tertiair!L16</f>
        <v>0</v>
      </c>
      <c r="N10" s="704">
        <f>tertiair!M16</f>
        <v>0</v>
      </c>
      <c r="O10" s="704">
        <f ca="1">tertiair!N16</f>
        <v>2831.3656910566278</v>
      </c>
      <c r="P10" s="704">
        <f>tertiair!O16</f>
        <v>1.5633333333333335</v>
      </c>
      <c r="Q10" s="705">
        <f>tertiair!P16</f>
        <v>57.2</v>
      </c>
      <c r="R10" s="707">
        <f ca="1">SUM(C10:Q10)</f>
        <v>76190.407478206937</v>
      </c>
      <c r="S10" s="67"/>
    </row>
    <row r="11" spans="1:19" s="459" customFormat="1">
      <c r="A11" s="858" t="s">
        <v>225</v>
      </c>
      <c r="B11" s="863"/>
      <c r="C11" s="704">
        <f>huishoudens!B8</f>
        <v>29976.733913017597</v>
      </c>
      <c r="D11" s="704">
        <f>huishoudens!C8</f>
        <v>0</v>
      </c>
      <c r="E11" s="704">
        <f>huishoudens!D8</f>
        <v>87829.085333031937</v>
      </c>
      <c r="F11" s="704">
        <f>huishoudens!E8</f>
        <v>2769.7739085905391</v>
      </c>
      <c r="G11" s="704">
        <f>huishoudens!F8</f>
        <v>11601.620228454989</v>
      </c>
      <c r="H11" s="704">
        <f>huishoudens!G8</f>
        <v>0</v>
      </c>
      <c r="I11" s="704">
        <f>huishoudens!H8</f>
        <v>0</v>
      </c>
      <c r="J11" s="704">
        <f>huishoudens!I8</f>
        <v>0</v>
      </c>
      <c r="K11" s="704">
        <f>huishoudens!J8</f>
        <v>0</v>
      </c>
      <c r="L11" s="704">
        <f>huishoudens!K8</f>
        <v>0</v>
      </c>
      <c r="M11" s="704">
        <f>huishoudens!L8</f>
        <v>0</v>
      </c>
      <c r="N11" s="704">
        <f>huishoudens!M8</f>
        <v>0</v>
      </c>
      <c r="O11" s="704">
        <f>huishoudens!N8</f>
        <v>11286.61002514439</v>
      </c>
      <c r="P11" s="704">
        <f>huishoudens!O8</f>
        <v>217.30333333333337</v>
      </c>
      <c r="Q11" s="705">
        <f>huishoudens!P8</f>
        <v>743.6</v>
      </c>
      <c r="R11" s="707">
        <f>SUM(C11:Q11)</f>
        <v>144424.72674157278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127399.09141813169</v>
      </c>
      <c r="D13" s="704">
        <f>industrie!C18</f>
        <v>20885.357142857141</v>
      </c>
      <c r="E13" s="704">
        <f>industrie!D18</f>
        <v>115966.40647371992</v>
      </c>
      <c r="F13" s="704">
        <f>industrie!E18</f>
        <v>6648.7405979873556</v>
      </c>
      <c r="G13" s="704">
        <f>industrie!F18</f>
        <v>39986.297217973944</v>
      </c>
      <c r="H13" s="704">
        <f>industrie!G18</f>
        <v>0</v>
      </c>
      <c r="I13" s="704">
        <f>industrie!H18</f>
        <v>0</v>
      </c>
      <c r="J13" s="704">
        <f>industrie!I18</f>
        <v>0</v>
      </c>
      <c r="K13" s="704">
        <f>industrie!J18</f>
        <v>108.41240741293363</v>
      </c>
      <c r="L13" s="704">
        <f>industrie!K18</f>
        <v>0</v>
      </c>
      <c r="M13" s="704">
        <f>industrie!L18</f>
        <v>0</v>
      </c>
      <c r="N13" s="704">
        <f>industrie!M18</f>
        <v>0</v>
      </c>
      <c r="O13" s="704">
        <f>industrie!N18</f>
        <v>17135.105514537609</v>
      </c>
      <c r="P13" s="704">
        <f>industrie!O18</f>
        <v>0</v>
      </c>
      <c r="Q13" s="705">
        <f>industrie!P18</f>
        <v>0</v>
      </c>
      <c r="R13" s="707">
        <f>SUM(C13:Q13)</f>
        <v>328129.41077262058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190823.75225142663</v>
      </c>
      <c r="D15" s="709">
        <f t="shared" ref="D15:Q15" ca="1" si="0">SUM(D9:D14)</f>
        <v>20885.357142857141</v>
      </c>
      <c r="E15" s="709">
        <f t="shared" ca="1" si="0"/>
        <v>237011.11774132086</v>
      </c>
      <c r="F15" s="709">
        <f t="shared" si="0"/>
        <v>9799.5036152810808</v>
      </c>
      <c r="G15" s="709">
        <f t="shared" ca="1" si="0"/>
        <v>57843.653936696392</v>
      </c>
      <c r="H15" s="709">
        <f t="shared" si="0"/>
        <v>0</v>
      </c>
      <c r="I15" s="709">
        <f t="shared" si="0"/>
        <v>0</v>
      </c>
      <c r="J15" s="709">
        <f t="shared" si="0"/>
        <v>0</v>
      </c>
      <c r="K15" s="709">
        <f t="shared" si="0"/>
        <v>108.41240741293363</v>
      </c>
      <c r="L15" s="709">
        <f t="shared" si="0"/>
        <v>0</v>
      </c>
      <c r="M15" s="709">
        <f t="shared" ca="1" si="0"/>
        <v>0</v>
      </c>
      <c r="N15" s="709">
        <f t="shared" si="0"/>
        <v>0</v>
      </c>
      <c r="O15" s="709">
        <f t="shared" ca="1" si="0"/>
        <v>31253.081230738626</v>
      </c>
      <c r="P15" s="709">
        <f t="shared" si="0"/>
        <v>218.8666666666667</v>
      </c>
      <c r="Q15" s="710">
        <f t="shared" si="0"/>
        <v>800.80000000000007</v>
      </c>
      <c r="R15" s="711">
        <f ca="1">SUM(R9:R14)</f>
        <v>548744.54499240033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1633.6615941486516</v>
      </c>
      <c r="I18" s="704">
        <f>transport!H54</f>
        <v>0</v>
      </c>
      <c r="J18" s="704">
        <f>transport!I54</f>
        <v>0</v>
      </c>
      <c r="K18" s="704">
        <f>transport!J54</f>
        <v>0</v>
      </c>
      <c r="L18" s="704">
        <f>transport!K54</f>
        <v>0</v>
      </c>
      <c r="M18" s="704">
        <f>transport!L54</f>
        <v>0</v>
      </c>
      <c r="N18" s="704">
        <f>transport!M54</f>
        <v>72.652926891440387</v>
      </c>
      <c r="O18" s="704">
        <f>transport!N54</f>
        <v>0</v>
      </c>
      <c r="P18" s="704">
        <f>transport!O54</f>
        <v>0</v>
      </c>
      <c r="Q18" s="705">
        <f>transport!P54</f>
        <v>0</v>
      </c>
      <c r="R18" s="707">
        <f>SUM(C18:Q18)</f>
        <v>1706.3145210400919</v>
      </c>
      <c r="S18" s="67"/>
    </row>
    <row r="19" spans="1:19" s="459" customFormat="1" ht="15" thickBot="1">
      <c r="A19" s="858" t="s">
        <v>307</v>
      </c>
      <c r="B19" s="863"/>
      <c r="C19" s="713">
        <f>transport!B14</f>
        <v>21.494363753910999</v>
      </c>
      <c r="D19" s="713">
        <f>transport!C14</f>
        <v>0</v>
      </c>
      <c r="E19" s="713">
        <f>transport!D14</f>
        <v>34.695827344482524</v>
      </c>
      <c r="F19" s="713">
        <f>transport!E14</f>
        <v>1110.3863840669287</v>
      </c>
      <c r="G19" s="713">
        <f>transport!F14</f>
        <v>0</v>
      </c>
      <c r="H19" s="713">
        <f>transport!G14</f>
        <v>353523.26712123986</v>
      </c>
      <c r="I19" s="713">
        <f>transport!H14</f>
        <v>52551.333844913352</v>
      </c>
      <c r="J19" s="713">
        <f>transport!I14</f>
        <v>0</v>
      </c>
      <c r="K19" s="713">
        <f>transport!J14</f>
        <v>0</v>
      </c>
      <c r="L19" s="713">
        <f>transport!K14</f>
        <v>0</v>
      </c>
      <c r="M19" s="713">
        <f>transport!L14</f>
        <v>0</v>
      </c>
      <c r="N19" s="713">
        <f>transport!M14</f>
        <v>18197.638010455365</v>
      </c>
      <c r="O19" s="713">
        <f>transport!N14</f>
        <v>0</v>
      </c>
      <c r="P19" s="713">
        <f>transport!O14</f>
        <v>0</v>
      </c>
      <c r="Q19" s="714">
        <f>transport!P14</f>
        <v>0</v>
      </c>
      <c r="R19" s="715">
        <f>SUM(C19:Q19)</f>
        <v>425438.81555177388</v>
      </c>
      <c r="S19" s="67"/>
    </row>
    <row r="20" spans="1:19" s="459" customFormat="1" ht="15.75" thickBot="1">
      <c r="A20" s="716" t="s">
        <v>230</v>
      </c>
      <c r="B20" s="866"/>
      <c r="C20" s="861">
        <f>SUM(C17:C19)</f>
        <v>21.494363753910999</v>
      </c>
      <c r="D20" s="717">
        <f t="shared" ref="D20:R20" si="1">SUM(D17:D19)</f>
        <v>0</v>
      </c>
      <c r="E20" s="717">
        <f t="shared" si="1"/>
        <v>34.695827344482524</v>
      </c>
      <c r="F20" s="717">
        <f t="shared" si="1"/>
        <v>1110.3863840669287</v>
      </c>
      <c r="G20" s="717">
        <f t="shared" si="1"/>
        <v>0</v>
      </c>
      <c r="H20" s="717">
        <f t="shared" si="1"/>
        <v>355156.92871538852</v>
      </c>
      <c r="I20" s="717">
        <f t="shared" si="1"/>
        <v>52551.333844913352</v>
      </c>
      <c r="J20" s="717">
        <f t="shared" si="1"/>
        <v>0</v>
      </c>
      <c r="K20" s="717">
        <f t="shared" si="1"/>
        <v>0</v>
      </c>
      <c r="L20" s="717">
        <f t="shared" si="1"/>
        <v>0</v>
      </c>
      <c r="M20" s="717">
        <f t="shared" si="1"/>
        <v>0</v>
      </c>
      <c r="N20" s="717">
        <f t="shared" si="1"/>
        <v>18270.290937346806</v>
      </c>
      <c r="O20" s="717">
        <f t="shared" si="1"/>
        <v>0</v>
      </c>
      <c r="P20" s="717">
        <f t="shared" si="1"/>
        <v>0</v>
      </c>
      <c r="Q20" s="718">
        <f t="shared" si="1"/>
        <v>0</v>
      </c>
      <c r="R20" s="719">
        <f t="shared" si="1"/>
        <v>427145.13007281395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862.64568334326896</v>
      </c>
      <c r="D22" s="713">
        <f>+landbouw!C8</f>
        <v>0</v>
      </c>
      <c r="E22" s="713">
        <f>+landbouw!D8</f>
        <v>3489.0936563055129</v>
      </c>
      <c r="F22" s="713">
        <f>+landbouw!E8</f>
        <v>10.870446923718255</v>
      </c>
      <c r="G22" s="713">
        <f>+landbouw!F8</f>
        <v>2976.3437131907981</v>
      </c>
      <c r="H22" s="713">
        <f>+landbouw!G8</f>
        <v>0</v>
      </c>
      <c r="I22" s="713">
        <f>+landbouw!H8</f>
        <v>0</v>
      </c>
      <c r="J22" s="713">
        <f>+landbouw!I8</f>
        <v>0</v>
      </c>
      <c r="K22" s="713">
        <f>+landbouw!J8</f>
        <v>129.73210456479276</v>
      </c>
      <c r="L22" s="713">
        <f>+landbouw!K8</f>
        <v>0</v>
      </c>
      <c r="M22" s="713">
        <f>+landbouw!L8</f>
        <v>0</v>
      </c>
      <c r="N22" s="713">
        <f>+landbouw!M8</f>
        <v>0</v>
      </c>
      <c r="O22" s="713">
        <f>+landbouw!N8</f>
        <v>0</v>
      </c>
      <c r="P22" s="713">
        <f>+landbouw!O8</f>
        <v>0</v>
      </c>
      <c r="Q22" s="714">
        <f>+landbouw!P8</f>
        <v>0</v>
      </c>
      <c r="R22" s="715">
        <f>SUM(C22:Q22)</f>
        <v>7468.6856043280914</v>
      </c>
      <c r="S22" s="67"/>
    </row>
    <row r="23" spans="1:19" s="459" customFormat="1" ht="17.25" thickTop="1" thickBot="1">
      <c r="A23" s="720" t="s">
        <v>116</v>
      </c>
      <c r="B23" s="852"/>
      <c r="C23" s="721">
        <f ca="1">C20+C15+C22</f>
        <v>191707.8922985238</v>
      </c>
      <c r="D23" s="721">
        <f t="shared" ref="D23:Q23" ca="1" si="2">D20+D15+D22</f>
        <v>20885.357142857141</v>
      </c>
      <c r="E23" s="721">
        <f t="shared" ca="1" si="2"/>
        <v>240534.90722497087</v>
      </c>
      <c r="F23" s="721">
        <f t="shared" si="2"/>
        <v>10920.760446271728</v>
      </c>
      <c r="G23" s="721">
        <f t="shared" ca="1" si="2"/>
        <v>60819.997649887191</v>
      </c>
      <c r="H23" s="721">
        <f t="shared" si="2"/>
        <v>355156.92871538852</v>
      </c>
      <c r="I23" s="721">
        <f t="shared" si="2"/>
        <v>52551.333844913352</v>
      </c>
      <c r="J23" s="721">
        <f t="shared" si="2"/>
        <v>0</v>
      </c>
      <c r="K23" s="721">
        <f t="shared" si="2"/>
        <v>238.14451197772638</v>
      </c>
      <c r="L23" s="721">
        <f t="shared" si="2"/>
        <v>0</v>
      </c>
      <c r="M23" s="721">
        <f t="shared" ca="1" si="2"/>
        <v>0</v>
      </c>
      <c r="N23" s="721">
        <f t="shared" si="2"/>
        <v>18270.290937346806</v>
      </c>
      <c r="O23" s="721">
        <f t="shared" ca="1" si="2"/>
        <v>31253.081230738626</v>
      </c>
      <c r="P23" s="721">
        <f t="shared" si="2"/>
        <v>218.8666666666667</v>
      </c>
      <c r="Q23" s="722">
        <f t="shared" si="2"/>
        <v>800.80000000000007</v>
      </c>
      <c r="R23" s="723">
        <f ca="1">R20+R15+R22</f>
        <v>983358.36066954234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6590.4699898393592</v>
      </c>
      <c r="D36" s="704">
        <f ca="1">tertiair!C20</f>
        <v>0</v>
      </c>
      <c r="E36" s="704">
        <f ca="1">tertiair!D20</f>
        <v>6709.5564387829363</v>
      </c>
      <c r="F36" s="704">
        <f>tertiair!E20</f>
        <v>86.484527675623355</v>
      </c>
      <c r="G36" s="704">
        <f ca="1">tertiair!F20</f>
        <v>1670.2816429014115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15056.792599199331</v>
      </c>
    </row>
    <row r="37" spans="1:18">
      <c r="A37" s="873" t="s">
        <v>225</v>
      </c>
      <c r="B37" s="880"/>
      <c r="C37" s="704">
        <f ca="1">huishoudens!B12</f>
        <v>5906.5174866599509</v>
      </c>
      <c r="D37" s="704">
        <f ca="1">huishoudens!C12</f>
        <v>0</v>
      </c>
      <c r="E37" s="704">
        <f>huishoudens!D12</f>
        <v>17741.475237272451</v>
      </c>
      <c r="F37" s="704">
        <f>huishoudens!E12</f>
        <v>628.73867725005243</v>
      </c>
      <c r="G37" s="704">
        <f>huishoudens!F12</f>
        <v>3097.6326009974823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27374.36400217994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25102.299784534331</v>
      </c>
      <c r="D39" s="704">
        <f ca="1">industrie!C22</f>
        <v>4963.3436974789911</v>
      </c>
      <c r="E39" s="704">
        <f>industrie!D22</f>
        <v>23425.214107691427</v>
      </c>
      <c r="F39" s="704">
        <f>industrie!E22</f>
        <v>1509.2641157431299</v>
      </c>
      <c r="G39" s="704">
        <f>industrie!F22</f>
        <v>10676.341357199044</v>
      </c>
      <c r="H39" s="704">
        <f>industrie!G22</f>
        <v>0</v>
      </c>
      <c r="I39" s="704">
        <f>industrie!H22</f>
        <v>0</v>
      </c>
      <c r="J39" s="704">
        <f>industrie!I22</f>
        <v>0</v>
      </c>
      <c r="K39" s="704">
        <f>industrie!J22</f>
        <v>38.377992224178506</v>
      </c>
      <c r="L39" s="704">
        <f>industrie!K22</f>
        <v>0</v>
      </c>
      <c r="M39" s="704">
        <f>industrie!L22</f>
        <v>0</v>
      </c>
      <c r="N39" s="704">
        <f>industrie!M22</f>
        <v>0</v>
      </c>
      <c r="O39" s="704">
        <f>industrie!N22</f>
        <v>0</v>
      </c>
      <c r="P39" s="704">
        <f>industrie!O22</f>
        <v>0</v>
      </c>
      <c r="Q39" s="814">
        <f>industrie!P22</f>
        <v>0</v>
      </c>
      <c r="R39" s="906">
        <f ca="1">SUM(C39:Q39)</f>
        <v>65714.841054871096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37599.287261033642</v>
      </c>
      <c r="D41" s="749">
        <f t="shared" ref="D41:R41" ca="1" si="4">SUM(D35:D40)</f>
        <v>4963.3436974789911</v>
      </c>
      <c r="E41" s="749">
        <f t="shared" ca="1" si="4"/>
        <v>47876.24578374681</v>
      </c>
      <c r="F41" s="749">
        <f t="shared" si="4"/>
        <v>2224.4873206688058</v>
      </c>
      <c r="G41" s="749">
        <f t="shared" ca="1" si="4"/>
        <v>15444.255601097939</v>
      </c>
      <c r="H41" s="749">
        <f t="shared" si="4"/>
        <v>0</v>
      </c>
      <c r="I41" s="749">
        <f t="shared" si="4"/>
        <v>0</v>
      </c>
      <c r="J41" s="749">
        <f t="shared" si="4"/>
        <v>0</v>
      </c>
      <c r="K41" s="749">
        <f t="shared" si="4"/>
        <v>38.377992224178506</v>
      </c>
      <c r="L41" s="749">
        <f t="shared" si="4"/>
        <v>0</v>
      </c>
      <c r="M41" s="749">
        <f t="shared" ca="1" si="4"/>
        <v>0</v>
      </c>
      <c r="N41" s="749">
        <f t="shared" si="4"/>
        <v>0</v>
      </c>
      <c r="O41" s="749">
        <f t="shared" ca="1" si="4"/>
        <v>0</v>
      </c>
      <c r="P41" s="749">
        <f t="shared" si="4"/>
        <v>0</v>
      </c>
      <c r="Q41" s="750">
        <f t="shared" si="4"/>
        <v>0</v>
      </c>
      <c r="R41" s="751">
        <f t="shared" ca="1" si="4"/>
        <v>108145.99765625037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436.18764563769003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436.18764563769003</v>
      </c>
    </row>
    <row r="45" spans="1:18" ht="15" thickBot="1">
      <c r="A45" s="876" t="s">
        <v>307</v>
      </c>
      <c r="B45" s="886"/>
      <c r="C45" s="713">
        <f ca="1">transport!B18</f>
        <v>4.2351790473735802</v>
      </c>
      <c r="D45" s="713">
        <f>transport!C18</f>
        <v>0</v>
      </c>
      <c r="E45" s="713">
        <f>transport!D18</f>
        <v>7.0085571235854704</v>
      </c>
      <c r="F45" s="713">
        <f>transport!E18</f>
        <v>252.05770918319283</v>
      </c>
      <c r="G45" s="713">
        <f>transport!F18</f>
        <v>0</v>
      </c>
      <c r="H45" s="713">
        <f>transport!G18</f>
        <v>94390.712321371044</v>
      </c>
      <c r="I45" s="713">
        <f>transport!H18</f>
        <v>13085.282127383425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107739.29589410863</v>
      </c>
    </row>
    <row r="46" spans="1:18" ht="15.75" thickBot="1">
      <c r="A46" s="874" t="s">
        <v>230</v>
      </c>
      <c r="B46" s="887"/>
      <c r="C46" s="749">
        <f t="shared" ref="C46:R46" ca="1" si="5">SUM(C43:C45)</f>
        <v>4.2351790473735802</v>
      </c>
      <c r="D46" s="749">
        <f t="shared" ca="1" si="5"/>
        <v>0</v>
      </c>
      <c r="E46" s="749">
        <f t="shared" si="5"/>
        <v>7.0085571235854704</v>
      </c>
      <c r="F46" s="749">
        <f t="shared" si="5"/>
        <v>252.05770918319283</v>
      </c>
      <c r="G46" s="749">
        <f t="shared" si="5"/>
        <v>0</v>
      </c>
      <c r="H46" s="749">
        <f t="shared" si="5"/>
        <v>94826.899967008736</v>
      </c>
      <c r="I46" s="749">
        <f t="shared" si="5"/>
        <v>13085.282127383425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108175.48353974632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169.9728805760958</v>
      </c>
      <c r="D48" s="704">
        <f ca="1">+landbouw!C12</f>
        <v>0</v>
      </c>
      <c r="E48" s="704">
        <f>+landbouw!D12</f>
        <v>704.7969185737137</v>
      </c>
      <c r="F48" s="704">
        <f>+landbouw!E12</f>
        <v>2.467591451684044</v>
      </c>
      <c r="G48" s="704">
        <f>+landbouw!F12</f>
        <v>794.68377142194311</v>
      </c>
      <c r="H48" s="704">
        <f>+landbouw!G12</f>
        <v>0</v>
      </c>
      <c r="I48" s="704">
        <f>+landbouw!H12</f>
        <v>0</v>
      </c>
      <c r="J48" s="704">
        <f>+landbouw!I12</f>
        <v>0</v>
      </c>
      <c r="K48" s="704">
        <f>+landbouw!J12</f>
        <v>45.925165015936635</v>
      </c>
      <c r="L48" s="704">
        <f>+landbouw!K12</f>
        <v>0</v>
      </c>
      <c r="M48" s="704">
        <f>+landbouw!L12</f>
        <v>0</v>
      </c>
      <c r="N48" s="704">
        <f>+landbouw!M12</f>
        <v>0</v>
      </c>
      <c r="O48" s="704">
        <f>+landbouw!N12</f>
        <v>0</v>
      </c>
      <c r="P48" s="704">
        <f>+landbouw!O12</f>
        <v>0</v>
      </c>
      <c r="Q48" s="705">
        <f>+landbouw!P12</f>
        <v>0</v>
      </c>
      <c r="R48" s="747">
        <f ca="1">SUM(C48:Q48)</f>
        <v>1717.8463270393734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37773.495320657115</v>
      </c>
      <c r="D53" s="759">
        <f t="shared" ref="D53:Q53" ca="1" si="6">D41+D46+D48</f>
        <v>4963.3436974789911</v>
      </c>
      <c r="E53" s="759">
        <f t="shared" ca="1" si="6"/>
        <v>48588.05125944411</v>
      </c>
      <c r="F53" s="759">
        <f t="shared" si="6"/>
        <v>2479.0126213036829</v>
      </c>
      <c r="G53" s="759">
        <f t="shared" ca="1" si="6"/>
        <v>16238.939372519882</v>
      </c>
      <c r="H53" s="759">
        <f t="shared" si="6"/>
        <v>94826.899967008736</v>
      </c>
      <c r="I53" s="759">
        <f t="shared" si="6"/>
        <v>13085.282127383425</v>
      </c>
      <c r="J53" s="759">
        <f t="shared" si="6"/>
        <v>0</v>
      </c>
      <c r="K53" s="759">
        <f t="shared" si="6"/>
        <v>84.303157240115141</v>
      </c>
      <c r="L53" s="759">
        <f t="shared" si="6"/>
        <v>0</v>
      </c>
      <c r="M53" s="759">
        <f t="shared" ca="1" si="6"/>
        <v>0</v>
      </c>
      <c r="N53" s="759">
        <f t="shared" si="6"/>
        <v>0</v>
      </c>
      <c r="O53" s="759">
        <f t="shared" ca="1" si="6"/>
        <v>0</v>
      </c>
      <c r="P53" s="759">
        <f>P41+P46+P48</f>
        <v>0</v>
      </c>
      <c r="Q53" s="760">
        <f t="shared" si="6"/>
        <v>0</v>
      </c>
      <c r="R53" s="761">
        <f ca="1">R41+R46+R48</f>
        <v>218039.32752303607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0.19703672534168265</v>
      </c>
      <c r="D55" s="824">
        <f t="shared" ca="1" si="7"/>
        <v>0.23764705882352941</v>
      </c>
      <c r="E55" s="824">
        <f t="shared" ca="1" si="7"/>
        <v>0.20199999999999999</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12697.066414936056</v>
      </c>
      <c r="C64" s="781">
        <f>'lokale energieproductie'!B4</f>
        <v>12697.066414936056</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9191.2807142582642</v>
      </c>
      <c r="C66" s="781">
        <f>'lokale energieproductie'!B6</f>
        <v>9191.2807142582642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14619.749999999998</v>
      </c>
      <c r="C67" s="780">
        <f>B67*IFERROR(SUM(J67:L67)/SUM(D67:M67),0)</f>
        <v>0</v>
      </c>
      <c r="D67" s="812">
        <f>'lokale energieproductie'!C7</f>
        <v>17199.705882352941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3474.340588235294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36508.097129194321</v>
      </c>
      <c r="C69" s="789">
        <f>SUM(C64:C68)</f>
        <v>21888.347129194321</v>
      </c>
      <c r="D69" s="790">
        <f t="shared" ref="D69:M69" si="8">SUM(D67:D68)</f>
        <v>17199.705882352941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3474.340588235294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20885.357142857141</v>
      </c>
      <c r="C78" s="803">
        <f>B78*IFERROR(SUM(I78:L78)/SUM(D78:M78),0)</f>
        <v>0</v>
      </c>
      <c r="D78" s="818">
        <f>'lokale energieproductie'!C16</f>
        <v>24571.008403361342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4963.3436974789911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20885.357142857141</v>
      </c>
      <c r="C81" s="789">
        <f>SUM(C78:C80)</f>
        <v>0</v>
      </c>
      <c r="D81" s="789">
        <f t="shared" ref="D81:P81" si="9">SUM(D78:D80)</f>
        <v>24571.008403361342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4963.3436974789911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29976.733913017597</v>
      </c>
      <c r="C4" s="463">
        <f>huishoudens!C8</f>
        <v>0</v>
      </c>
      <c r="D4" s="463">
        <f>huishoudens!D8</f>
        <v>87829.085333031937</v>
      </c>
      <c r="E4" s="463">
        <f>huishoudens!E8</f>
        <v>2769.7739085905391</v>
      </c>
      <c r="F4" s="463">
        <f>huishoudens!F8</f>
        <v>11601.620228454989</v>
      </c>
      <c r="G4" s="463">
        <f>huishoudens!G8</f>
        <v>0</v>
      </c>
      <c r="H4" s="463">
        <f>huishoudens!H8</f>
        <v>0</v>
      </c>
      <c r="I4" s="463">
        <f>huishoudens!I8</f>
        <v>0</v>
      </c>
      <c r="J4" s="463">
        <f>huishoudens!J8</f>
        <v>0</v>
      </c>
      <c r="K4" s="463">
        <f>huishoudens!K8</f>
        <v>0</v>
      </c>
      <c r="L4" s="463">
        <f>huishoudens!L8</f>
        <v>0</v>
      </c>
      <c r="M4" s="463">
        <f>huishoudens!M8</f>
        <v>0</v>
      </c>
      <c r="N4" s="463">
        <f>huishoudens!N8</f>
        <v>11286.61002514439</v>
      </c>
      <c r="O4" s="463">
        <f>huishoudens!O8</f>
        <v>217.30333333333337</v>
      </c>
      <c r="P4" s="464">
        <f>huishoudens!P8</f>
        <v>743.6</v>
      </c>
      <c r="Q4" s="465">
        <f>SUM(B4:P4)</f>
        <v>144424.72674157278</v>
      </c>
    </row>
    <row r="5" spans="1:17">
      <c r="A5" s="462" t="s">
        <v>156</v>
      </c>
      <c r="B5" s="463">
        <f ca="1">tertiair!B16</f>
        <v>31924.740920277342</v>
      </c>
      <c r="C5" s="463">
        <f ca="1">tertiair!C16</f>
        <v>0</v>
      </c>
      <c r="D5" s="463">
        <f ca="1">tertiair!D16</f>
        <v>33215.62593456899</v>
      </c>
      <c r="E5" s="463">
        <f>tertiair!E16</f>
        <v>380.98910870318656</v>
      </c>
      <c r="F5" s="463">
        <f ca="1">tertiair!F16</f>
        <v>6255.7364902674581</v>
      </c>
      <c r="G5" s="463">
        <f>tertiair!G16</f>
        <v>0</v>
      </c>
      <c r="H5" s="463">
        <f>tertiair!H16</f>
        <v>0</v>
      </c>
      <c r="I5" s="463">
        <f>tertiair!I16</f>
        <v>0</v>
      </c>
      <c r="J5" s="463">
        <f>tertiair!J16</f>
        <v>0</v>
      </c>
      <c r="K5" s="463">
        <f>tertiair!K16</f>
        <v>0</v>
      </c>
      <c r="L5" s="463">
        <f ca="1">tertiair!L16</f>
        <v>0</v>
      </c>
      <c r="M5" s="463">
        <f>tertiair!M16</f>
        <v>0</v>
      </c>
      <c r="N5" s="463">
        <f ca="1">tertiair!N16</f>
        <v>2831.3656910566278</v>
      </c>
      <c r="O5" s="463">
        <f>tertiair!O16</f>
        <v>1.5633333333333335</v>
      </c>
      <c r="P5" s="464">
        <f>tertiair!P16</f>
        <v>57.2</v>
      </c>
      <c r="Q5" s="462">
        <f t="shared" ref="Q5:Q13" ca="1" si="0">SUM(B5:P5)</f>
        <v>74667.22147820695</v>
      </c>
    </row>
    <row r="6" spans="1:17">
      <c r="A6" s="462" t="s">
        <v>194</v>
      </c>
      <c r="B6" s="463">
        <f>'openbare verlichting'!B8</f>
        <v>1523.1859999999999</v>
      </c>
      <c r="C6" s="463"/>
      <c r="D6" s="463"/>
      <c r="E6" s="463"/>
      <c r="F6" s="463"/>
      <c r="G6" s="463"/>
      <c r="H6" s="463"/>
      <c r="I6" s="463"/>
      <c r="J6" s="463"/>
      <c r="K6" s="463"/>
      <c r="L6" s="463"/>
      <c r="M6" s="463"/>
      <c r="N6" s="463"/>
      <c r="O6" s="463"/>
      <c r="P6" s="464"/>
      <c r="Q6" s="462">
        <f t="shared" si="0"/>
        <v>1523.1859999999999</v>
      </c>
    </row>
    <row r="7" spans="1:17">
      <c r="A7" s="462" t="s">
        <v>112</v>
      </c>
      <c r="B7" s="463">
        <f>landbouw!B8</f>
        <v>862.64568334326896</v>
      </c>
      <c r="C7" s="463">
        <f>landbouw!C8</f>
        <v>0</v>
      </c>
      <c r="D7" s="463">
        <f>landbouw!D8</f>
        <v>3489.0936563055129</v>
      </c>
      <c r="E7" s="463">
        <f>landbouw!E8</f>
        <v>10.870446923718255</v>
      </c>
      <c r="F7" s="463">
        <f>landbouw!F8</f>
        <v>2976.3437131907981</v>
      </c>
      <c r="G7" s="463">
        <f>landbouw!G8</f>
        <v>0</v>
      </c>
      <c r="H7" s="463">
        <f>landbouw!H8</f>
        <v>0</v>
      </c>
      <c r="I7" s="463">
        <f>landbouw!I8</f>
        <v>0</v>
      </c>
      <c r="J7" s="463">
        <f>landbouw!J8</f>
        <v>129.73210456479276</v>
      </c>
      <c r="K7" s="463">
        <f>landbouw!K8</f>
        <v>0</v>
      </c>
      <c r="L7" s="463">
        <f>landbouw!L8</f>
        <v>0</v>
      </c>
      <c r="M7" s="463">
        <f>landbouw!M8</f>
        <v>0</v>
      </c>
      <c r="N7" s="463">
        <f>landbouw!N8</f>
        <v>0</v>
      </c>
      <c r="O7" s="463">
        <f>landbouw!O8</f>
        <v>0</v>
      </c>
      <c r="P7" s="464">
        <f>landbouw!P8</f>
        <v>0</v>
      </c>
      <c r="Q7" s="462">
        <f t="shared" si="0"/>
        <v>7468.6856043280914</v>
      </c>
    </row>
    <row r="8" spans="1:17">
      <c r="A8" s="462" t="s">
        <v>657</v>
      </c>
      <c r="B8" s="463">
        <f>industrie!B18</f>
        <v>127399.09141813169</v>
      </c>
      <c r="C8" s="463">
        <f>industrie!C18</f>
        <v>20885.357142857141</v>
      </c>
      <c r="D8" s="463">
        <f>industrie!D18</f>
        <v>115966.40647371992</v>
      </c>
      <c r="E8" s="463">
        <f>industrie!E18</f>
        <v>6648.7405979873556</v>
      </c>
      <c r="F8" s="463">
        <f>industrie!F18</f>
        <v>39986.297217973944</v>
      </c>
      <c r="G8" s="463">
        <f>industrie!G18</f>
        <v>0</v>
      </c>
      <c r="H8" s="463">
        <f>industrie!H18</f>
        <v>0</v>
      </c>
      <c r="I8" s="463">
        <f>industrie!I18</f>
        <v>0</v>
      </c>
      <c r="J8" s="463">
        <f>industrie!J18</f>
        <v>108.41240741293363</v>
      </c>
      <c r="K8" s="463">
        <f>industrie!K18</f>
        <v>0</v>
      </c>
      <c r="L8" s="463">
        <f>industrie!L18</f>
        <v>0</v>
      </c>
      <c r="M8" s="463">
        <f>industrie!M18</f>
        <v>0</v>
      </c>
      <c r="N8" s="463">
        <f>industrie!N18</f>
        <v>17135.105514537609</v>
      </c>
      <c r="O8" s="463">
        <f>industrie!O18</f>
        <v>0</v>
      </c>
      <c r="P8" s="464">
        <f>industrie!P18</f>
        <v>0</v>
      </c>
      <c r="Q8" s="462">
        <f t="shared" si="0"/>
        <v>328129.41077262058</v>
      </c>
    </row>
    <row r="9" spans="1:17" s="468" customFormat="1">
      <c r="A9" s="466" t="s">
        <v>574</v>
      </c>
      <c r="B9" s="467">
        <f>transport!B14</f>
        <v>21.494363753910999</v>
      </c>
      <c r="C9" s="467">
        <f>transport!C14</f>
        <v>0</v>
      </c>
      <c r="D9" s="467">
        <f>transport!D14</f>
        <v>34.695827344482524</v>
      </c>
      <c r="E9" s="467">
        <f>transport!E14</f>
        <v>1110.3863840669287</v>
      </c>
      <c r="F9" s="467">
        <f>transport!F14</f>
        <v>0</v>
      </c>
      <c r="G9" s="467">
        <f>transport!G14</f>
        <v>353523.26712123986</v>
      </c>
      <c r="H9" s="467">
        <f>transport!H14</f>
        <v>52551.333844913352</v>
      </c>
      <c r="I9" s="467">
        <f>transport!I14</f>
        <v>0</v>
      </c>
      <c r="J9" s="467">
        <f>transport!J14</f>
        <v>0</v>
      </c>
      <c r="K9" s="467">
        <f>transport!K14</f>
        <v>0</v>
      </c>
      <c r="L9" s="467">
        <f>transport!L14</f>
        <v>0</v>
      </c>
      <c r="M9" s="467">
        <f>transport!M14</f>
        <v>18197.638010455365</v>
      </c>
      <c r="N9" s="467">
        <f>transport!N14</f>
        <v>0</v>
      </c>
      <c r="O9" s="467">
        <f>transport!O14</f>
        <v>0</v>
      </c>
      <c r="P9" s="467">
        <f>transport!P14</f>
        <v>0</v>
      </c>
      <c r="Q9" s="466">
        <f>SUM(B9:P9)</f>
        <v>425438.81555177388</v>
      </c>
    </row>
    <row r="10" spans="1:17">
      <c r="A10" s="462" t="s">
        <v>564</v>
      </c>
      <c r="B10" s="463">
        <f>transport!B54</f>
        <v>0</v>
      </c>
      <c r="C10" s="463">
        <f>transport!C54</f>
        <v>0</v>
      </c>
      <c r="D10" s="463">
        <f>transport!D54</f>
        <v>0</v>
      </c>
      <c r="E10" s="463">
        <f>transport!E54</f>
        <v>0</v>
      </c>
      <c r="F10" s="463">
        <f>transport!F54</f>
        <v>0</v>
      </c>
      <c r="G10" s="463">
        <f>transport!G54</f>
        <v>1633.6615941486516</v>
      </c>
      <c r="H10" s="463">
        <f>transport!H54</f>
        <v>0</v>
      </c>
      <c r="I10" s="463">
        <f>transport!I54</f>
        <v>0</v>
      </c>
      <c r="J10" s="463">
        <f>transport!J54</f>
        <v>0</v>
      </c>
      <c r="K10" s="463">
        <f>transport!K54</f>
        <v>0</v>
      </c>
      <c r="L10" s="463">
        <f>transport!L54</f>
        <v>0</v>
      </c>
      <c r="M10" s="463">
        <f>transport!M54</f>
        <v>72.652926891440387</v>
      </c>
      <c r="N10" s="463">
        <f>transport!N54</f>
        <v>0</v>
      </c>
      <c r="O10" s="463">
        <f>transport!O54</f>
        <v>0</v>
      </c>
      <c r="P10" s="464">
        <f>transport!P54</f>
        <v>0</v>
      </c>
      <c r="Q10" s="462">
        <f t="shared" si="0"/>
        <v>1706.3145210400919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191707.8922985238</v>
      </c>
      <c r="C14" s="473">
        <f t="shared" ref="C14:Q14" ca="1" si="1">SUM(C4:C13)</f>
        <v>20885.357142857141</v>
      </c>
      <c r="D14" s="473">
        <f t="shared" ca="1" si="1"/>
        <v>240534.90722497087</v>
      </c>
      <c r="E14" s="473">
        <f t="shared" si="1"/>
        <v>10920.760446271728</v>
      </c>
      <c r="F14" s="473">
        <f t="shared" ca="1" si="1"/>
        <v>60819.997649887191</v>
      </c>
      <c r="G14" s="473">
        <f t="shared" si="1"/>
        <v>355156.92871538852</v>
      </c>
      <c r="H14" s="473">
        <f t="shared" si="1"/>
        <v>52551.333844913352</v>
      </c>
      <c r="I14" s="473">
        <f t="shared" si="1"/>
        <v>0</v>
      </c>
      <c r="J14" s="473">
        <f t="shared" si="1"/>
        <v>238.14451197772638</v>
      </c>
      <c r="K14" s="473">
        <f t="shared" si="1"/>
        <v>0</v>
      </c>
      <c r="L14" s="473">
        <f t="shared" ca="1" si="1"/>
        <v>0</v>
      </c>
      <c r="M14" s="473">
        <f t="shared" si="1"/>
        <v>18270.290937346806</v>
      </c>
      <c r="N14" s="473">
        <f t="shared" ca="1" si="1"/>
        <v>31253.081230738626</v>
      </c>
      <c r="O14" s="473">
        <f t="shared" si="1"/>
        <v>218.8666666666667</v>
      </c>
      <c r="P14" s="474">
        <f t="shared" si="1"/>
        <v>800.80000000000007</v>
      </c>
      <c r="Q14" s="474">
        <f t="shared" ca="1" si="1"/>
        <v>983358.36066954234</v>
      </c>
    </row>
    <row r="16" spans="1:17">
      <c r="A16" s="476" t="s">
        <v>569</v>
      </c>
      <c r="B16" s="829">
        <f ca="1">huishoudens!B10</f>
        <v>0.19703672534168262</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5906.5174866599509</v>
      </c>
      <c r="C21" s="463">
        <f t="shared" ref="C21:C30" ca="1" si="3">C4*$C$16</f>
        <v>0</v>
      </c>
      <c r="D21" s="463">
        <f t="shared" ref="D21:D30" si="4">D4*$D$16</f>
        <v>17741.475237272451</v>
      </c>
      <c r="E21" s="463">
        <f t="shared" ref="E21:E30" si="5">E4*$E$16</f>
        <v>628.73867725005243</v>
      </c>
      <c r="F21" s="463">
        <f t="shared" ref="F21:F30" si="6">F4*$F$16</f>
        <v>3097.6326009974823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27374.36400217994</v>
      </c>
    </row>
    <row r="22" spans="1:17">
      <c r="A22" s="462" t="s">
        <v>156</v>
      </c>
      <c r="B22" s="463">
        <f t="shared" ca="1" si="2"/>
        <v>6290.346408313063</v>
      </c>
      <c r="C22" s="463">
        <f t="shared" ca="1" si="3"/>
        <v>0</v>
      </c>
      <c r="D22" s="463">
        <f t="shared" ca="1" si="4"/>
        <v>6709.5564387829363</v>
      </c>
      <c r="E22" s="463">
        <f t="shared" si="5"/>
        <v>86.484527675623355</v>
      </c>
      <c r="F22" s="463">
        <f t="shared" ca="1" si="6"/>
        <v>1670.2816429014115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14756.669017673035</v>
      </c>
    </row>
    <row r="23" spans="1:17">
      <c r="A23" s="462" t="s">
        <v>194</v>
      </c>
      <c r="B23" s="463">
        <f t="shared" ca="1" si="2"/>
        <v>300.12358152629616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300.12358152629616</v>
      </c>
    </row>
    <row r="24" spans="1:17">
      <c r="A24" s="462" t="s">
        <v>112</v>
      </c>
      <c r="B24" s="463">
        <f t="shared" ca="1" si="2"/>
        <v>169.9728805760958</v>
      </c>
      <c r="C24" s="463">
        <f t="shared" ca="1" si="3"/>
        <v>0</v>
      </c>
      <c r="D24" s="463">
        <f t="shared" si="4"/>
        <v>704.7969185737137</v>
      </c>
      <c r="E24" s="463">
        <f t="shared" si="5"/>
        <v>2.467591451684044</v>
      </c>
      <c r="F24" s="463">
        <f t="shared" si="6"/>
        <v>794.68377142194311</v>
      </c>
      <c r="G24" s="463">
        <f t="shared" si="7"/>
        <v>0</v>
      </c>
      <c r="H24" s="463">
        <f t="shared" si="8"/>
        <v>0</v>
      </c>
      <c r="I24" s="463">
        <f t="shared" si="9"/>
        <v>0</v>
      </c>
      <c r="J24" s="463">
        <f t="shared" si="10"/>
        <v>45.925165015936635</v>
      </c>
      <c r="K24" s="463">
        <f t="shared" si="11"/>
        <v>0</v>
      </c>
      <c r="L24" s="463">
        <f t="shared" si="12"/>
        <v>0</v>
      </c>
      <c r="M24" s="463">
        <f t="shared" si="13"/>
        <v>0</v>
      </c>
      <c r="N24" s="463">
        <f t="shared" si="14"/>
        <v>0</v>
      </c>
      <c r="O24" s="463">
        <f t="shared" si="15"/>
        <v>0</v>
      </c>
      <c r="P24" s="464">
        <f t="shared" si="16"/>
        <v>0</v>
      </c>
      <c r="Q24" s="462">
        <f t="shared" ca="1" si="17"/>
        <v>1717.8463270393734</v>
      </c>
    </row>
    <row r="25" spans="1:17">
      <c r="A25" s="462" t="s">
        <v>657</v>
      </c>
      <c r="B25" s="463">
        <f t="shared" ca="1" si="2"/>
        <v>25102.299784534331</v>
      </c>
      <c r="C25" s="463">
        <f t="shared" ca="1" si="3"/>
        <v>4963.3436974789911</v>
      </c>
      <c r="D25" s="463">
        <f t="shared" si="4"/>
        <v>23425.214107691427</v>
      </c>
      <c r="E25" s="463">
        <f t="shared" si="5"/>
        <v>1509.2641157431299</v>
      </c>
      <c r="F25" s="463">
        <f t="shared" si="6"/>
        <v>10676.341357199044</v>
      </c>
      <c r="G25" s="463">
        <f t="shared" si="7"/>
        <v>0</v>
      </c>
      <c r="H25" s="463">
        <f t="shared" si="8"/>
        <v>0</v>
      </c>
      <c r="I25" s="463">
        <f t="shared" si="9"/>
        <v>0</v>
      </c>
      <c r="J25" s="463">
        <f t="shared" si="10"/>
        <v>38.377992224178506</v>
      </c>
      <c r="K25" s="463">
        <f t="shared" si="11"/>
        <v>0</v>
      </c>
      <c r="L25" s="463">
        <f t="shared" si="12"/>
        <v>0</v>
      </c>
      <c r="M25" s="463">
        <f t="shared" si="13"/>
        <v>0</v>
      </c>
      <c r="N25" s="463">
        <f t="shared" si="14"/>
        <v>0</v>
      </c>
      <c r="O25" s="463">
        <f t="shared" si="15"/>
        <v>0</v>
      </c>
      <c r="P25" s="464">
        <f t="shared" si="16"/>
        <v>0</v>
      </c>
      <c r="Q25" s="462">
        <f t="shared" ca="1" si="17"/>
        <v>65714.841054871096</v>
      </c>
    </row>
    <row r="26" spans="1:17" s="468" customFormat="1">
      <c r="A26" s="466" t="s">
        <v>574</v>
      </c>
      <c r="B26" s="823">
        <f t="shared" ca="1" si="2"/>
        <v>4.2351790473735802</v>
      </c>
      <c r="C26" s="467">
        <f t="shared" ca="1" si="3"/>
        <v>0</v>
      </c>
      <c r="D26" s="467">
        <f t="shared" si="4"/>
        <v>7.0085571235854704</v>
      </c>
      <c r="E26" s="467">
        <f t="shared" si="5"/>
        <v>252.05770918319283</v>
      </c>
      <c r="F26" s="467">
        <f t="shared" si="6"/>
        <v>0</v>
      </c>
      <c r="G26" s="467">
        <f t="shared" si="7"/>
        <v>94390.712321371044</v>
      </c>
      <c r="H26" s="467">
        <f t="shared" si="8"/>
        <v>13085.282127383425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107739.29589410863</v>
      </c>
    </row>
    <row r="27" spans="1:17">
      <c r="A27" s="462" t="s">
        <v>564</v>
      </c>
      <c r="B27" s="463">
        <f t="shared" ca="1" si="2"/>
        <v>0</v>
      </c>
      <c r="C27" s="463">
        <f t="shared" ca="1" si="3"/>
        <v>0</v>
      </c>
      <c r="D27" s="463">
        <f t="shared" si="4"/>
        <v>0</v>
      </c>
      <c r="E27" s="463">
        <f t="shared" si="5"/>
        <v>0</v>
      </c>
      <c r="F27" s="463">
        <f t="shared" si="6"/>
        <v>0</v>
      </c>
      <c r="G27" s="463">
        <f t="shared" si="7"/>
        <v>436.18764563769003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436.18764563769003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37773.495320657108</v>
      </c>
      <c r="C31" s="473">
        <f t="shared" ca="1" si="18"/>
        <v>4963.3436974789911</v>
      </c>
      <c r="D31" s="473">
        <f t="shared" ca="1" si="18"/>
        <v>48588.05125944411</v>
      </c>
      <c r="E31" s="473">
        <f t="shared" si="18"/>
        <v>2479.0126213036824</v>
      </c>
      <c r="F31" s="473">
        <f t="shared" ca="1" si="18"/>
        <v>16238.939372519881</v>
      </c>
      <c r="G31" s="473">
        <f t="shared" si="18"/>
        <v>94826.899967008736</v>
      </c>
      <c r="H31" s="473">
        <f t="shared" si="18"/>
        <v>13085.282127383425</v>
      </c>
      <c r="I31" s="473">
        <f t="shared" si="18"/>
        <v>0</v>
      </c>
      <c r="J31" s="473">
        <f t="shared" si="18"/>
        <v>84.303157240115141</v>
      </c>
      <c r="K31" s="473">
        <f t="shared" si="18"/>
        <v>0</v>
      </c>
      <c r="L31" s="473">
        <f t="shared" ca="1" si="18"/>
        <v>0</v>
      </c>
      <c r="M31" s="473">
        <f t="shared" si="18"/>
        <v>0</v>
      </c>
      <c r="N31" s="473">
        <f t="shared" ca="1" si="18"/>
        <v>0</v>
      </c>
      <c r="O31" s="473">
        <f t="shared" si="18"/>
        <v>0</v>
      </c>
      <c r="P31" s="474">
        <f t="shared" si="18"/>
        <v>0</v>
      </c>
      <c r="Q31" s="474">
        <f t="shared" ca="1" si="18"/>
        <v>218039.32752303607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0.19703672534168262</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0.19703672534168262</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0.19703672534168262</v>
      </c>
      <c r="C29" s="514">
        <f ca="1">'EF ele_warmte'!B22</f>
        <v>0.23764705882352941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2018-06-27T09:29:08Z</dcterms:modified>
</cp:coreProperties>
</file>