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Q5" i="48"/>
  <c r="F8"/>
  <c r="Q8" s="1"/>
  <c r="Q14" s="1"/>
  <c r="N25"/>
  <c r="N31" s="1"/>
  <c r="N14"/>
  <c r="E25"/>
  <c r="E31" s="1"/>
  <c r="E14"/>
  <c r="H55" i="14"/>
  <c r="E55"/>
  <c r="C78"/>
  <c r="C81" s="1"/>
  <c r="J14" i="48"/>
  <c r="J31"/>
  <c r="R19" i="14"/>
  <c r="R20" s="1"/>
  <c r="H14" i="48"/>
  <c r="G31"/>
  <c r="H26"/>
  <c r="H31" s="1"/>
  <c r="F55" i="14"/>
  <c r="O53"/>
  <c r="G53"/>
  <c r="G55" s="1"/>
  <c r="O69" s="1"/>
  <c r="B9" i="6" s="1"/>
  <c r="B12" s="1"/>
  <c r="M53" i="14"/>
  <c r="M55" s="1"/>
  <c r="C24" i="48"/>
  <c r="C27"/>
  <c r="C28"/>
  <c r="C22"/>
  <c r="C25"/>
  <c r="K55" i="14"/>
  <c r="R13"/>
  <c r="R15" s="1"/>
  <c r="F25" i="48"/>
  <c r="F31" s="1"/>
  <c r="F14"/>
  <c r="C29" l="1"/>
  <c r="C31" s="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<sst xmlns="http://schemas.openxmlformats.org/spreadsheetml/2006/main" count="2033" uniqueCount="870">
  <si>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</si>
  <si>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</si>
  <si>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</si>
  <si>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</si>
  <si>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</si>
  <si>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</si>
  <si>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</si>
  <si>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</si>
  <si>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</si>
  <si>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</si>
  <si>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</si>
  <si>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</si>
  <si>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</si>
  <si>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</si>
  <si>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</si>
  <si>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</si>
  <si>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</si>
  <si>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</si>
  <si>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</si>
  <si>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</si>
  <si>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</si>
  <si>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</si>
  <si>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</si>
  <si>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</si>
  <si>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</si>
  <si>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</si>
  <si>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</si>
  <si>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</si>
  <si>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</si>
  <si>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</si>
  <si>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</si>
  <si>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</si>
  <si>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</si>
  <si>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</si>
  <si>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</si>
  <si>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</si>
  <si>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</si>
  <si>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</si>
  <si>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</si>
  <si>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</si>
  <si>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</si>
  <si>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</si>
  <si>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</si>
  <si>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</si>
  <si>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</si>
  <si>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</si>
  <si>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</si>
  <si>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</si>
  <si>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</si>
  <si>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</si>
  <si>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</si>
  <si>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</si>
  <si>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</si>
  <si>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</si>
  <si>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</si>
  <si>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</si>
  <si>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</si>
  <si>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</si>
  <si>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</si>
  <si>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</si>
  <si>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</si>
  <si>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</si>
  <si>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</si>
  <si>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</si>
  <si>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</si>
  <si>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</si>
  <si>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</si>
  <si>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</si>
  <si>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</si>
  <si>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</si>
  <si>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</si>
  <si>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</si>
  <si>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</si>
  <si>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</si>
  <si>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</si>
  <si>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</si>
  <si>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</si>
  <si>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</si>
  <si>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</si>
  <si>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</si>
  <si>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</si>
  <si>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</si>
  <si>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</si>
  <si>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</si>
  <si>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</si>
  <si>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</si>
  <si>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</si>
  <si>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</si>
  <si>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</si>
  <si>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</si>
  <si>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</si>
  <si>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</si>
  <si>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</si>
  <si>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</si>
  <si>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</si>
  <si>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</si>
  <si>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</si>
  <si>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</si>
  <si>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</si>
  <si>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</si>
  <si>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</si>
  <si>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</si>
  <si>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</si>
  <si>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</si>
  <si>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</si>
  <si>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</si>
  <si>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</si>
  <si>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</si>
  <si>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</si>
  <si>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</si>
  <si>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</si>
  <si>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</si>
  <si>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</si>
  <si>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</si>
  <si>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</si>
  <si>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</si>
  <si>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</si>
  <si>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</si>
  <si>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</si>
  <si>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</si>
  <si>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</si>
  <si>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</si>
  <si>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</si>
  <si>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</si>
  <si>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</si>
  <si>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</si>
  <si>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</si>
  <si>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</si>
  <si>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</si>
  <si>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</si>
  <si>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</si>
  <si>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</si>
  <si>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</si>
  <si>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</si>
  <si>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</si>
  <si>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</si>
  <si>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</si>
  <si>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</si>
  <si>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</si>
  <si>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</si>
  <si>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</si>
  <si>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</si>
  <si>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</si>
  <si>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</si>
  <si>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</si>
  <si>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</si>
  <si>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</si>
  <si>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</si>
  <si>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</si>
  <si>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</si>
  <si>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</si>
  <si>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</si>
  <si>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</si>
  <si>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</si>
  <si>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</si>
  <si>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</si>
  <si>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</si>
  <si>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</si>
  <si>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</si>
  <si>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</si>
  <si>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</si>
  <si>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</si>
  <si>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</si>
  <si>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</si>
  <si>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</si>
  <si>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</si>
  <si>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</si>
  <si>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</si>
  <si>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</si>
  <si>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</si>
  <si>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</si>
  <si>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</si>
  <si>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</si>
  <si>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</si>
  <si>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</si>
  <si>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</si>
  <si>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</si>
  <si>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</si>
  <si>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</si>
  <si>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</si>
  <si>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</si>
  <si>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</si>
  <si>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</si>
  <si>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</si>
  <si>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</si>
  <si>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</si>
  <si>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</si>
  <si>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</si>
  <si>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</si>
  <si>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</si>
  <si>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</si>
  <si>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</si>
  <si>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</si>
  <si>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</si>
  <si>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</si>
  <si>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</si>
  <si>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</si>
  <si>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</si>
  <si>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</si>
  <si>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</si>
  <si>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</si>
  <si>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</si>
  <si>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</si>
  <si>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</si>
  <si>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</si>
  <si>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</si>
  <si>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</si>
  <si>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</si>
  <si>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</si>
  <si>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</si>
  <si>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</si>
  <si>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</si>
  <si>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</si>
  <si>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</si>
  <si>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</si>
  <si>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</si>
  <si>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</si>
  <si>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</si>
  <si>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</si>
  <si>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</si>
  <si>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</si>
  <si>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</si>
  <si>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</si>
  <si>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</si>
  <si>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</si>
  <si>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</si>
  <si>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</si>
  <si>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</si>
  <si>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</si>
  <si>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</si>
  <si>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</si>
  <si>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</si>
  <si>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</si>
  <si>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</si>
  <si>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</si>
  <si>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</si>
  <si>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</si>
  <si>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</si>
  <si>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</si>
  <si>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</si>
  <si>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</si>
  <si>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</si>
  <si>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</si>
  <si>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</si>
  <si>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</si>
  <si>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</si>
  <si>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</si>
  <si>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</si>
  <si>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</si>
  <si>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</si>
  <si>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</si>
  <si>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</si>
  <si>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</si>
  <si>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</si>
  <si>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</si>
  <si>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</si>
  <si>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</si>
  <si>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</si>
  <si>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</si>
  <si>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</si>
  <si>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</si>
  <si>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</si>
  <si>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</si>
  <si>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</si>
  <si>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</si>
  <si>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</si>
  <si>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</si>
  <si>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</si>
  <si>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</si>
  <si>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</si>
  <si>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</si>
  <si>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</si>
  <si>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</si>
  <si>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</si>
  <si>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</si>
  <si>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</si>
  <si>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</si>
  <si>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</si>
  <si>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</si>
  <si>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</si>
  <si>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</si>
  <si>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</si>
  <si>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</si>
  <si>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</si>
  <si>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</si>
  <si>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</si>
  <si>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</si>
  <si>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</si>
  <si>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</si>
  <si>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</si>
  <si>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</si>
  <si>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</si>
  <si>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</si>
  <si>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</si>
  <si>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</si>
  <si>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</si>
  <si>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</si>
  <si>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</si>
  <si>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</si>
  <si>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</si>
  <si>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</si>
  <si>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</si>
  <si>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</si>
  <si>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</si>
  <si>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</si>
  <si>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</si>
  <si>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</si>
  <si>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</si>
  <si>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</si>
  <si>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</si>
  <si>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</si>
  <si>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</si>
  <si>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</si>
  <si>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</si>
  <si>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</si>
  <si>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</si>
  <si>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</si>
  <si>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</si>
  <si>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</si>
  <si>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</si>
  <si>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</si>
  <si>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</si>
  <si>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</si>
  <si>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</si>
  <si>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</si>
  <si>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</si>
  <si>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</si>
  <si>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</si>
  <si>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</si>
  <si>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</si>
  <si>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</si>
  <si>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</si>
  <si>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</si>
  <si>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</si>
  <si>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</si>
  <si>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</si>
  <si>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</si>
  <si>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</si>
  <si>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</si>
  <si>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</si>
  <si>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</si>
  <si>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</si>
  <si>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</si>
  <si>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</si>
  <si>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</si>
  <si>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</si>
  <si>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</si>
  <si>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</si>
  <si>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</si>
  <si>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</si>
  <si>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</si>
  <si>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</si>
  <si>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</si>
  <si>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</si>
  <si>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</si>
  <si>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</si>
  <si>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</si>
  <si>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</si>
  <si>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</si>
  <si>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</si>
  <si>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</si>
  <si>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</si>
  <si>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</si>
  <si>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</si>
  <si>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</si>
  <si>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</si>
  <si>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</si>
  <si>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</si>
  <si>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</si>
  <si>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</si>
  <si>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</si>
  <si>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</si>
  <si>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</si>
  <si>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</si>
  <si>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</si>
  <si>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</si>
  <si>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</si>
  <si>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</si>
  <si>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</si>
  <si>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</si>
  <si>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</si>
  <si>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</si>
  <si>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</si>
  <si>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</si>
  <si>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</si>
  <si>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</si>
  <si>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</si>
  <si>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</si>
  <si>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</si>
  <si>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</si>
  <si>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</si>
  <si>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</si>
  <si>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</si>
  <si>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</si>
  <si>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</si>
  <si>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</si>
  <si>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</si>
  <si>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</si>
  <si>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</si>
  <si>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</si>
  <si>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</si>
  <si>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</si>
  <si>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</si>
  <si>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</si>
  <si>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</si>
  <si>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</si>
  <si>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</si>
  <si>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</si>
  <si>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</si>
  <si>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</si>
  <si>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</si>
  <si>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</si>
  <si>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</si>
  <si>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</si>
  <si>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</si>
  <si>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</si>
  <si>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</si>
  <si>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</si>
  <si>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</si>
  <si>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</si>
  <si>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</si>
  <si>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</si>
  <si>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</si>
  <si>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</si>
  <si>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</si>
  <si>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</si>
  <si>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</si>
  <si>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</si>
  <si>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</si>
  <si>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</si>
  <si>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</si>
  <si>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</si>
  <si>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</si>
  <si>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</si>
  <si>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</si>
  <si>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</si>
  <si>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</si>
  <si>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</si>
  <si>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</si>
  <si>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</si>
  <si>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</si>
  <si>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</si>
  <si>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</si>
  <si>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</si>
  <si>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</si>
  <si>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</si>
  <si>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</si>
  <si>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</si>
  <si>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</si>
  <si>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</si>
  <si>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</si>
  <si>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</si>
  <si>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</si>
  <si>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</si>
  <si>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</si>
  <si>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</si>
  <si>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</si>
  <si>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</si>
  <si>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</si>
  <si>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</si>
  <si>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</si>
  <si>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</si>
  <si>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</si>
  <si>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</si>
  <si>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</si>
  <si>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</si>
  <si>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</si>
  <si>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</si>
  <si>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</si>
  <si>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</si>
  <si>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</si>
  <si>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</si>
  <si>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</si>
  <si>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</si>
  <si>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</si>
  <si>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</si>
  <si>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</si>
  <si>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</si>
  <si>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</si>
  <si>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</si>
  <si>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</si>
  <si>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</si>
  <si>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</si>
  <si>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</si>
  <si>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</si>
  <si>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</si>
  <si>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</si>
  <si>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</si>
  <si>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</si>
  <si>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</si>
  <si>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</si>
  <si>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</si>
  <si>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</si>
  <si>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</si>
  <si>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</si>
  <si>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</si>
  <si>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</si>
  <si>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</si>
  <si>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</si>
  <si>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</si>
  <si>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</si>
  <si>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</si>
  <si>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</si>
  <si>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</si>
  <si>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</si>
  <si>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</si>
  <si>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</si>
  <si>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</si>
  <si>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</si>
  <si>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</si>
  <si>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</si>
  <si>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</si>
  <si>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</si>
  <si>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</si>
  <si>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</si>
  <si>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</si>
  <si>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</si>
  <si>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</si>
  <si>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</si>
  <si>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</si>
  <si>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</si>
  <si>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</si>
  <si>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</si>
  <si>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</si>
  <si>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</si>
  <si>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</si>
  <si>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</si>
  <si>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</si>
  <si>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</si>
  <si>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</si>
  <si>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</si>
  <si>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</si>
  <si>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</si>
  <si>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</si>
  <si>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</si>
  <si>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</si>
  <si>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</si>
  <si>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</si>
  <si>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</si>
  <si>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</si>
  <si>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</si>
  <si>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</si>
  <si>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</si>
  <si>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</si>
  <si>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</si>
  <si>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</si>
  <si>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</si>
  <si>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</si>
  <si>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</si>
  <si>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</si>
  <si>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</si>
  <si>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</si>
  <si>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</si>
  <si>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</si>
  <si>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</si>
  <si>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</si>
  <si>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</si>
  <si>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</si>
  <si>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</si>
  <si>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</si>
  <si>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</si>
  <si>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</si>
  <si>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</si>
  <si>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</si>
  <si>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</si>
  <si>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</si>
  <si>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</si>
  <si>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</si>
  <si>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</si>
  <si>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</si>
  <si>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</si>
  <si>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</si>
  <si>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</si>
  <si>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</si>
  <si>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</si>
  <si>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</si>
  <si>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</si>
  <si>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</si>
  <si>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</si>
  <si>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</si>
  <si>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</si>
  <si>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</si>
  <si>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</si>
  <si>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</si>
  <si>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</si>
  <si>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</si>
  <si>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</si>
  <si>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</si>
  <si>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</si>
  <si>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</si>
  <si>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</si>
  <si>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</si>
  <si>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</si>
  <si>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</si>
  <si>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</si>
  <si>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</si>
  <si>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</si>
  <si>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</si>
  <si>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</si>
  <si>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</si>
  <si>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</si>
  <si>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</si>
  <si>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</si>
  <si>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</si>
  <si>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</si>
  <si>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</si>
  <si>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</si>
  <si>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</si>
  <si>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</si>
  <si>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</si>
  <si>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</si>
  <si>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</si>
  <si>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</si>
  <si>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</si>
  <si>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</si>
  <si>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</si>
  <si>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</si>
  <si>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</si>
  <si>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</si>
  <si>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</si>
  <si>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</si>
  <si>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</si>
  <si>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</si>
  <si>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</si>
  <si>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</si>
  <si>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</si>
  <si>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</si>
  <si>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</si>
  <si>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</si>
  <si>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</si>
  <si>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</si>
  <si>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</si>
  <si>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</si>
  <si>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</si>
  <si>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</si>
  <si>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</si>
  <si>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</si>
  <si>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</si>
  <si>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</si>
  <si>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</si>
  <si>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</si>
  <si>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</si>
  <si>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</si>
  <si>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</si>
  <si>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</si>
  <si>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</si>
  <si>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</si>
  <si>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</si>
  <si>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</si>
  <si>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</si>
  <si>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</si>
  <si>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</si>
  <si>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</si>
  <si>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</si>
  <si>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</si>
  <si>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</si>
  <si>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</si>
  <si>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</si>
  <si>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</si>
  <si>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</si>
  <si>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</si>
  <si>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</si>
  <si>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</si>
  <si>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</si>
  <si>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</si>
  <si>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</si>
  <si>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</si>
  <si>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</si>
  <si>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</si>
  <si>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</si>
  <si>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</si>
  <si>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</si>
  <si>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</si>
  <si>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</si>
  <si>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</si>
  <si>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</si>
  <si>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</si>
  <si>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</si>
  <si>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</si>
  <si>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</si>
  <si>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</si>
  <si>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</si>
  <si>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</si>
  <si>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</si>
  <si>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</si>
  <si>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</si>
  <si>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</si>
  <si>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</si>
  <si>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</si>
  <si>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</si>
  <si>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</si>
  <si>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</si>
  <si>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</si>
  <si>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</si>
  <si>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</si>
  <si>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</si>
  <si>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</si>
  <si>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</si>
  <si>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</si>
  <si>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</si>
  <si>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</si>
  <si>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</si>
  <si>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</si>
  <si>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</si>
  <si>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</si>
  <si>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</si>
  <si>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</si>
  <si>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</si>
  <si>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</si>
  <si>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</si>
  <si>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</si>
  <si>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</si>
  <si>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</si>
  <si>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</si>
  <si>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</si>
  <si>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</si>
  <si>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</si>
  <si>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</si>
  <si>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</si>
  <si>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</si>
  <si>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</si>
  <si>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</si>
  <si>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</si>
  <si>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</si>
  <si>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</si>
  <si>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</si>
  <si>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</si>
  <si>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</si>
  <si>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</si>
  <si>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</si>
  <si>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</si>
  <si>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</si>
  <si>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</si>
  <si>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</si>
  <si>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</si>
  <si>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</si>
  <si>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</si>
  <si>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</si>
  <si>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</si>
  <si>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</si>
  <si>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</si>
  <si>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</si>
  <si>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</si>
  <si>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</si>
  <si>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</si>
  <si>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</si>
  <si>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</si>
  <si>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</si>
  <si>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</si>
  <si>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</si>
  <si>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</si>
  <si>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</si>
  <si>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</si>
  <si>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</si>
  <si>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</si>
  <si>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</si>
  <si>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</si>
  <si>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</si>
  <si>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</si>
  <si>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</si>
  <si>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</si>
  <si>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</si>
  <si>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</si>
  <si>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</si>
  <si>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</si>
  <si>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</si>
  <si>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</si>
  <si>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</si>
  <si>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</si>
  <si>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</si>
  <si>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</si>
  <si>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</si>
  <si>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</si>
  <si>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</si>
  <si>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</si>
  <si>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</si>
  <si>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</si>
  <si>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</si>
  <si>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</si>
  <si>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</si>
  <si>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</si>
  <si>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</si>
  <si>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</si>
  <si>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</si>
  <si>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</si>
  <si>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</si>
  <si>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</si>
  <si>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</si>
  <si>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</si>
  <si>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</si>
  <si>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</si>
  <si>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</si>
  <si>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</si>
  <si>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</si>
  <si>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</si>
  <si>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</si>
  <si>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</si>
  <si>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</si>
  <si>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</si>
  <si>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</si>
  <si>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</si>
  <si>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</si>
  <si>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</si>
  <si>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</si>
  <si>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</si>
  <si>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</si>
  <si>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</si>
  <si>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</si>
  <si>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</si>
  <si>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</si>
  <si>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</si>
  <si>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</si>
  <si>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</si>
  <si>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</si>
  <si>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</si>
  <si>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</si>
  <si>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</si>
  <si>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</si>
  <si>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</si>
  <si>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</si>
  <si>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</si>
  <si>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</si>
  <si>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</si>
  <si>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</si>
  <si>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</si>
  <si>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</si>
  <si>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</si>
  <si>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</si>
  <si>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</si>
  <si>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</si>
  <si>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</si>
  <si>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</si>
  <si>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</si>
  <si>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12029</t>
  </si>
  <si>
    <t>PUTTE</t>
  </si>
  <si>
    <t>Cultuurgrond (ha)</t>
  </si>
  <si>
    <t>Paarden&amp;pony's 200 - 600 kg</t>
  </si>
  <si>
    <t>Paarden&amp;pony's &lt; 200 kg</t>
  </si>
  <si>
    <t>op basis van VEA (maart 2018) en Inventaris Hernieuwbare Energiebronnen (juni 2018)</t>
  </si>
  <si>
    <t>VEA (juni 2018)</t>
  </si>
  <si>
    <t>Peemat bvba</t>
  </si>
  <si>
    <t>Mechelbaan 685, 2580 Putte</t>
  </si>
  <si>
    <t>WKK-0062 Peemat</t>
  </si>
  <si>
    <t>interne verbrandingsmotor</t>
  </si>
  <si>
    <t>WKK interne verbrandinsgmotor (gas)</t>
  </si>
  <si>
    <t>IVERLEK</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</si>
  <si>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</si>
  <si>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</si>
  <si>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</si>
  <si>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</si>
  <si>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</si>
  <si>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</si>
  <si>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</si>
  <si>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</si>
  <si>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</si>
  <si>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</si>
  <si>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</si>
  <si>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</si>
  <si>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</si>
  <si>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</si>
  <si>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</si>
  <si>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</si>
  <si>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</si>
  <si>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</si>
  <si>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</si>
  <si>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</si>
  <si>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</si>
  <si>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Tuinbouwbedrijf Van Bulck bvba</t>
  </si>
  <si>
    <t>Steenbeek 1, 2580 Putte</t>
  </si>
  <si>
    <t>WKK-0078 Van Bulck bvba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</si>
</sst>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158505.40262537575</c:v>
                </c:pt>
                <c:pt idx="1">
                  <c:v>58124.951195057707</c:v>
                </c:pt>
                <c:pt idx="2">
                  <c:v>996.74900000000002</c:v>
                </c:pt>
                <c:pt idx="3">
                  <c:v>73706.251286836748</c:v>
                </c:pt>
                <c:pt idx="4">
                  <c:v>17359.869577010326</c:v>
                </c:pt>
                <c:pt idx="5">
                  <c:v>94517.271392477996</c:v>
                </c:pt>
                <c:pt idx="6">
                  <c:v>1629.8874060221949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9456"/>
        <c:axId val="182420992"/>
      </c:barChart>
      <c:catAx>
        <c:axId val="182419456"/>
        <c:scaling>
          <c:orientation val="minMax"/>
        </c:scaling>
        <c:axPos val="b"/>
        <c:numFmt formatCode="General" sourceLinked="0"/>
        <c:tickLblPos val="nextTo"/>
        <c:crossAx val="182420992"/>
        <c:crosses val="autoZero"/>
        <c:auto val="1"/>
        <c:lblAlgn val="ctr"/>
        <c:lblOffset val="100"/>
      </c:catAx>
      <c:valAx>
        <c:axId val="182420992"/>
        <c:scaling>
          <c:orientation val="minMax"/>
        </c:scaling>
        <c:axPos val="l"/>
        <c:majorGridlines/>
        <c:numFmt formatCode="#,##0" sourceLinked="1"/>
        <c:tickLblPos val="nextTo"/>
        <c:crossAx val="18241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158505.40262537575</c:v>
                </c:pt>
                <c:pt idx="1">
                  <c:v>58124.951195057707</c:v>
                </c:pt>
                <c:pt idx="2">
                  <c:v>996.74900000000002</c:v>
                </c:pt>
                <c:pt idx="3">
                  <c:v>73706.251286836748</c:v>
                </c:pt>
                <c:pt idx="4">
                  <c:v>17359.869577010326</c:v>
                </c:pt>
                <c:pt idx="5">
                  <c:v>94517.271392477996</c:v>
                </c:pt>
                <c:pt idx="6">
                  <c:v>1629.8874060221949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32805.841027566501</c:v>
                </c:pt>
                <c:pt idx="1">
                  <c:v>11886.17400256662</c:v>
                </c:pt>
                <c:pt idx="2">
                  <c:v>209.74210674472388</c:v>
                </c:pt>
                <c:pt idx="3">
                  <c:v>16681.472695619239</c:v>
                </c:pt>
                <c:pt idx="4">
                  <c:v>3461.8025508823062</c:v>
                </c:pt>
                <c:pt idx="5">
                  <c:v>23858.204666221452</c:v>
                </c:pt>
                <c:pt idx="6">
                  <c:v>416.65047183328664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79488"/>
        <c:axId val="182485376"/>
      </c:barChart>
      <c:catAx>
        <c:axId val="182479488"/>
        <c:scaling>
          <c:orientation val="minMax"/>
        </c:scaling>
        <c:axPos val="b"/>
        <c:numFmt formatCode="General" sourceLinked="0"/>
        <c:tickLblPos val="nextTo"/>
        <c:crossAx val="182485376"/>
        <c:crosses val="autoZero"/>
        <c:auto val="1"/>
        <c:lblAlgn val="ctr"/>
        <c:lblOffset val="100"/>
      </c:catAx>
      <c:valAx>
        <c:axId val="182485376"/>
        <c:scaling>
          <c:orientation val="minMax"/>
        </c:scaling>
        <c:axPos val="l"/>
        <c:majorGridlines/>
        <c:numFmt formatCode="#,##0" sourceLinked="1"/>
        <c:tickLblPos val="nextTo"/>
        <c:crossAx val="182479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32805.841027566501</c:v>
                </c:pt>
                <c:pt idx="1">
                  <c:v>11886.17400256662</c:v>
                </c:pt>
                <c:pt idx="2">
                  <c:v>209.74210674472388</c:v>
                </c:pt>
                <c:pt idx="3">
                  <c:v>16681.472695619239</c:v>
                </c:pt>
                <c:pt idx="4">
                  <c:v>3461.8025508823062</c:v>
                </c:pt>
                <c:pt idx="5">
                  <c:v>23858.204666221452</c:v>
                </c:pt>
                <c:pt idx="6">
                  <c:v>416.65047183328664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12029</v>
      </c>
      <c r="B6" s="398"/>
      <c r="C6" s="399"/>
    </row>
    <row r="7" spans="1:7" s="396" customFormat="1" ht="15.75" customHeight="1">
      <c r="A7" s="400" t="str">
        <f>txtMunicipality</f>
        <v>PUTTE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13998.814389782025</v>
      </c>
      <c r="D10" s="704">
        <f ca="1">tertiair!C16</f>
        <v>0</v>
      </c>
      <c r="E10" s="704">
        <f ca="1">tertiair!D16</f>
        <v>41699.955934794059</v>
      </c>
      <c r="F10" s="704">
        <f>tertiair!E16</f>
        <v>209.89345009863683</v>
      </c>
      <c r="G10" s="704">
        <f ca="1">tertiair!F16</f>
        <v>2543.6773339597376</v>
      </c>
      <c r="H10" s="704">
        <f>tertiair!G16</f>
        <v>0</v>
      </c>
      <c r="I10" s="704">
        <f>tertiair!H16</f>
        <v>0</v>
      </c>
      <c r="J10" s="704">
        <f>tertiair!I16</f>
        <v>0</v>
      </c>
      <c r="K10" s="704">
        <f>tertiair!J16</f>
        <v>0</v>
      </c>
      <c r="L10" s="704">
        <f>tertiair!K16</f>
        <v>0</v>
      </c>
      <c r="M10" s="704">
        <f ca="1">tertiair!L16</f>
        <v>0</v>
      </c>
      <c r="N10" s="704">
        <f>tertiair!M16</f>
        <v>0</v>
      </c>
      <c r="O10" s="704">
        <f ca="1">tertiair!N16</f>
        <v>628.09908642326127</v>
      </c>
      <c r="P10" s="704">
        <f>tertiair!O16</f>
        <v>3.1266666666666669</v>
      </c>
      <c r="Q10" s="705">
        <f>tertiair!P16</f>
        <v>38.133333333333333</v>
      </c>
      <c r="R10" s="707">
        <f ca="1">SUM(C10:Q10)</f>
        <v>59121.700195057711</v>
      </c>
      <c r="S10" s="67"/>
    </row>
    <row r="11" spans="1:19" s="459" customFormat="1">
      <c r="A11" s="858" t="s">
        <v>225</v>
      </c>
      <c r="B11" s="863"/>
      <c r="C11" s="704">
        <f>huishoudens!B8</f>
        <v>32645.465044368448</v>
      </c>
      <c r="D11" s="704">
        <f>huishoudens!C8</f>
        <v>0</v>
      </c>
      <c r="E11" s="704">
        <f>huishoudens!D8</f>
        <v>58875.55082966201</v>
      </c>
      <c r="F11" s="704">
        <f>huishoudens!E8</f>
        <v>5173.1273656666535</v>
      </c>
      <c r="G11" s="704">
        <f>huishoudens!F8</f>
        <v>48199.320657057659</v>
      </c>
      <c r="H11" s="704">
        <f>huishoudens!G8</f>
        <v>0</v>
      </c>
      <c r="I11" s="704">
        <f>huishoudens!H8</f>
        <v>0</v>
      </c>
      <c r="J11" s="704">
        <f>huishoudens!I8</f>
        <v>0</v>
      </c>
      <c r="K11" s="704">
        <f>huishoudens!J8</f>
        <v>0</v>
      </c>
      <c r="L11" s="704">
        <f>huishoudens!K8</f>
        <v>0</v>
      </c>
      <c r="M11" s="704">
        <f>huishoudens!L8</f>
        <v>0</v>
      </c>
      <c r="N11" s="704">
        <f>huishoudens!M8</f>
        <v>0</v>
      </c>
      <c r="O11" s="704">
        <f>huishoudens!N8</f>
        <v>12698.242061954312</v>
      </c>
      <c r="P11" s="704">
        <f>huishoudens!O8</f>
        <v>189.16333333333336</v>
      </c>
      <c r="Q11" s="705">
        <f>huishoudens!P8</f>
        <v>724.5333333333333</v>
      </c>
      <c r="R11" s="707">
        <f>SUM(C11:Q11)</f>
        <v>158505.40262537575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6279.9621860441503</v>
      </c>
      <c r="D13" s="704">
        <f>industrie!C18</f>
        <v>0</v>
      </c>
      <c r="E13" s="704">
        <f>industrie!D18</f>
        <v>4554.0660762077678</v>
      </c>
      <c r="F13" s="704">
        <f>industrie!E18</f>
        <v>714.52592660313121</v>
      </c>
      <c r="G13" s="704">
        <f>industrie!F18</f>
        <v>3955.6957956941392</v>
      </c>
      <c r="H13" s="704">
        <f>industrie!G18</f>
        <v>0</v>
      </c>
      <c r="I13" s="704">
        <f>industrie!H18</f>
        <v>0</v>
      </c>
      <c r="J13" s="704">
        <f>industrie!I18</f>
        <v>0</v>
      </c>
      <c r="K13" s="704">
        <f>industrie!J18</f>
        <v>5.7752743595307496</v>
      </c>
      <c r="L13" s="704">
        <f>industrie!K18</f>
        <v>0</v>
      </c>
      <c r="M13" s="704">
        <f>industrie!L18</f>
        <v>0</v>
      </c>
      <c r="N13" s="704">
        <f>industrie!M18</f>
        <v>0</v>
      </c>
      <c r="O13" s="704">
        <f>industrie!N18</f>
        <v>1849.844318101608</v>
      </c>
      <c r="P13" s="704">
        <f>industrie!O18</f>
        <v>0</v>
      </c>
      <c r="Q13" s="705">
        <f>industrie!P18</f>
        <v>0</v>
      </c>
      <c r="R13" s="707">
        <f>SUM(C13:Q13)</f>
        <v>17359.869577010326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52924.241620194618</v>
      </c>
      <c r="D15" s="709">
        <f t="shared" ref="D15:Q15" ca="1" si="0">SUM(D9:D14)</f>
        <v>0</v>
      </c>
      <c r="E15" s="709">
        <f t="shared" ca="1" si="0"/>
        <v>105129.57284066384</v>
      </c>
      <c r="F15" s="709">
        <f t="shared" si="0"/>
        <v>6097.5467423684222</v>
      </c>
      <c r="G15" s="709">
        <f t="shared" ca="1" si="0"/>
        <v>54698.693786711534</v>
      </c>
      <c r="H15" s="709">
        <f t="shared" si="0"/>
        <v>0</v>
      </c>
      <c r="I15" s="709">
        <f t="shared" si="0"/>
        <v>0</v>
      </c>
      <c r="J15" s="709">
        <f t="shared" si="0"/>
        <v>0</v>
      </c>
      <c r="K15" s="709">
        <f t="shared" si="0"/>
        <v>5.7752743595307496</v>
      </c>
      <c r="L15" s="709">
        <f t="shared" si="0"/>
        <v>0</v>
      </c>
      <c r="M15" s="709">
        <f t="shared" ca="1" si="0"/>
        <v>0</v>
      </c>
      <c r="N15" s="709">
        <f t="shared" si="0"/>
        <v>0</v>
      </c>
      <c r="O15" s="709">
        <f t="shared" ca="1" si="0"/>
        <v>15176.185466479181</v>
      </c>
      <c r="P15" s="709">
        <f t="shared" si="0"/>
        <v>192.29000000000002</v>
      </c>
      <c r="Q15" s="710">
        <f t="shared" si="0"/>
        <v>762.66666666666663</v>
      </c>
      <c r="R15" s="711">
        <f ca="1">SUM(R9:R14)</f>
        <v>234986.97239744378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1560.4886585516354</v>
      </c>
      <c r="I18" s="704">
        <f>transport!H54</f>
        <v>0</v>
      </c>
      <c r="J18" s="704">
        <f>transport!I54</f>
        <v>0</v>
      </c>
      <c r="K18" s="704">
        <f>transport!J54</f>
        <v>0</v>
      </c>
      <c r="L18" s="704">
        <f>transport!K54</f>
        <v>0</v>
      </c>
      <c r="M18" s="704">
        <f>transport!L54</f>
        <v>0</v>
      </c>
      <c r="N18" s="704">
        <f>transport!M54</f>
        <v>69.398747470559456</v>
      </c>
      <c r="O18" s="704">
        <f>transport!N54</f>
        <v>0</v>
      </c>
      <c r="P18" s="704">
        <f>transport!O54</f>
        <v>0</v>
      </c>
      <c r="Q18" s="705">
        <f>transport!P54</f>
        <v>0</v>
      </c>
      <c r="R18" s="707">
        <f>SUM(C18:Q18)</f>
        <v>1629.8874060221949</v>
      </c>
      <c r="S18" s="67"/>
    </row>
    <row r="19" spans="1:19" s="459" customFormat="1" ht="15" thickBot="1">
      <c r="A19" s="858" t="s">
        <v>307</v>
      </c>
      <c r="B19" s="863"/>
      <c r="C19" s="713">
        <f>transport!B14</f>
        <v>6.6163035663527765</v>
      </c>
      <c r="D19" s="713">
        <f>transport!C14</f>
        <v>0</v>
      </c>
      <c r="E19" s="713">
        <f>transport!D14</f>
        <v>10.64025686421232</v>
      </c>
      <c r="F19" s="713">
        <f>transport!E14</f>
        <v>326.99718503695703</v>
      </c>
      <c r="G19" s="713">
        <f>transport!F14</f>
        <v>0</v>
      </c>
      <c r="H19" s="713">
        <f>transport!G14</f>
        <v>74152.885365621289</v>
      </c>
      <c r="I19" s="713">
        <f>transport!H14</f>
        <v>15990.419024408386</v>
      </c>
      <c r="J19" s="713">
        <f>transport!I14</f>
        <v>0</v>
      </c>
      <c r="K19" s="713">
        <f>transport!J14</f>
        <v>0</v>
      </c>
      <c r="L19" s="713">
        <f>transport!K14</f>
        <v>0</v>
      </c>
      <c r="M19" s="713">
        <f>transport!L14</f>
        <v>0</v>
      </c>
      <c r="N19" s="713">
        <f>transport!M14</f>
        <v>4029.7132569807982</v>
      </c>
      <c r="O19" s="713">
        <f>transport!N14</f>
        <v>0</v>
      </c>
      <c r="P19" s="713">
        <f>transport!O14</f>
        <v>0</v>
      </c>
      <c r="Q19" s="714">
        <f>transport!P14</f>
        <v>0</v>
      </c>
      <c r="R19" s="715">
        <f>SUM(C19:Q19)</f>
        <v>94517.271392477996</v>
      </c>
      <c r="S19" s="67"/>
    </row>
    <row r="20" spans="1:19" s="459" customFormat="1" ht="15.75" thickBot="1">
      <c r="A20" s="716" t="s">
        <v>230</v>
      </c>
      <c r="B20" s="866"/>
      <c r="C20" s="861">
        <f>SUM(C17:C19)</f>
        <v>6.6163035663527765</v>
      </c>
      <c r="D20" s="717">
        <f t="shared" ref="D20:R20" si="1">SUM(D17:D19)</f>
        <v>0</v>
      </c>
      <c r="E20" s="717">
        <f t="shared" si="1"/>
        <v>10.64025686421232</v>
      </c>
      <c r="F20" s="717">
        <f t="shared" si="1"/>
        <v>326.99718503695703</v>
      </c>
      <c r="G20" s="717">
        <f t="shared" si="1"/>
        <v>0</v>
      </c>
      <c r="H20" s="717">
        <f t="shared" si="1"/>
        <v>75713.374024172925</v>
      </c>
      <c r="I20" s="717">
        <f t="shared" si="1"/>
        <v>15990.419024408386</v>
      </c>
      <c r="J20" s="717">
        <f t="shared" si="1"/>
        <v>0</v>
      </c>
      <c r="K20" s="717">
        <f t="shared" si="1"/>
        <v>0</v>
      </c>
      <c r="L20" s="717">
        <f t="shared" si="1"/>
        <v>0</v>
      </c>
      <c r="M20" s="717">
        <f t="shared" si="1"/>
        <v>0</v>
      </c>
      <c r="N20" s="717">
        <f t="shared" si="1"/>
        <v>4099.1120044513573</v>
      </c>
      <c r="O20" s="717">
        <f t="shared" si="1"/>
        <v>0</v>
      </c>
      <c r="P20" s="717">
        <f t="shared" si="1"/>
        <v>0</v>
      </c>
      <c r="Q20" s="718">
        <f t="shared" si="1"/>
        <v>0</v>
      </c>
      <c r="R20" s="719">
        <f t="shared" si="1"/>
        <v>96147.158798500197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2093.206653172866</v>
      </c>
      <c r="D22" s="713">
        <f>+landbouw!C8</f>
        <v>67025.410714285725</v>
      </c>
      <c r="E22" s="713">
        <f>+landbouw!D8</f>
        <v>0</v>
      </c>
      <c r="F22" s="713">
        <f>+landbouw!E8</f>
        <v>26.37710042842135</v>
      </c>
      <c r="G22" s="713">
        <f>+landbouw!F8</f>
        <v>4246.4623330459744</v>
      </c>
      <c r="H22" s="713">
        <f>+landbouw!G8</f>
        <v>0</v>
      </c>
      <c r="I22" s="713">
        <f>+landbouw!H8</f>
        <v>0</v>
      </c>
      <c r="J22" s="713">
        <f>+landbouw!I8</f>
        <v>0</v>
      </c>
      <c r="K22" s="713">
        <f>+landbouw!J8</f>
        <v>314.79448590376012</v>
      </c>
      <c r="L22" s="713">
        <f>+landbouw!K8</f>
        <v>0</v>
      </c>
      <c r="M22" s="713">
        <f>+landbouw!L8</f>
        <v>0</v>
      </c>
      <c r="N22" s="713">
        <f>+landbouw!M8</f>
        <v>0</v>
      </c>
      <c r="O22" s="713">
        <f>+landbouw!N8</f>
        <v>0</v>
      </c>
      <c r="P22" s="713">
        <f>+landbouw!O8</f>
        <v>0</v>
      </c>
      <c r="Q22" s="714">
        <f>+landbouw!P8</f>
        <v>0</v>
      </c>
      <c r="R22" s="715">
        <f>SUM(C22:Q22)</f>
        <v>73706.251286836748</v>
      </c>
      <c r="S22" s="67"/>
    </row>
    <row r="23" spans="1:19" s="459" customFormat="1" ht="17.25" thickTop="1" thickBot="1">
      <c r="A23" s="720" t="s">
        <v>116</v>
      </c>
      <c r="B23" s="852"/>
      <c r="C23" s="721">
        <f ca="1">C20+C15+C22</f>
        <v>55024.064576933837</v>
      </c>
      <c r="D23" s="721">
        <f t="shared" ref="D23:Q23" ca="1" si="2">D20+D15+D22</f>
        <v>67025.410714285725</v>
      </c>
      <c r="E23" s="721">
        <f t="shared" ca="1" si="2"/>
        <v>105140.21309752805</v>
      </c>
      <c r="F23" s="721">
        <f t="shared" si="2"/>
        <v>6450.9210278338005</v>
      </c>
      <c r="G23" s="721">
        <f t="shared" ca="1" si="2"/>
        <v>58945.156119757507</v>
      </c>
      <c r="H23" s="721">
        <f t="shared" si="2"/>
        <v>75713.374024172925</v>
      </c>
      <c r="I23" s="721">
        <f t="shared" si="2"/>
        <v>15990.419024408386</v>
      </c>
      <c r="J23" s="721">
        <f t="shared" si="2"/>
        <v>0</v>
      </c>
      <c r="K23" s="721">
        <f t="shared" si="2"/>
        <v>320.56976026329085</v>
      </c>
      <c r="L23" s="721">
        <f t="shared" si="2"/>
        <v>0</v>
      </c>
      <c r="M23" s="721">
        <f t="shared" ca="1" si="2"/>
        <v>0</v>
      </c>
      <c r="N23" s="721">
        <f t="shared" si="2"/>
        <v>4099.1120044513573</v>
      </c>
      <c r="O23" s="721">
        <f t="shared" ca="1" si="2"/>
        <v>15176.185466479181</v>
      </c>
      <c r="P23" s="721">
        <f t="shared" si="2"/>
        <v>192.29000000000002</v>
      </c>
      <c r="Q23" s="722">
        <f t="shared" si="2"/>
        <v>762.66666666666663</v>
      </c>
      <c r="R23" s="723">
        <f ca="1">R20+R15+R22</f>
        <v>404840.38248278073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2945.7173491433032</v>
      </c>
      <c r="D36" s="704">
        <f ca="1">tertiair!C20</f>
        <v>0</v>
      </c>
      <c r="E36" s="704">
        <f ca="1">tertiair!D20</f>
        <v>8423.3910988284006</v>
      </c>
      <c r="F36" s="704">
        <f>tertiair!E20</f>
        <v>47.645813172390561</v>
      </c>
      <c r="G36" s="704">
        <f ca="1">tertiair!F20</f>
        <v>679.16184816725001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12095.916109311343</v>
      </c>
    </row>
    <row r="37" spans="1:18">
      <c r="A37" s="873" t="s">
        <v>225</v>
      </c>
      <c r="B37" s="880"/>
      <c r="C37" s="704">
        <f ca="1">huishoudens!B12</f>
        <v>6869.4612325340477</v>
      </c>
      <c r="D37" s="704">
        <f ca="1">huishoudens!C12</f>
        <v>0</v>
      </c>
      <c r="E37" s="704">
        <f>huishoudens!D12</f>
        <v>11892.861267591727</v>
      </c>
      <c r="F37" s="704">
        <f>huishoudens!E12</f>
        <v>1174.2999120063305</v>
      </c>
      <c r="G37" s="704">
        <f>huishoudens!F12</f>
        <v>12869.218615434396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32805.841027566501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1321.4685935758166</v>
      </c>
      <c r="D39" s="704">
        <f ca="1">industrie!C22</f>
        <v>0</v>
      </c>
      <c r="E39" s="704">
        <f>industrie!D22</f>
        <v>919.9213473939692</v>
      </c>
      <c r="F39" s="704">
        <f>industrie!E22</f>
        <v>162.19738533891078</v>
      </c>
      <c r="G39" s="704">
        <f>industrie!F22</f>
        <v>1056.1707774503352</v>
      </c>
      <c r="H39" s="704">
        <f>industrie!G22</f>
        <v>0</v>
      </c>
      <c r="I39" s="704">
        <f>industrie!H22</f>
        <v>0</v>
      </c>
      <c r="J39" s="704">
        <f>industrie!I22</f>
        <v>0</v>
      </c>
      <c r="K39" s="704">
        <f>industrie!J22</f>
        <v>2.0444471232738852</v>
      </c>
      <c r="L39" s="704">
        <f>industrie!K22</f>
        <v>0</v>
      </c>
      <c r="M39" s="704">
        <f>industrie!L22</f>
        <v>0</v>
      </c>
      <c r="N39" s="704">
        <f>industrie!M22</f>
        <v>0</v>
      </c>
      <c r="O39" s="704">
        <f>industrie!N22</f>
        <v>0</v>
      </c>
      <c r="P39" s="704">
        <f>industrie!O22</f>
        <v>0</v>
      </c>
      <c r="Q39" s="814">
        <f>industrie!P22</f>
        <v>0</v>
      </c>
      <c r="R39" s="906">
        <f ca="1">SUM(C39:Q39)</f>
        <v>3461.8025508823062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11136.647175253169</v>
      </c>
      <c r="D41" s="749">
        <f t="shared" ref="D41:R41" ca="1" si="4">SUM(D35:D40)</f>
        <v>0</v>
      </c>
      <c r="E41" s="749">
        <f t="shared" ca="1" si="4"/>
        <v>21236.1737138141</v>
      </c>
      <c r="F41" s="749">
        <f t="shared" si="4"/>
        <v>1384.1431105176318</v>
      </c>
      <c r="G41" s="749">
        <f t="shared" ca="1" si="4"/>
        <v>14604.551241051982</v>
      </c>
      <c r="H41" s="749">
        <f t="shared" si="4"/>
        <v>0</v>
      </c>
      <c r="I41" s="749">
        <f t="shared" si="4"/>
        <v>0</v>
      </c>
      <c r="J41" s="749">
        <f t="shared" si="4"/>
        <v>0</v>
      </c>
      <c r="K41" s="749">
        <f t="shared" si="4"/>
        <v>2.0444471232738852</v>
      </c>
      <c r="L41" s="749">
        <f t="shared" si="4"/>
        <v>0</v>
      </c>
      <c r="M41" s="749">
        <f t="shared" ca="1" si="4"/>
        <v>0</v>
      </c>
      <c r="N41" s="749">
        <f t="shared" si="4"/>
        <v>0</v>
      </c>
      <c r="O41" s="749">
        <f t="shared" ca="1" si="4"/>
        <v>0</v>
      </c>
      <c r="P41" s="749">
        <f t="shared" si="4"/>
        <v>0</v>
      </c>
      <c r="Q41" s="750">
        <f t="shared" si="4"/>
        <v>0</v>
      </c>
      <c r="R41" s="751">
        <f t="shared" ca="1" si="4"/>
        <v>48363.559687760149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416.65047183328664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416.65047183328664</v>
      </c>
    </row>
    <row r="45" spans="1:18" ht="15" thickBot="1">
      <c r="A45" s="876" t="s">
        <v>307</v>
      </c>
      <c r="B45" s="886"/>
      <c r="C45" s="713">
        <f ca="1">transport!B18</f>
        <v>1.3922436329200847</v>
      </c>
      <c r="D45" s="713">
        <f>transport!C18</f>
        <v>0</v>
      </c>
      <c r="E45" s="713">
        <f>transport!D18</f>
        <v>2.1493318865708888</v>
      </c>
      <c r="F45" s="713">
        <f>transport!E18</f>
        <v>74.228361003389253</v>
      </c>
      <c r="G45" s="713">
        <f>transport!F18</f>
        <v>0</v>
      </c>
      <c r="H45" s="713">
        <f>transport!G18</f>
        <v>19798.820392620884</v>
      </c>
      <c r="I45" s="713">
        <f>transport!H18</f>
        <v>3981.6143370776881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23858.204666221452</v>
      </c>
    </row>
    <row r="46" spans="1:18" ht="15.75" thickBot="1">
      <c r="A46" s="874" t="s">
        <v>230</v>
      </c>
      <c r="B46" s="887"/>
      <c r="C46" s="749">
        <f t="shared" ref="C46:R46" ca="1" si="5">SUM(C43:C45)</f>
        <v>1.3922436329200847</v>
      </c>
      <c r="D46" s="749">
        <f t="shared" ca="1" si="5"/>
        <v>0</v>
      </c>
      <c r="E46" s="749">
        <f t="shared" si="5"/>
        <v>2.1493318865708888</v>
      </c>
      <c r="F46" s="749">
        <f t="shared" si="5"/>
        <v>74.228361003389253</v>
      </c>
      <c r="G46" s="749">
        <f t="shared" si="5"/>
        <v>0</v>
      </c>
      <c r="H46" s="749">
        <f t="shared" si="5"/>
        <v>20215.470864454172</v>
      </c>
      <c r="I46" s="749">
        <f t="shared" si="5"/>
        <v>3981.6143370776881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24274.85513805474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440.46552671590291</v>
      </c>
      <c r="D48" s="704">
        <f ca="1">+landbouw!C12</f>
        <v>14989.776876172878</v>
      </c>
      <c r="E48" s="704">
        <f>+landbouw!D12</f>
        <v>0</v>
      </c>
      <c r="F48" s="704">
        <f>+landbouw!E12</f>
        <v>5.9876017972516467</v>
      </c>
      <c r="G48" s="704">
        <f>+landbouw!F12</f>
        <v>1133.8054429232752</v>
      </c>
      <c r="H48" s="704">
        <f>+landbouw!G12</f>
        <v>0</v>
      </c>
      <c r="I48" s="704">
        <f>+landbouw!H12</f>
        <v>0</v>
      </c>
      <c r="J48" s="704">
        <f>+landbouw!I12</f>
        <v>0</v>
      </c>
      <c r="K48" s="704">
        <f>+landbouw!J12</f>
        <v>111.43724800993108</v>
      </c>
      <c r="L48" s="704">
        <f>+landbouw!K12</f>
        <v>0</v>
      </c>
      <c r="M48" s="704">
        <f>+landbouw!L12</f>
        <v>0</v>
      </c>
      <c r="N48" s="704">
        <f>+landbouw!M12</f>
        <v>0</v>
      </c>
      <c r="O48" s="704">
        <f>+landbouw!N12</f>
        <v>0</v>
      </c>
      <c r="P48" s="704">
        <f>+landbouw!O12</f>
        <v>0</v>
      </c>
      <c r="Q48" s="705">
        <f>+landbouw!P12</f>
        <v>0</v>
      </c>
      <c r="R48" s="747">
        <f ca="1">SUM(C48:Q48)</f>
        <v>16681.472695619239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11578.504945601991</v>
      </c>
      <c r="D53" s="759">
        <f t="shared" ref="D53:Q53" ca="1" si="6">D41+D46+D48</f>
        <v>14989.776876172878</v>
      </c>
      <c r="E53" s="759">
        <f t="shared" ca="1" si="6"/>
        <v>21238.323045700672</v>
      </c>
      <c r="F53" s="759">
        <f t="shared" si="6"/>
        <v>1464.3590733182727</v>
      </c>
      <c r="G53" s="759">
        <f t="shared" ca="1" si="6"/>
        <v>15738.356683975257</v>
      </c>
      <c r="H53" s="759">
        <f t="shared" si="6"/>
        <v>20215.470864454172</v>
      </c>
      <c r="I53" s="759">
        <f t="shared" si="6"/>
        <v>3981.6143370776881</v>
      </c>
      <c r="J53" s="759">
        <f t="shared" si="6"/>
        <v>0</v>
      </c>
      <c r="K53" s="759">
        <f t="shared" si="6"/>
        <v>113.48169513320497</v>
      </c>
      <c r="L53" s="759">
        <f t="shared" si="6"/>
        <v>0</v>
      </c>
      <c r="M53" s="759">
        <f t="shared" ca="1" si="6"/>
        <v>0</v>
      </c>
      <c r="N53" s="759">
        <f t="shared" si="6"/>
        <v>0</v>
      </c>
      <c r="O53" s="759">
        <f t="shared" ca="1" si="6"/>
        <v>0</v>
      </c>
      <c r="P53" s="759">
        <f>P41+P46+P48</f>
        <v>0</v>
      </c>
      <c r="Q53" s="760">
        <f t="shared" si="6"/>
        <v>0</v>
      </c>
      <c r="R53" s="761">
        <f ca="1">R41+R46+R48</f>
        <v>89319.887521434139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0.21042620232849385</v>
      </c>
      <c r="D55" s="824">
        <f t="shared" ca="1" si="7"/>
        <v>0.22364319317744924</v>
      </c>
      <c r="E55" s="824">
        <f t="shared" ca="1" si="7"/>
        <v>0.20200000000000007</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3205.8834990902401</v>
      </c>
      <c r="C66" s="781">
        <f>'lokale energieproductie'!B6</f>
        <v>3205.8834990902401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47929.5</v>
      </c>
      <c r="C67" s="780">
        <f>B67*IFERROR(SUM(J67:L67)/SUM(D67:M67),0)</f>
        <v>3163.6887433155075</v>
      </c>
      <c r="D67" s="812">
        <f>'lokale energieproductie'!C7</f>
        <v>51424.998049701164</v>
      </c>
      <c r="E67" s="813">
        <f>'lokale energieproductie'!D7</f>
        <v>0</v>
      </c>
      <c r="F67" s="813">
        <f>'lokale energieproductie'!E7</f>
        <v>1240.6622522805912</v>
      </c>
      <c r="G67" s="813">
        <f>'lokale energieproductie'!F7</f>
        <v>0</v>
      </c>
      <c r="H67" s="813">
        <f>'lokale energieproductie'!G7</f>
        <v>0</v>
      </c>
      <c r="I67" s="813">
        <f>'lokale energieproductie'!H7</f>
        <v>0</v>
      </c>
      <c r="J67" s="813">
        <f>'lokale energieproductie'!I7</f>
        <v>3721.986756841774</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10719.106427398554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51135.38349909024</v>
      </c>
      <c r="C69" s="789">
        <f>SUM(C64:C68)</f>
        <v>6369.5722424057476</v>
      </c>
      <c r="D69" s="790">
        <f t="shared" ref="D69:M69" si="8">SUM(D67:D68)</f>
        <v>51424.998049701164</v>
      </c>
      <c r="E69" s="790">
        <f t="shared" si="8"/>
        <v>0</v>
      </c>
      <c r="F69" s="790">
        <f t="shared" si="8"/>
        <v>1240.6622522805912</v>
      </c>
      <c r="G69" s="790">
        <f t="shared" si="8"/>
        <v>0</v>
      </c>
      <c r="H69" s="790">
        <f t="shared" si="8"/>
        <v>0</v>
      </c>
      <c r="I69" s="790">
        <f t="shared" si="8"/>
        <v>0</v>
      </c>
      <c r="J69" s="790">
        <f t="shared" si="8"/>
        <v>3721.986756841774</v>
      </c>
      <c r="K69" s="790">
        <f t="shared" si="8"/>
        <v>0</v>
      </c>
      <c r="L69" s="790">
        <f t="shared" si="8"/>
        <v>0</v>
      </c>
      <c r="M69" s="918">
        <f t="shared" si="8"/>
        <v>0</v>
      </c>
      <c r="N69" s="791">
        <v>0</v>
      </c>
      <c r="O69" s="791">
        <f>SUM(O67:O68)</f>
        <v>10719.106427398554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67025.410714285725</v>
      </c>
      <c r="C78" s="803">
        <f>B78*IFERROR(SUM(I78:L78)/SUM(D78:M78),0)</f>
        <v>4424.1550066844911</v>
      </c>
      <c r="D78" s="818">
        <f>'lokale energieproductie'!C16</f>
        <v>71913.573378870278</v>
      </c>
      <c r="E78" s="818">
        <f>'lokale energieproductie'!D16</f>
        <v>0</v>
      </c>
      <c r="F78" s="818">
        <f>'lokale energieproductie'!E16</f>
        <v>1734.9627477194085</v>
      </c>
      <c r="G78" s="818">
        <f>'lokale energieproductie'!F16</f>
        <v>0</v>
      </c>
      <c r="H78" s="818">
        <f>'lokale energieproductie'!G16</f>
        <v>0</v>
      </c>
      <c r="I78" s="818">
        <f>'lokale energieproductie'!H16</f>
        <v>0</v>
      </c>
      <c r="J78" s="818">
        <f>'lokale energieproductie'!I16</f>
        <v>5204.888243158226</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14989.776876172878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67025.410714285725</v>
      </c>
      <c r="C81" s="789">
        <f>SUM(C78:C80)</f>
        <v>4424.1550066844911</v>
      </c>
      <c r="D81" s="789">
        <f t="shared" ref="D81:P81" si="9">SUM(D78:D80)</f>
        <v>71913.573378870278</v>
      </c>
      <c r="E81" s="789">
        <f t="shared" si="9"/>
        <v>0</v>
      </c>
      <c r="F81" s="789">
        <f t="shared" si="9"/>
        <v>1734.9627477194085</v>
      </c>
      <c r="G81" s="789">
        <f t="shared" si="9"/>
        <v>0</v>
      </c>
      <c r="H81" s="789">
        <f t="shared" si="9"/>
        <v>0</v>
      </c>
      <c r="I81" s="789">
        <f t="shared" si="9"/>
        <v>0</v>
      </c>
      <c r="J81" s="789">
        <f t="shared" si="9"/>
        <v>5204.888243158226</v>
      </c>
      <c r="K81" s="789">
        <f t="shared" si="9"/>
        <v>0</v>
      </c>
      <c r="L81" s="789">
        <f t="shared" si="9"/>
        <v>0</v>
      </c>
      <c r="M81" s="789">
        <f t="shared" si="9"/>
        <v>0</v>
      </c>
      <c r="N81" s="789">
        <v>0</v>
      </c>
      <c r="O81" s="789">
        <f>SUM(O78:O80)</f>
        <v>14989.776876172878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32645.465044368448</v>
      </c>
      <c r="C4" s="463">
        <f>huishoudens!C8</f>
        <v>0</v>
      </c>
      <c r="D4" s="463">
        <f>huishoudens!D8</f>
        <v>58875.55082966201</v>
      </c>
      <c r="E4" s="463">
        <f>huishoudens!E8</f>
        <v>5173.1273656666535</v>
      </c>
      <c r="F4" s="463">
        <f>huishoudens!F8</f>
        <v>48199.320657057659</v>
      </c>
      <c r="G4" s="463">
        <f>huishoudens!G8</f>
        <v>0</v>
      </c>
      <c r="H4" s="463">
        <f>huishoudens!H8</f>
        <v>0</v>
      </c>
      <c r="I4" s="463">
        <f>huishoudens!I8</f>
        <v>0</v>
      </c>
      <c r="J4" s="463">
        <f>huishoudens!J8</f>
        <v>0</v>
      </c>
      <c r="K4" s="463">
        <f>huishoudens!K8</f>
        <v>0</v>
      </c>
      <c r="L4" s="463">
        <f>huishoudens!L8</f>
        <v>0</v>
      </c>
      <c r="M4" s="463">
        <f>huishoudens!M8</f>
        <v>0</v>
      </c>
      <c r="N4" s="463">
        <f>huishoudens!N8</f>
        <v>12698.242061954312</v>
      </c>
      <c r="O4" s="463">
        <f>huishoudens!O8</f>
        <v>189.16333333333336</v>
      </c>
      <c r="P4" s="464">
        <f>huishoudens!P8</f>
        <v>724.5333333333333</v>
      </c>
      <c r="Q4" s="465">
        <f>SUM(B4:P4)</f>
        <v>158505.40262537575</v>
      </c>
    </row>
    <row r="5" spans="1:17">
      <c r="A5" s="462" t="s">
        <v>156</v>
      </c>
      <c r="B5" s="463">
        <f ca="1">tertiair!B16</f>
        <v>13002.065389782025</v>
      </c>
      <c r="C5" s="463">
        <f ca="1">tertiair!C16</f>
        <v>0</v>
      </c>
      <c r="D5" s="463">
        <f ca="1">tertiair!D16</f>
        <v>41699.955934794059</v>
      </c>
      <c r="E5" s="463">
        <f>tertiair!E16</f>
        <v>209.89345009863683</v>
      </c>
      <c r="F5" s="463">
        <f ca="1">tertiair!F16</f>
        <v>2543.6773339597376</v>
      </c>
      <c r="G5" s="463">
        <f>tertiair!G16</f>
        <v>0</v>
      </c>
      <c r="H5" s="463">
        <f>tertiair!H16</f>
        <v>0</v>
      </c>
      <c r="I5" s="463">
        <f>tertiair!I16</f>
        <v>0</v>
      </c>
      <c r="J5" s="463">
        <f>tertiair!J16</f>
        <v>0</v>
      </c>
      <c r="K5" s="463">
        <f>tertiair!K16</f>
        <v>0</v>
      </c>
      <c r="L5" s="463">
        <f ca="1">tertiair!L16</f>
        <v>0</v>
      </c>
      <c r="M5" s="463">
        <f>tertiair!M16</f>
        <v>0</v>
      </c>
      <c r="N5" s="463">
        <f ca="1">tertiair!N16</f>
        <v>628.09908642326127</v>
      </c>
      <c r="O5" s="463">
        <f>tertiair!O16</f>
        <v>3.1266666666666669</v>
      </c>
      <c r="P5" s="464">
        <f>tertiair!P16</f>
        <v>38.133333333333333</v>
      </c>
      <c r="Q5" s="462">
        <f t="shared" ref="Q5:Q13" ca="1" si="0">SUM(B5:P5)</f>
        <v>58124.951195057707</v>
      </c>
    </row>
    <row r="6" spans="1:17">
      <c r="A6" s="462" t="s">
        <v>194</v>
      </c>
      <c r="B6" s="463">
        <f>'openbare verlichting'!B8</f>
        <v>996.74900000000002</v>
      </c>
      <c r="C6" s="463"/>
      <c r="D6" s="463"/>
      <c r="E6" s="463"/>
      <c r="F6" s="463"/>
      <c r="G6" s="463"/>
      <c r="H6" s="463"/>
      <c r="I6" s="463"/>
      <c r="J6" s="463"/>
      <c r="K6" s="463"/>
      <c r="L6" s="463"/>
      <c r="M6" s="463"/>
      <c r="N6" s="463"/>
      <c r="O6" s="463"/>
      <c r="P6" s="464"/>
      <c r="Q6" s="462">
        <f t="shared" si="0"/>
        <v>996.74900000000002</v>
      </c>
    </row>
    <row r="7" spans="1:17">
      <c r="A7" s="462" t="s">
        <v>112</v>
      </c>
      <c r="B7" s="463">
        <f>landbouw!B8</f>
        <v>2093.206653172866</v>
      </c>
      <c r="C7" s="463">
        <f>landbouw!C8</f>
        <v>67025.410714285725</v>
      </c>
      <c r="D7" s="463">
        <f>landbouw!D8</f>
        <v>0</v>
      </c>
      <c r="E7" s="463">
        <f>landbouw!E8</f>
        <v>26.37710042842135</v>
      </c>
      <c r="F7" s="463">
        <f>landbouw!F8</f>
        <v>4246.4623330459744</v>
      </c>
      <c r="G7" s="463">
        <f>landbouw!G8</f>
        <v>0</v>
      </c>
      <c r="H7" s="463">
        <f>landbouw!H8</f>
        <v>0</v>
      </c>
      <c r="I7" s="463">
        <f>landbouw!I8</f>
        <v>0</v>
      </c>
      <c r="J7" s="463">
        <f>landbouw!J8</f>
        <v>314.79448590376012</v>
      </c>
      <c r="K7" s="463">
        <f>landbouw!K8</f>
        <v>0</v>
      </c>
      <c r="L7" s="463">
        <f>landbouw!L8</f>
        <v>0</v>
      </c>
      <c r="M7" s="463">
        <f>landbouw!M8</f>
        <v>0</v>
      </c>
      <c r="N7" s="463">
        <f>landbouw!N8</f>
        <v>0</v>
      </c>
      <c r="O7" s="463">
        <f>landbouw!O8</f>
        <v>0</v>
      </c>
      <c r="P7" s="464">
        <f>landbouw!P8</f>
        <v>0</v>
      </c>
      <c r="Q7" s="462">
        <f t="shared" si="0"/>
        <v>73706.251286836748</v>
      </c>
    </row>
    <row r="8" spans="1:17">
      <c r="A8" s="462" t="s">
        <v>657</v>
      </c>
      <c r="B8" s="463">
        <f>industrie!B18</f>
        <v>6279.9621860441503</v>
      </c>
      <c r="C8" s="463">
        <f>industrie!C18</f>
        <v>0</v>
      </c>
      <c r="D8" s="463">
        <f>industrie!D18</f>
        <v>4554.0660762077678</v>
      </c>
      <c r="E8" s="463">
        <f>industrie!E18</f>
        <v>714.52592660313121</v>
      </c>
      <c r="F8" s="463">
        <f>industrie!F18</f>
        <v>3955.6957956941392</v>
      </c>
      <c r="G8" s="463">
        <f>industrie!G18</f>
        <v>0</v>
      </c>
      <c r="H8" s="463">
        <f>industrie!H18</f>
        <v>0</v>
      </c>
      <c r="I8" s="463">
        <f>industrie!I18</f>
        <v>0</v>
      </c>
      <c r="J8" s="463">
        <f>industrie!J18</f>
        <v>5.7752743595307496</v>
      </c>
      <c r="K8" s="463">
        <f>industrie!K18</f>
        <v>0</v>
      </c>
      <c r="L8" s="463">
        <f>industrie!L18</f>
        <v>0</v>
      </c>
      <c r="M8" s="463">
        <f>industrie!M18</f>
        <v>0</v>
      </c>
      <c r="N8" s="463">
        <f>industrie!N18</f>
        <v>1849.844318101608</v>
      </c>
      <c r="O8" s="463">
        <f>industrie!O18</f>
        <v>0</v>
      </c>
      <c r="P8" s="464">
        <f>industrie!P18</f>
        <v>0</v>
      </c>
      <c r="Q8" s="462">
        <f t="shared" si="0"/>
        <v>17359.869577010326</v>
      </c>
    </row>
    <row r="9" spans="1:17" s="468" customFormat="1">
      <c r="A9" s="466" t="s">
        <v>574</v>
      </c>
      <c r="B9" s="467">
        <f>transport!B14</f>
        <v>6.6163035663527765</v>
      </c>
      <c r="C9" s="467">
        <f>transport!C14</f>
        <v>0</v>
      </c>
      <c r="D9" s="467">
        <f>transport!D14</f>
        <v>10.64025686421232</v>
      </c>
      <c r="E9" s="467">
        <f>transport!E14</f>
        <v>326.99718503695703</v>
      </c>
      <c r="F9" s="467">
        <f>transport!F14</f>
        <v>0</v>
      </c>
      <c r="G9" s="467">
        <f>transport!G14</f>
        <v>74152.885365621289</v>
      </c>
      <c r="H9" s="467">
        <f>transport!H14</f>
        <v>15990.419024408386</v>
      </c>
      <c r="I9" s="467">
        <f>transport!I14</f>
        <v>0</v>
      </c>
      <c r="J9" s="467">
        <f>transport!J14</f>
        <v>0</v>
      </c>
      <c r="K9" s="467">
        <f>transport!K14</f>
        <v>0</v>
      </c>
      <c r="L9" s="467">
        <f>transport!L14</f>
        <v>0</v>
      </c>
      <c r="M9" s="467">
        <f>transport!M14</f>
        <v>4029.7132569807982</v>
      </c>
      <c r="N9" s="467">
        <f>transport!N14</f>
        <v>0</v>
      </c>
      <c r="O9" s="467">
        <f>transport!O14</f>
        <v>0</v>
      </c>
      <c r="P9" s="467">
        <f>transport!P14</f>
        <v>0</v>
      </c>
      <c r="Q9" s="466">
        <f>SUM(B9:P9)</f>
        <v>94517.271392477996</v>
      </c>
    </row>
    <row r="10" spans="1:17">
      <c r="A10" s="462" t="s">
        <v>564</v>
      </c>
      <c r="B10" s="463">
        <f>transport!B54</f>
        <v>0</v>
      </c>
      <c r="C10" s="463">
        <f>transport!C54</f>
        <v>0</v>
      </c>
      <c r="D10" s="463">
        <f>transport!D54</f>
        <v>0</v>
      </c>
      <c r="E10" s="463">
        <f>transport!E54</f>
        <v>0</v>
      </c>
      <c r="F10" s="463">
        <f>transport!F54</f>
        <v>0</v>
      </c>
      <c r="G10" s="463">
        <f>transport!G54</f>
        <v>1560.4886585516354</v>
      </c>
      <c r="H10" s="463">
        <f>transport!H54</f>
        <v>0</v>
      </c>
      <c r="I10" s="463">
        <f>transport!I54</f>
        <v>0</v>
      </c>
      <c r="J10" s="463">
        <f>transport!J54</f>
        <v>0</v>
      </c>
      <c r="K10" s="463">
        <f>transport!K54</f>
        <v>0</v>
      </c>
      <c r="L10" s="463">
        <f>transport!L54</f>
        <v>0</v>
      </c>
      <c r="M10" s="463">
        <f>transport!M54</f>
        <v>69.398747470559456</v>
      </c>
      <c r="N10" s="463">
        <f>transport!N54</f>
        <v>0</v>
      </c>
      <c r="O10" s="463">
        <f>transport!O54</f>
        <v>0</v>
      </c>
      <c r="P10" s="464">
        <f>transport!P54</f>
        <v>0</v>
      </c>
      <c r="Q10" s="462">
        <f t="shared" si="0"/>
        <v>1629.8874060221949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55024.064576933844</v>
      </c>
      <c r="C14" s="473">
        <f t="shared" ref="C14:Q14" ca="1" si="1">SUM(C4:C13)</f>
        <v>67025.410714285725</v>
      </c>
      <c r="D14" s="473">
        <f t="shared" ca="1" si="1"/>
        <v>105140.21309752805</v>
      </c>
      <c r="E14" s="473">
        <f t="shared" si="1"/>
        <v>6450.9210278337996</v>
      </c>
      <c r="F14" s="473">
        <f t="shared" ca="1" si="1"/>
        <v>58945.156119757507</v>
      </c>
      <c r="G14" s="473">
        <f t="shared" si="1"/>
        <v>75713.374024172925</v>
      </c>
      <c r="H14" s="473">
        <f t="shared" si="1"/>
        <v>15990.419024408386</v>
      </c>
      <c r="I14" s="473">
        <f t="shared" si="1"/>
        <v>0</v>
      </c>
      <c r="J14" s="473">
        <f t="shared" si="1"/>
        <v>320.56976026329085</v>
      </c>
      <c r="K14" s="473">
        <f t="shared" si="1"/>
        <v>0</v>
      </c>
      <c r="L14" s="473">
        <f t="shared" ca="1" si="1"/>
        <v>0</v>
      </c>
      <c r="M14" s="473">
        <f t="shared" si="1"/>
        <v>4099.1120044513573</v>
      </c>
      <c r="N14" s="473">
        <f t="shared" ca="1" si="1"/>
        <v>15176.185466479181</v>
      </c>
      <c r="O14" s="473">
        <f t="shared" si="1"/>
        <v>192.29000000000002</v>
      </c>
      <c r="P14" s="474">
        <f t="shared" si="1"/>
        <v>762.66666666666663</v>
      </c>
      <c r="Q14" s="474">
        <f t="shared" ca="1" si="1"/>
        <v>404840.38248278073</v>
      </c>
    </row>
    <row r="16" spans="1:17">
      <c r="A16" s="476" t="s">
        <v>569</v>
      </c>
      <c r="B16" s="829">
        <f ca="1">huishoudens!B10</f>
        <v>0.21042620232849382</v>
      </c>
      <c r="C16" s="829">
        <f ca="1">huishoudens!C10</f>
        <v>0.22364319317744924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6869.4612325340477</v>
      </c>
      <c r="C21" s="463">
        <f t="shared" ref="C21:C30" ca="1" si="3">C4*$C$16</f>
        <v>0</v>
      </c>
      <c r="D21" s="463">
        <f t="shared" ref="D21:D30" si="4">D4*$D$16</f>
        <v>11892.861267591727</v>
      </c>
      <c r="E21" s="463">
        <f t="shared" ref="E21:E30" si="5">E4*$E$16</f>
        <v>1174.2999120063305</v>
      </c>
      <c r="F21" s="463">
        <f t="shared" ref="F21:F30" si="6">F4*$F$16</f>
        <v>12869.218615434396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32805.841027566501</v>
      </c>
    </row>
    <row r="22" spans="1:17">
      <c r="A22" s="462" t="s">
        <v>156</v>
      </c>
      <c r="B22" s="463">
        <f t="shared" ca="1" si="2"/>
        <v>2735.9752423985792</v>
      </c>
      <c r="C22" s="463">
        <f t="shared" ca="1" si="3"/>
        <v>0</v>
      </c>
      <c r="D22" s="463">
        <f t="shared" ca="1" si="4"/>
        <v>8423.3910988284006</v>
      </c>
      <c r="E22" s="463">
        <f t="shared" si="5"/>
        <v>47.645813172390561</v>
      </c>
      <c r="F22" s="463">
        <f t="shared" ca="1" si="6"/>
        <v>679.16184816725001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11886.17400256662</v>
      </c>
    </row>
    <row r="23" spans="1:17">
      <c r="A23" s="462" t="s">
        <v>194</v>
      </c>
      <c r="B23" s="463">
        <f t="shared" ca="1" si="2"/>
        <v>209.74210674472388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209.74210674472388</v>
      </c>
    </row>
    <row r="24" spans="1:17">
      <c r="A24" s="462" t="s">
        <v>112</v>
      </c>
      <c r="B24" s="463">
        <f t="shared" ca="1" si="2"/>
        <v>440.46552671590291</v>
      </c>
      <c r="C24" s="463">
        <f t="shared" ca="1" si="3"/>
        <v>14989.776876172878</v>
      </c>
      <c r="D24" s="463">
        <f t="shared" si="4"/>
        <v>0</v>
      </c>
      <c r="E24" s="463">
        <f t="shared" si="5"/>
        <v>5.9876017972516467</v>
      </c>
      <c r="F24" s="463">
        <f t="shared" si="6"/>
        <v>1133.8054429232752</v>
      </c>
      <c r="G24" s="463">
        <f t="shared" si="7"/>
        <v>0</v>
      </c>
      <c r="H24" s="463">
        <f t="shared" si="8"/>
        <v>0</v>
      </c>
      <c r="I24" s="463">
        <f t="shared" si="9"/>
        <v>0</v>
      </c>
      <c r="J24" s="463">
        <f t="shared" si="10"/>
        <v>111.43724800993108</v>
      </c>
      <c r="K24" s="463">
        <f t="shared" si="11"/>
        <v>0</v>
      </c>
      <c r="L24" s="463">
        <f t="shared" si="12"/>
        <v>0</v>
      </c>
      <c r="M24" s="463">
        <f t="shared" si="13"/>
        <v>0</v>
      </c>
      <c r="N24" s="463">
        <f t="shared" si="14"/>
        <v>0</v>
      </c>
      <c r="O24" s="463">
        <f t="shared" si="15"/>
        <v>0</v>
      </c>
      <c r="P24" s="464">
        <f t="shared" si="16"/>
        <v>0</v>
      </c>
      <c r="Q24" s="462">
        <f t="shared" ca="1" si="17"/>
        <v>16681.472695619239</v>
      </c>
    </row>
    <row r="25" spans="1:17">
      <c r="A25" s="462" t="s">
        <v>657</v>
      </c>
      <c r="B25" s="463">
        <f t="shared" ca="1" si="2"/>
        <v>1321.4685935758166</v>
      </c>
      <c r="C25" s="463">
        <f t="shared" ca="1" si="3"/>
        <v>0</v>
      </c>
      <c r="D25" s="463">
        <f t="shared" si="4"/>
        <v>919.9213473939692</v>
      </c>
      <c r="E25" s="463">
        <f t="shared" si="5"/>
        <v>162.19738533891078</v>
      </c>
      <c r="F25" s="463">
        <f t="shared" si="6"/>
        <v>1056.1707774503352</v>
      </c>
      <c r="G25" s="463">
        <f t="shared" si="7"/>
        <v>0</v>
      </c>
      <c r="H25" s="463">
        <f t="shared" si="8"/>
        <v>0</v>
      </c>
      <c r="I25" s="463">
        <f t="shared" si="9"/>
        <v>0</v>
      </c>
      <c r="J25" s="463">
        <f t="shared" si="10"/>
        <v>2.0444471232738852</v>
      </c>
      <c r="K25" s="463">
        <f t="shared" si="11"/>
        <v>0</v>
      </c>
      <c r="L25" s="463">
        <f t="shared" si="12"/>
        <v>0</v>
      </c>
      <c r="M25" s="463">
        <f t="shared" si="13"/>
        <v>0</v>
      </c>
      <c r="N25" s="463">
        <f t="shared" si="14"/>
        <v>0</v>
      </c>
      <c r="O25" s="463">
        <f t="shared" si="15"/>
        <v>0</v>
      </c>
      <c r="P25" s="464">
        <f t="shared" si="16"/>
        <v>0</v>
      </c>
      <c r="Q25" s="462">
        <f t="shared" ca="1" si="17"/>
        <v>3461.8025508823062</v>
      </c>
    </row>
    <row r="26" spans="1:17" s="468" customFormat="1">
      <c r="A26" s="466" t="s">
        <v>574</v>
      </c>
      <c r="B26" s="823">
        <f t="shared" ca="1" si="2"/>
        <v>1.3922436329200847</v>
      </c>
      <c r="C26" s="467">
        <f t="shared" ca="1" si="3"/>
        <v>0</v>
      </c>
      <c r="D26" s="467">
        <f t="shared" si="4"/>
        <v>2.1493318865708888</v>
      </c>
      <c r="E26" s="467">
        <f t="shared" si="5"/>
        <v>74.228361003389253</v>
      </c>
      <c r="F26" s="467">
        <f t="shared" si="6"/>
        <v>0</v>
      </c>
      <c r="G26" s="467">
        <f t="shared" si="7"/>
        <v>19798.820392620884</v>
      </c>
      <c r="H26" s="467">
        <f t="shared" si="8"/>
        <v>3981.6143370776881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23858.204666221452</v>
      </c>
    </row>
    <row r="27" spans="1:17">
      <c r="A27" s="462" t="s">
        <v>564</v>
      </c>
      <c r="B27" s="463">
        <f t="shared" ca="1" si="2"/>
        <v>0</v>
      </c>
      <c r="C27" s="463">
        <f t="shared" ca="1" si="3"/>
        <v>0</v>
      </c>
      <c r="D27" s="463">
        <f t="shared" si="4"/>
        <v>0</v>
      </c>
      <c r="E27" s="463">
        <f t="shared" si="5"/>
        <v>0</v>
      </c>
      <c r="F27" s="463">
        <f t="shared" si="6"/>
        <v>0</v>
      </c>
      <c r="G27" s="463">
        <f t="shared" si="7"/>
        <v>416.65047183328664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416.65047183328664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11578.50494560199</v>
      </c>
      <c r="C31" s="473">
        <f t="shared" ca="1" si="18"/>
        <v>14989.776876172878</v>
      </c>
      <c r="D31" s="473">
        <f t="shared" ca="1" si="18"/>
        <v>21238.323045700672</v>
      </c>
      <c r="E31" s="473">
        <f t="shared" si="18"/>
        <v>1464.3590733182727</v>
      </c>
      <c r="F31" s="473">
        <f t="shared" ca="1" si="18"/>
        <v>15738.356683975258</v>
      </c>
      <c r="G31" s="473">
        <f t="shared" si="18"/>
        <v>20215.470864454172</v>
      </c>
      <c r="H31" s="473">
        <f t="shared" si="18"/>
        <v>3981.6143370776881</v>
      </c>
      <c r="I31" s="473">
        <f t="shared" si="18"/>
        <v>0</v>
      </c>
      <c r="J31" s="473">
        <f t="shared" si="18"/>
        <v>113.48169513320497</v>
      </c>
      <c r="K31" s="473">
        <f t="shared" si="18"/>
        <v>0</v>
      </c>
      <c r="L31" s="473">
        <f t="shared" ca="1" si="18"/>
        <v>0</v>
      </c>
      <c r="M31" s="473">
        <f t="shared" si="18"/>
        <v>0</v>
      </c>
      <c r="N31" s="473">
        <f t="shared" ca="1" si="18"/>
        <v>0</v>
      </c>
      <c r="O31" s="473">
        <f t="shared" si="18"/>
        <v>0</v>
      </c>
      <c r="P31" s="474">
        <f t="shared" si="18"/>
        <v>0</v>
      </c>
      <c r="Q31" s="474">
        <f t="shared" ca="1" si="18"/>
        <v>89319.887521434124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0.21042620232849382</v>
      </c>
      <c r="C17" s="513">
        <f ca="1">'EF ele_warmte'!B22</f>
        <v>0.22364319317744924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0.21042620232849382</v>
      </c>
      <c r="C17" s="513">
        <f ca="1">'EF ele_warmte'!B22</f>
        <v>0.22364319317744924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0.21042620232849382</v>
      </c>
      <c r="C29" s="514">
        <f ca="1">'EF ele_warmte'!B22</f>
        <v>0.22364319317744924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12029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7019</v>
      </c>
      <c r="C9" s="338">
        <v>7215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1449</v>
      </c>
    </row>
    <row r="15" spans="1:6">
      <c r="A15" s="1212" t="s">
        <v>184</v>
      </c>
      <c r="B15" s="335">
        <v>1</v>
      </c>
    </row>
    <row r="16" spans="1:6">
      <c r="A16" s="1212" t="s">
        <v>6</v>
      </c>
      <c r="B16" s="335">
        <v>242</v>
      </c>
    </row>
    <row r="17" spans="1:6">
      <c r="A17" s="1212" t="s">
        <v>7</v>
      </c>
      <c r="B17" s="335">
        <v>201</v>
      </c>
    </row>
    <row r="18" spans="1:6">
      <c r="A18" s="1212" t="s">
        <v>8</v>
      </c>
      <c r="B18" s="335">
        <v>431</v>
      </c>
    </row>
    <row r="19" spans="1:6">
      <c r="A19" s="1212" t="s">
        <v>9</v>
      </c>
      <c r="B19" s="335">
        <v>469</v>
      </c>
    </row>
    <row r="20" spans="1:6">
      <c r="A20" s="1212" t="s">
        <v>10</v>
      </c>
      <c r="B20" s="335">
        <v>263</v>
      </c>
    </row>
    <row r="21" spans="1:6">
      <c r="A21" s="1212" t="s">
        <v>11</v>
      </c>
      <c r="B21" s="335">
        <v>0</v>
      </c>
    </row>
    <row r="22" spans="1:6">
      <c r="A22" s="1212" t="s">
        <v>12</v>
      </c>
      <c r="B22" s="335">
        <v>731</v>
      </c>
    </row>
    <row r="23" spans="1:6">
      <c r="A23" s="1212" t="s">
        <v>13</v>
      </c>
      <c r="B23" s="335">
        <v>0</v>
      </c>
    </row>
    <row r="24" spans="1:6">
      <c r="A24" s="1212" t="s">
        <v>14</v>
      </c>
      <c r="B24" s="335">
        <v>0</v>
      </c>
    </row>
    <row r="25" spans="1:6">
      <c r="A25" s="1212" t="s">
        <v>15</v>
      </c>
      <c r="B25" s="335">
        <v>0</v>
      </c>
    </row>
    <row r="26" spans="1:6">
      <c r="A26" s="1212" t="s">
        <v>16</v>
      </c>
      <c r="B26" s="335">
        <v>275</v>
      </c>
    </row>
    <row r="27" spans="1:6">
      <c r="A27" s="1212" t="s">
        <v>17</v>
      </c>
      <c r="B27" s="335">
        <v>16</v>
      </c>
    </row>
    <row r="28" spans="1:6" s="341" customFormat="1">
      <c r="A28" s="1213" t="s">
        <v>18</v>
      </c>
      <c r="B28" s="1213">
        <v>26726</v>
      </c>
    </row>
    <row r="29" spans="1:6">
      <c r="A29" s="1213" t="s">
        <v>836</v>
      </c>
      <c r="B29" s="1213">
        <v>195</v>
      </c>
      <c r="C29" s="341"/>
      <c r="D29" s="341"/>
      <c r="E29" s="341"/>
      <c r="F29" s="341"/>
    </row>
    <row r="30" spans="1:6">
      <c r="A30" s="1208" t="s">
        <v>837</v>
      </c>
      <c r="B30" s="1208">
        <v>114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1121.1062823042</v>
      </c>
    </row>
    <row r="39" spans="1:6">
      <c r="A39" s="1212" t="s">
        <v>30</v>
      </c>
      <c r="B39" s="1212" t="s">
        <v>31</v>
      </c>
      <c r="C39" s="335">
        <v>3476</v>
      </c>
      <c r="D39" s="335">
        <v>65272229.301177397</v>
      </c>
      <c r="E39" s="335">
        <v>6964</v>
      </c>
      <c r="F39" s="335">
        <v>29784427.040447101</v>
      </c>
    </row>
    <row r="40" spans="1:6">
      <c r="A40" s="1212" t="s">
        <v>30</v>
      </c>
      <c r="B40" s="1212" t="s">
        <v>29</v>
      </c>
      <c r="C40" s="335">
        <v>0</v>
      </c>
      <c r="D40" s="335">
        <v>0</v>
      </c>
      <c r="E40" s="335">
        <v>0</v>
      </c>
      <c r="F40" s="335">
        <v>0</v>
      </c>
    </row>
    <row r="41" spans="1:6">
      <c r="A41" s="1212" t="s">
        <v>32</v>
      </c>
      <c r="B41" s="1212" t="s">
        <v>33</v>
      </c>
      <c r="C41" s="335">
        <v>34</v>
      </c>
      <c r="D41" s="335">
        <v>2255088.2858645702</v>
      </c>
      <c r="E41" s="335">
        <v>152</v>
      </c>
      <c r="F41" s="335">
        <v>1671140.6487676599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8</v>
      </c>
      <c r="F44" s="335">
        <v>773226.94069354201</v>
      </c>
    </row>
    <row r="45" spans="1:6">
      <c r="A45" s="1212" t="s">
        <v>32</v>
      </c>
      <c r="B45" s="1212" t="s">
        <v>37</v>
      </c>
      <c r="C45" s="335">
        <v>0</v>
      </c>
      <c r="D45" s="335">
        <v>0</v>
      </c>
      <c r="E45" s="335">
        <v>3</v>
      </c>
      <c r="F45" s="335">
        <v>22742.583652735</v>
      </c>
    </row>
    <row r="46" spans="1:6">
      <c r="A46" s="1212" t="s">
        <v>32</v>
      </c>
      <c r="B46" s="1212" t="s">
        <v>38</v>
      </c>
      <c r="C46" s="335">
        <v>0</v>
      </c>
      <c r="D46" s="335">
        <v>0</v>
      </c>
      <c r="E46" s="335">
        <v>0</v>
      </c>
      <c r="F46" s="335">
        <v>0</v>
      </c>
    </row>
    <row r="47" spans="1:6">
      <c r="A47" s="1212" t="s">
        <v>32</v>
      </c>
      <c r="B47" s="1212" t="s">
        <v>39</v>
      </c>
      <c r="C47" s="335">
        <v>0</v>
      </c>
      <c r="D47" s="335">
        <v>0</v>
      </c>
      <c r="E47" s="335">
        <v>7</v>
      </c>
      <c r="F47" s="335">
        <v>204715.444219133</v>
      </c>
    </row>
    <row r="48" spans="1:6">
      <c r="A48" s="1212" t="s">
        <v>32</v>
      </c>
      <c r="B48" s="1212" t="s">
        <v>29</v>
      </c>
      <c r="C48" s="335">
        <v>19</v>
      </c>
      <c r="D48" s="335">
        <v>1830966.89866222</v>
      </c>
      <c r="E48" s="335">
        <v>25</v>
      </c>
      <c r="F48" s="335">
        <v>2197186.42504367</v>
      </c>
    </row>
    <row r="49" spans="1:6">
      <c r="A49" s="1212" t="s">
        <v>32</v>
      </c>
      <c r="B49" s="1212" t="s">
        <v>40</v>
      </c>
      <c r="C49" s="335">
        <v>0</v>
      </c>
      <c r="D49" s="335">
        <v>0</v>
      </c>
      <c r="E49" s="335">
        <v>0</v>
      </c>
      <c r="F49" s="335">
        <v>0</v>
      </c>
    </row>
    <row r="50" spans="1:6">
      <c r="A50" s="1212" t="s">
        <v>32</v>
      </c>
      <c r="B50" s="1212" t="s">
        <v>41</v>
      </c>
      <c r="C50" s="335">
        <v>8</v>
      </c>
      <c r="D50" s="335">
        <v>962798.55849734298</v>
      </c>
      <c r="E50" s="335">
        <v>20</v>
      </c>
      <c r="F50" s="335">
        <v>1410950.1436674099</v>
      </c>
    </row>
    <row r="51" spans="1:6">
      <c r="A51" s="1212" t="s">
        <v>42</v>
      </c>
      <c r="B51" s="1212" t="s">
        <v>43</v>
      </c>
      <c r="C51" s="335">
        <v>14</v>
      </c>
      <c r="D51" s="335">
        <v>102160375.023619</v>
      </c>
      <c r="E51" s="335">
        <v>88</v>
      </c>
      <c r="F51" s="335">
        <v>1934546.4749171699</v>
      </c>
    </row>
    <row r="52" spans="1:6">
      <c r="A52" s="1212" t="s">
        <v>42</v>
      </c>
      <c r="B52" s="1212" t="s">
        <v>29</v>
      </c>
      <c r="C52" s="335">
        <v>6</v>
      </c>
      <c r="D52" s="335">
        <v>851621.52250696602</v>
      </c>
      <c r="E52" s="335">
        <v>12</v>
      </c>
      <c r="F52" s="335">
        <v>158660.178255696</v>
      </c>
    </row>
    <row r="53" spans="1:6">
      <c r="A53" s="1212" t="s">
        <v>44</v>
      </c>
      <c r="B53" s="1212" t="s">
        <v>45</v>
      </c>
      <c r="C53" s="335">
        <v>86</v>
      </c>
      <c r="D53" s="335">
        <v>2957592.6802735399</v>
      </c>
      <c r="E53" s="335">
        <v>200</v>
      </c>
      <c r="F53" s="335">
        <v>928542.72592451505</v>
      </c>
    </row>
    <row r="54" spans="1:6">
      <c r="A54" s="1212" t="s">
        <v>46</v>
      </c>
      <c r="B54" s="1212" t="s">
        <v>47</v>
      </c>
      <c r="C54" s="335">
        <v>0</v>
      </c>
      <c r="D54" s="335">
        <v>0</v>
      </c>
      <c r="E54" s="335">
        <v>1</v>
      </c>
      <c r="F54" s="335">
        <v>996749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25</v>
      </c>
      <c r="D57" s="335">
        <v>712070.21764766402</v>
      </c>
      <c r="E57" s="335">
        <v>67</v>
      </c>
      <c r="F57" s="335">
        <v>698228.07237077795</v>
      </c>
    </row>
    <row r="58" spans="1:6">
      <c r="A58" s="1212" t="s">
        <v>49</v>
      </c>
      <c r="B58" s="1212" t="s">
        <v>51</v>
      </c>
      <c r="C58" s="335">
        <v>3</v>
      </c>
      <c r="D58" s="335">
        <v>199009.96976345801</v>
      </c>
      <c r="E58" s="335">
        <v>17</v>
      </c>
      <c r="F58" s="335">
        <v>182536.809618192</v>
      </c>
    </row>
    <row r="59" spans="1:6">
      <c r="A59" s="1212" t="s">
        <v>49</v>
      </c>
      <c r="B59" s="1212" t="s">
        <v>52</v>
      </c>
      <c r="C59" s="335">
        <v>57</v>
      </c>
      <c r="D59" s="335">
        <v>2294194.1855076998</v>
      </c>
      <c r="E59" s="335">
        <v>194</v>
      </c>
      <c r="F59" s="335">
        <v>5432496.9582804199</v>
      </c>
    </row>
    <row r="60" spans="1:6">
      <c r="A60" s="1212" t="s">
        <v>49</v>
      </c>
      <c r="B60" s="1212" t="s">
        <v>53</v>
      </c>
      <c r="C60" s="335">
        <v>40</v>
      </c>
      <c r="D60" s="335">
        <v>1837608.0255253201</v>
      </c>
      <c r="E60" s="335">
        <v>76</v>
      </c>
      <c r="F60" s="335">
        <v>1718839.9151135101</v>
      </c>
    </row>
    <row r="61" spans="1:6">
      <c r="A61" s="1212" t="s">
        <v>49</v>
      </c>
      <c r="B61" s="1212" t="s">
        <v>54</v>
      </c>
      <c r="C61" s="335">
        <v>74</v>
      </c>
      <c r="D61" s="335">
        <v>4362800.9452309096</v>
      </c>
      <c r="E61" s="335">
        <v>220</v>
      </c>
      <c r="F61" s="335">
        <v>3240481.8761282698</v>
      </c>
    </row>
    <row r="62" spans="1:6">
      <c r="A62" s="1212" t="s">
        <v>49</v>
      </c>
      <c r="B62" s="1212" t="s">
        <v>55</v>
      </c>
      <c r="C62" s="335">
        <v>0</v>
      </c>
      <c r="D62" s="335">
        <v>0</v>
      </c>
      <c r="E62" s="335">
        <v>8</v>
      </c>
      <c r="F62" s="335">
        <v>196728.47284677401</v>
      </c>
    </row>
    <row r="63" spans="1:6">
      <c r="A63" s="1212" t="s">
        <v>49</v>
      </c>
      <c r="B63" s="1212" t="s">
        <v>29</v>
      </c>
      <c r="C63" s="335">
        <v>76</v>
      </c>
      <c r="D63" s="335">
        <v>36824866.473169804</v>
      </c>
      <c r="E63" s="335">
        <v>88</v>
      </c>
      <c r="F63" s="335">
        <v>1532753.28542408</v>
      </c>
    </row>
    <row r="64" spans="1:6">
      <c r="A64" s="1212" t="s">
        <v>56</v>
      </c>
      <c r="B64" s="1212" t="s">
        <v>57</v>
      </c>
      <c r="C64" s="335">
        <v>0</v>
      </c>
      <c r="D64" s="335">
        <v>0</v>
      </c>
      <c r="E64" s="335">
        <v>0</v>
      </c>
      <c r="F64" s="335">
        <v>0</v>
      </c>
    </row>
    <row r="65" spans="1:6">
      <c r="A65" s="1212" t="s">
        <v>56</v>
      </c>
      <c r="B65" s="1212" t="s">
        <v>29</v>
      </c>
      <c r="C65" s="335">
        <v>3</v>
      </c>
      <c r="D65" s="335">
        <v>171418.11648743699</v>
      </c>
      <c r="E65" s="335">
        <v>2</v>
      </c>
      <c r="F65" s="335">
        <v>8825.5969586205993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11</v>
      </c>
      <c r="F68" s="335">
        <v>142135.71949302801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100149932</v>
      </c>
      <c r="E73" s="335">
        <v>104539095.31530625</v>
      </c>
    </row>
    <row r="74" spans="1:6">
      <c r="A74" s="1212" t="s">
        <v>64</v>
      </c>
      <c r="B74" s="1212" t="s">
        <v>727</v>
      </c>
      <c r="C74" s="1212" t="s">
        <v>728</v>
      </c>
      <c r="D74" s="335">
        <v>6020633.5917709814</v>
      </c>
      <c r="E74" s="335">
        <v>6461506.4001504732</v>
      </c>
    </row>
    <row r="75" spans="1:6">
      <c r="A75" s="1212" t="s">
        <v>65</v>
      </c>
      <c r="B75" s="1212" t="s">
        <v>725</v>
      </c>
      <c r="C75" s="1212" t="s">
        <v>729</v>
      </c>
      <c r="D75" s="335">
        <v>21019032</v>
      </c>
      <c r="E75" s="335">
        <v>21940216.220402453</v>
      </c>
    </row>
    <row r="76" spans="1:6">
      <c r="A76" s="1212" t="s">
        <v>65</v>
      </c>
      <c r="B76" s="1212" t="s">
        <v>727</v>
      </c>
      <c r="C76" s="1212" t="s">
        <v>730</v>
      </c>
      <c r="D76" s="335">
        <v>134953.59177098115</v>
      </c>
      <c r="E76" s="335">
        <v>161910.81139416044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430596.81645803771</v>
      </c>
      <c r="C83" s="335">
        <v>425401.62145523354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2861.0380039213455</v>
      </c>
    </row>
    <row r="92" spans="1:6">
      <c r="A92" s="1208" t="s">
        <v>69</v>
      </c>
      <c r="B92" s="338">
        <v>344.84549516889439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1455</v>
      </c>
    </row>
    <row r="98" spans="1:6">
      <c r="A98" s="1212" t="s">
        <v>72</v>
      </c>
      <c r="B98" s="335">
        <v>17</v>
      </c>
    </row>
    <row r="99" spans="1:6">
      <c r="A99" s="1212" t="s">
        <v>73</v>
      </c>
      <c r="B99" s="335">
        <v>84</v>
      </c>
    </row>
    <row r="100" spans="1:6">
      <c r="A100" s="1212" t="s">
        <v>74</v>
      </c>
      <c r="B100" s="335">
        <v>402</v>
      </c>
    </row>
    <row r="101" spans="1:6">
      <c r="A101" s="1212" t="s">
        <v>75</v>
      </c>
      <c r="B101" s="335">
        <v>55</v>
      </c>
    </row>
    <row r="102" spans="1:6">
      <c r="A102" s="1212" t="s">
        <v>76</v>
      </c>
      <c r="B102" s="335">
        <v>81</v>
      </c>
    </row>
    <row r="103" spans="1:6">
      <c r="A103" s="1212" t="s">
        <v>77</v>
      </c>
      <c r="B103" s="335">
        <v>190</v>
      </c>
    </row>
    <row r="104" spans="1:6">
      <c r="A104" s="1212" t="s">
        <v>78</v>
      </c>
      <c r="B104" s="335">
        <v>3725</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22</v>
      </c>
      <c r="C123" s="335">
        <v>22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99</v>
      </c>
    </row>
    <row r="130" spans="1:6">
      <c r="A130" s="1212" t="s">
        <v>295</v>
      </c>
      <c r="B130" s="335">
        <v>2</v>
      </c>
    </row>
    <row r="131" spans="1:6">
      <c r="A131" s="1212" t="s">
        <v>296</v>
      </c>
      <c r="B131" s="335">
        <v>2</v>
      </c>
    </row>
    <row r="132" spans="1:6">
      <c r="A132" s="1208" t="s">
        <v>297</v>
      </c>
      <c r="B132" s="338">
        <v>16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55024.064576933837</v>
      </c>
      <c r="C3" s="43" t="s">
        <v>170</v>
      </c>
      <c r="D3" s="43"/>
      <c r="E3" s="156"/>
      <c r="F3" s="43"/>
      <c r="G3" s="43"/>
      <c r="H3" s="43"/>
      <c r="I3" s="43"/>
      <c r="J3" s="43"/>
      <c r="K3" s="96"/>
    </row>
    <row r="4" spans="1:11">
      <c r="A4" s="366" t="s">
        <v>171</v>
      </c>
      <c r="B4" s="49">
        <f>IF(ISERROR('SEAP template'!B69),0,'SEAP template'!B69)</f>
        <v>51135.38349909024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10719.106427398554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0.21042620232849382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14989.776876172878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67025.410714285725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0.22364319317744924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996.74900000000002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996.74900000000002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0.21042620232849382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209.74210674472388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29784.427040447103</v>
      </c>
      <c r="C5" s="17">
        <f>IF(ISERROR('Eigen informatie GS &amp; warmtenet'!B57),0,'Eigen informatie GS &amp; warmtenet'!B57)</f>
        <v>0</v>
      </c>
      <c r="D5" s="30">
        <f>(SUM(HH_hh_gas_kWh,HH_rest_gas_kWh)/1000)*0.902</f>
        <v>58875.55082966201</v>
      </c>
      <c r="E5" s="17">
        <f>B46*B57</f>
        <v>5173.1273656666535</v>
      </c>
      <c r="F5" s="17">
        <f>B51*B62</f>
        <v>48199.320657057659</v>
      </c>
      <c r="G5" s="18"/>
      <c r="H5" s="17"/>
      <c r="I5" s="17"/>
      <c r="J5" s="17">
        <f>B50*B61+C50*C61</f>
        <v>0</v>
      </c>
      <c r="K5" s="17"/>
      <c r="L5" s="17"/>
      <c r="M5" s="17"/>
      <c r="N5" s="17">
        <f>B48*B59+C48*C59</f>
        <v>12698.242061954312</v>
      </c>
      <c r="O5" s="17">
        <f>B69*B70*B71</f>
        <v>189.16333333333336</v>
      </c>
      <c r="P5" s="17">
        <f>B77*B78*B79/1000-B77*B78*B79/1000/B80</f>
        <v>724.5333333333333</v>
      </c>
    </row>
    <row r="6" spans="1:16">
      <c r="A6" s="16" t="s">
        <v>634</v>
      </c>
      <c r="B6" s="831">
        <f>kWh_PV_kleiner_dan_10kW</f>
        <v>2861.0380039213455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32645.465044368448</v>
      </c>
      <c r="C8" s="21">
        <f>C5</f>
        <v>0</v>
      </c>
      <c r="D8" s="21">
        <f>D5</f>
        <v>58875.55082966201</v>
      </c>
      <c r="E8" s="21">
        <f>E5</f>
        <v>5173.1273656666535</v>
      </c>
      <c r="F8" s="21">
        <f>F5</f>
        <v>48199.320657057659</v>
      </c>
      <c r="G8" s="21"/>
      <c r="H8" s="21"/>
      <c r="I8" s="21"/>
      <c r="J8" s="21">
        <f>J5</f>
        <v>0</v>
      </c>
      <c r="K8" s="21"/>
      <c r="L8" s="21">
        <f>L5</f>
        <v>0</v>
      </c>
      <c r="M8" s="21">
        <f>M5</f>
        <v>0</v>
      </c>
      <c r="N8" s="21">
        <f>N5</f>
        <v>12698.242061954312</v>
      </c>
      <c r="O8" s="21">
        <f>O5</f>
        <v>189.16333333333336</v>
      </c>
      <c r="P8" s="21">
        <f>P5</f>
        <v>724.5333333333333</v>
      </c>
    </row>
    <row r="9" spans="1:16">
      <c r="B9" s="19"/>
      <c r="C9" s="19"/>
      <c r="D9" s="261"/>
      <c r="E9" s="19"/>
      <c r="F9" s="19"/>
      <c r="G9" s="19"/>
      <c r="H9" s="19"/>
      <c r="I9" s="19"/>
      <c r="J9" s="19"/>
      <c r="K9" s="19"/>
      <c r="L9" s="19"/>
      <c r="M9" s="19"/>
      <c r="N9" s="19"/>
      <c r="O9" s="19"/>
      <c r="P9" s="19"/>
    </row>
    <row r="10" spans="1:16">
      <c r="A10" s="24" t="s">
        <v>214</v>
      </c>
      <c r="B10" s="25">
        <f ca="1">'EF ele_warmte'!B12</f>
        <v>0.21042620232849382</v>
      </c>
      <c r="C10" s="25">
        <f ca="1">'EF ele_warmte'!B22</f>
        <v>0.22364319317744924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6869.4612325340477</v>
      </c>
      <c r="C12" s="23">
        <f ca="1">C10*C8</f>
        <v>0</v>
      </c>
      <c r="D12" s="23">
        <f>D8*D10</f>
        <v>11892.861267591727</v>
      </c>
      <c r="E12" s="23">
        <f>E10*E8</f>
        <v>1174.2999120063305</v>
      </c>
      <c r="F12" s="23">
        <f>F10*F8</f>
        <v>12869.218615434396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1455</v>
      </c>
      <c r="C18" s="168" t="s">
        <v>111</v>
      </c>
      <c r="D18" s="230"/>
      <c r="E18" s="15"/>
    </row>
    <row r="19" spans="1:7">
      <c r="A19" s="173" t="s">
        <v>72</v>
      </c>
      <c r="B19" s="37">
        <f>aantalw2001_ander</f>
        <v>17</v>
      </c>
      <c r="C19" s="168" t="s">
        <v>111</v>
      </c>
      <c r="D19" s="231"/>
      <c r="E19" s="15"/>
    </row>
    <row r="20" spans="1:7">
      <c r="A20" s="173" t="s">
        <v>73</v>
      </c>
      <c r="B20" s="37">
        <f>aantalw2001_propaan</f>
        <v>84</v>
      </c>
      <c r="C20" s="169">
        <f>IF(ISERROR(B20/SUM($B$20,$B$21,$B$22)*100),0,B20/SUM($B$20,$B$21,$B$22)*100)</f>
        <v>15.526802218114602</v>
      </c>
      <c r="D20" s="231"/>
      <c r="E20" s="15"/>
    </row>
    <row r="21" spans="1:7">
      <c r="A21" s="173" t="s">
        <v>74</v>
      </c>
      <c r="B21" s="37">
        <f>aantalw2001_elektriciteit</f>
        <v>402</v>
      </c>
      <c r="C21" s="169">
        <f>IF(ISERROR(B21/SUM($B$20,$B$21,$B$22)*100),0,B21/SUM($B$20,$B$21,$B$22)*100)</f>
        <v>74.306839186691306</v>
      </c>
      <c r="D21" s="231"/>
      <c r="E21" s="15"/>
    </row>
    <row r="22" spans="1:7">
      <c r="A22" s="173" t="s">
        <v>75</v>
      </c>
      <c r="B22" s="37">
        <f>aantalw2001_hout</f>
        <v>55</v>
      </c>
      <c r="C22" s="169">
        <f>IF(ISERROR(B22/SUM($B$20,$B$21,$B$22)*100),0,B22/SUM($B$20,$B$21,$B$22)*100)</f>
        <v>10.166358595194085</v>
      </c>
      <c r="D22" s="231"/>
      <c r="E22" s="15"/>
    </row>
    <row r="23" spans="1:7">
      <c r="A23" s="173" t="s">
        <v>76</v>
      </c>
      <c r="B23" s="37">
        <f>aantalw2001_niet_gespec</f>
        <v>81</v>
      </c>
      <c r="C23" s="168" t="s">
        <v>111</v>
      </c>
      <c r="D23" s="230"/>
      <c r="E23" s="15"/>
    </row>
    <row r="24" spans="1:7">
      <c r="A24" s="173" t="s">
        <v>77</v>
      </c>
      <c r="B24" s="37">
        <f>aantalw2001_steenkool</f>
        <v>190</v>
      </c>
      <c r="C24" s="168" t="s">
        <v>111</v>
      </c>
      <c r="D24" s="231"/>
      <c r="E24" s="15"/>
    </row>
    <row r="25" spans="1:7">
      <c r="A25" s="173" t="s">
        <v>78</v>
      </c>
      <c r="B25" s="37">
        <f>aantalw2001_stookolie</f>
        <v>3725</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7019</v>
      </c>
      <c r="C28" s="36"/>
      <c r="D28" s="230"/>
    </row>
    <row r="29" spans="1:7" s="15" customFormat="1">
      <c r="A29" s="232" t="s">
        <v>746</v>
      </c>
      <c r="B29" s="37">
        <f>SUM(HH_hh_gas_aantal,HH_rest_gas_aantal)</f>
        <v>3476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3476</v>
      </c>
      <c r="C32" s="169">
        <f>IF(ISERROR(B32/SUM($B$32,$B$34,$B$35,$B$36,$B$38,$B$39)*100),0,B32/SUM($B$32,$B$34,$B$35,$B$36,$B$38,$B$39)*100)</f>
        <v>49.792293367712368</v>
      </c>
      <c r="D32" s="235"/>
      <c r="G32" s="15"/>
    </row>
    <row r="33" spans="1:7">
      <c r="A33" s="173" t="s">
        <v>72</v>
      </c>
      <c r="B33" s="34" t="s">
        <v>111</v>
      </c>
      <c r="C33" s="169"/>
      <c r="D33" s="235"/>
      <c r="G33" s="15"/>
    </row>
    <row r="34" spans="1:7">
      <c r="A34" s="173" t="s">
        <v>73</v>
      </c>
      <c r="B34" s="33">
        <f>IF((($B$28-$B$32-$B$39-$B$77-$B$38)*C20/100)&lt;0,0,($B$28-$B$32-$B$39-$B$77-$B$38)*C20/100)</f>
        <v>248.25804066543438</v>
      </c>
      <c r="C34" s="169">
        <f>IF(ISERROR(B34/SUM($B$32,$B$34,$B$35,$B$36,$B$38,$B$39)*100),0,B34/SUM($B$32,$B$34,$B$35,$B$36,$B$38,$B$39)*100)</f>
        <v>3.5561959699961951</v>
      </c>
      <c r="D34" s="235"/>
      <c r="G34" s="15"/>
    </row>
    <row r="35" spans="1:7">
      <c r="A35" s="173" t="s">
        <v>74</v>
      </c>
      <c r="B35" s="33">
        <f>IF((($B$28-$B$32-$B$39-$B$77-$B$38)*C21/100)&lt;0,0,($B$28-$B$32-$B$39-$B$77-$B$38)*C21/100)</f>
        <v>1188.0920517560073</v>
      </c>
      <c r="C35" s="169">
        <f>IF(ISERROR(B35/SUM($B$32,$B$34,$B$35,$B$36,$B$38,$B$39)*100),0,B35/SUM($B$32,$B$34,$B$35,$B$36,$B$38,$B$39)*100)</f>
        <v>17.018937856410361</v>
      </c>
      <c r="D35" s="235"/>
      <c r="G35" s="15"/>
    </row>
    <row r="36" spans="1:7">
      <c r="A36" s="173" t="s">
        <v>75</v>
      </c>
      <c r="B36" s="33">
        <f>IF((($B$28-$B$32-$B$39-$B$77-$B$38)*C22/100)&lt;0,0,($B$28-$B$32-$B$39-$B$77-$B$38)*C22/100)</f>
        <v>162.54990757855822</v>
      </c>
      <c r="C36" s="169">
        <f>IF(ISERROR(B36/SUM($B$32,$B$34,$B$35,$B$36,$B$38,$B$39)*100),0,B36/SUM($B$32,$B$34,$B$35,$B$36,$B$38,$B$39)*100)</f>
        <v>2.3284616470213182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1906.1</v>
      </c>
      <c r="C39" s="169">
        <f>IF(ISERROR(B39/SUM($B$32,$B$34,$B$35,$B$36,$B$38,$B$39)*100),0,B39/SUM($B$32,$B$34,$B$35,$B$36,$B$38,$B$39)*100)</f>
        <v>27.304111158859762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3476</v>
      </c>
      <c r="C44" s="34" t="s">
        <v>111</v>
      </c>
      <c r="D44" s="176"/>
    </row>
    <row r="45" spans="1:7">
      <c r="A45" s="173" t="s">
        <v>72</v>
      </c>
      <c r="B45" s="33" t="str">
        <f t="shared" si="0"/>
        <v>-</v>
      </c>
      <c r="C45" s="34" t="s">
        <v>111</v>
      </c>
      <c r="D45" s="176"/>
    </row>
    <row r="46" spans="1:7">
      <c r="A46" s="173" t="s">
        <v>73</v>
      </c>
      <c r="B46" s="33">
        <f t="shared" si="0"/>
        <v>248.25804066543438</v>
      </c>
      <c r="C46" s="34" t="s">
        <v>111</v>
      </c>
      <c r="D46" s="176"/>
    </row>
    <row r="47" spans="1:7">
      <c r="A47" s="173" t="s">
        <v>74</v>
      </c>
      <c r="B47" s="33">
        <f t="shared" si="0"/>
        <v>1188.0920517560073</v>
      </c>
      <c r="C47" s="34" t="s">
        <v>111</v>
      </c>
      <c r="D47" s="176"/>
    </row>
    <row r="48" spans="1:7">
      <c r="A48" s="173" t="s">
        <v>75</v>
      </c>
      <c r="B48" s="33">
        <f t="shared" si="0"/>
        <v>162.54990757855822</v>
      </c>
      <c r="C48" s="33">
        <f>B48*10</f>
        <v>1625.4990757855821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1906.1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13002.065389782025</v>
      </c>
      <c r="C5" s="17">
        <f>IF(ISERROR('Eigen informatie GS &amp; warmtenet'!B58),0,'Eigen informatie GS &amp; warmtenet'!B58)</f>
        <v>0</v>
      </c>
      <c r="D5" s="30">
        <f>SUM(D6:D12)</f>
        <v>41699.955934794059</v>
      </c>
      <c r="E5" s="17">
        <f>SUM(E6:E12)</f>
        <v>209.89345009863683</v>
      </c>
      <c r="F5" s="17">
        <f>SUM(F6:F12)</f>
        <v>2543.6773339597376</v>
      </c>
      <c r="G5" s="18"/>
      <c r="H5" s="17"/>
      <c r="I5" s="17"/>
      <c r="J5" s="17">
        <f>SUM(J6:J12)</f>
        <v>0</v>
      </c>
      <c r="K5" s="17"/>
      <c r="L5" s="17"/>
      <c r="M5" s="17"/>
      <c r="N5" s="17">
        <f>SUM(N6:N12)</f>
        <v>628.09908642326127</v>
      </c>
      <c r="O5" s="17">
        <f>B38*B39*B40</f>
        <v>3.1266666666666669</v>
      </c>
      <c r="P5" s="17">
        <f>B46*B47*B48/1000-B46*B47*B48/1000/B49</f>
        <v>38.133333333333333</v>
      </c>
      <c r="R5" s="32"/>
    </row>
    <row r="6" spans="1:18">
      <c r="A6" s="32" t="s">
        <v>54</v>
      </c>
      <c r="B6" s="37">
        <f>B26</f>
        <v>3240.48187612827</v>
      </c>
      <c r="C6" s="33"/>
      <c r="D6" s="37">
        <f>IF(ISERROR(TER_kantoor_gas_kWh/1000),0,TER_kantoor_gas_kWh/1000)*0.902</f>
        <v>3935.2464525982805</v>
      </c>
      <c r="E6" s="33">
        <f>$C$26*'E Balans VL '!I12/100/3.6*1000000</f>
        <v>12.5899581387441</v>
      </c>
      <c r="F6" s="33">
        <f>$C$26*('E Balans VL '!L12+'E Balans VL '!N12)/100/3.6*1000000</f>
        <v>492.84780732486769</v>
      </c>
      <c r="G6" s="34"/>
      <c r="H6" s="33"/>
      <c r="I6" s="33"/>
      <c r="J6" s="33">
        <f>$C$26*('E Balans VL '!D12+'E Balans VL '!E12)/100/3.6*1000000</f>
        <v>0</v>
      </c>
      <c r="K6" s="33"/>
      <c r="L6" s="33"/>
      <c r="M6" s="33"/>
      <c r="N6" s="33">
        <f>$C$26*'E Balans VL '!Y12/100/3.6*1000000</f>
        <v>1.7858937139152535</v>
      </c>
      <c r="O6" s="33"/>
      <c r="P6" s="33"/>
      <c r="R6" s="32"/>
    </row>
    <row r="7" spans="1:18">
      <c r="A7" s="32" t="s">
        <v>53</v>
      </c>
      <c r="B7" s="37">
        <f t="shared" ref="B7:B12" si="0">B27</f>
        <v>1718.8399151135102</v>
      </c>
      <c r="C7" s="33"/>
      <c r="D7" s="37">
        <f>IF(ISERROR(TER_horeca_gas_kWh/1000),0,TER_horeca_gas_kWh/1000)*0.902</f>
        <v>1657.5224390238386</v>
      </c>
      <c r="E7" s="33">
        <f>$C$27*'E Balans VL '!I9/100/3.6*1000000</f>
        <v>96.822711959999324</v>
      </c>
      <c r="F7" s="33">
        <f>$C$27*('E Balans VL '!L9+'E Balans VL '!N9)/100/3.6*1000000</f>
        <v>495.61052667371774</v>
      </c>
      <c r="G7" s="34"/>
      <c r="H7" s="33"/>
      <c r="I7" s="33"/>
      <c r="J7" s="33">
        <f>$C$27*('E Balans VL '!D9+'E Balans VL '!E9)/100/3.6*1000000</f>
        <v>0</v>
      </c>
      <c r="K7" s="33"/>
      <c r="L7" s="33"/>
      <c r="M7" s="33"/>
      <c r="N7" s="33">
        <f>$C$27*'E Balans VL '!Y9/100/3.6*1000000</f>
        <v>0.47456276863026314</v>
      </c>
      <c r="O7" s="33"/>
      <c r="P7" s="33"/>
      <c r="R7" s="32"/>
    </row>
    <row r="8" spans="1:18">
      <c r="A8" s="6" t="s">
        <v>52</v>
      </c>
      <c r="B8" s="37">
        <f t="shared" si="0"/>
        <v>5432.4969582804197</v>
      </c>
      <c r="C8" s="33"/>
      <c r="D8" s="37">
        <f>IF(ISERROR(TER_handel_gas_kWh/1000),0,TER_handel_gas_kWh/1000)*0.902</f>
        <v>2069.3631553279452</v>
      </c>
      <c r="E8" s="33">
        <f>$C$28*'E Balans VL '!I13/100/3.6*1000000</f>
        <v>78.300711797601025</v>
      </c>
      <c r="F8" s="33">
        <f>$C$28*('E Balans VL '!L13+'E Balans VL '!N13)/100/3.6*1000000</f>
        <v>943.75123597042625</v>
      </c>
      <c r="G8" s="34"/>
      <c r="H8" s="33"/>
      <c r="I8" s="33"/>
      <c r="J8" s="33">
        <f>$C$28*('E Balans VL '!D13+'E Balans VL '!E13)/100/3.6*1000000</f>
        <v>0</v>
      </c>
      <c r="K8" s="33"/>
      <c r="L8" s="33"/>
      <c r="M8" s="33"/>
      <c r="N8" s="33">
        <f>$C$28*'E Balans VL '!Y13/100/3.6*1000000</f>
        <v>16.276365645027642</v>
      </c>
      <c r="O8" s="33"/>
      <c r="P8" s="33"/>
      <c r="R8" s="32"/>
    </row>
    <row r="9" spans="1:18">
      <c r="A9" s="32" t="s">
        <v>51</v>
      </c>
      <c r="B9" s="37">
        <f t="shared" si="0"/>
        <v>182.536809618192</v>
      </c>
      <c r="C9" s="33"/>
      <c r="D9" s="37">
        <f>IF(ISERROR(TER_gezond_gas_kWh/1000),0,TER_gezond_gas_kWh/1000)*0.902</f>
        <v>179.50699272663911</v>
      </c>
      <c r="E9" s="33">
        <f>$C$29*'E Balans VL '!I10/100/3.6*1000000</f>
        <v>0.19499662447581115</v>
      </c>
      <c r="F9" s="33">
        <f>$C$29*('E Balans VL '!L10+'E Balans VL '!N10)/100/3.6*1000000</f>
        <v>29.777301150542744</v>
      </c>
      <c r="G9" s="34"/>
      <c r="H9" s="33"/>
      <c r="I9" s="33"/>
      <c r="J9" s="33">
        <f>$C$29*('E Balans VL '!D10+'E Balans VL '!E10)/100/3.6*1000000</f>
        <v>0</v>
      </c>
      <c r="K9" s="33"/>
      <c r="L9" s="33"/>
      <c r="M9" s="33"/>
      <c r="N9" s="33">
        <f>$C$29*'E Balans VL '!Y10/100/3.6*1000000</f>
        <v>1.8791123015936113</v>
      </c>
      <c r="O9" s="33"/>
      <c r="P9" s="33"/>
      <c r="R9" s="32"/>
    </row>
    <row r="10" spans="1:18">
      <c r="A10" s="32" t="s">
        <v>50</v>
      </c>
      <c r="B10" s="37">
        <f t="shared" si="0"/>
        <v>698.22807237077791</v>
      </c>
      <c r="C10" s="33"/>
      <c r="D10" s="37">
        <f>IF(ISERROR(TER_ander_gas_kWh/1000),0,TER_ander_gas_kWh/1000)*0.902</f>
        <v>642.28733631819296</v>
      </c>
      <c r="E10" s="33">
        <f>$C$30*'E Balans VL '!I14/100/3.6*1000000</f>
        <v>3.2110446964591666</v>
      </c>
      <c r="F10" s="33">
        <f>$C$30*('E Balans VL '!L14+'E Balans VL '!N14)/100/3.6*1000000</f>
        <v>209.28097738241269</v>
      </c>
      <c r="G10" s="34"/>
      <c r="H10" s="33"/>
      <c r="I10" s="33"/>
      <c r="J10" s="33">
        <f>$C$30*('E Balans VL '!D14+'E Balans VL '!E14)/100/3.6*1000000</f>
        <v>0</v>
      </c>
      <c r="K10" s="33"/>
      <c r="L10" s="33"/>
      <c r="M10" s="33"/>
      <c r="N10" s="33">
        <f>$C$30*'E Balans VL '!Y14/100/3.6*1000000</f>
        <v>486.01282894183646</v>
      </c>
      <c r="O10" s="33"/>
      <c r="P10" s="33"/>
      <c r="R10" s="32"/>
    </row>
    <row r="11" spans="1:18">
      <c r="A11" s="32" t="s">
        <v>55</v>
      </c>
      <c r="B11" s="37">
        <f t="shared" si="0"/>
        <v>196.728472846774</v>
      </c>
      <c r="C11" s="33"/>
      <c r="D11" s="37">
        <f>IF(ISERROR(TER_onderwijs_gas_kWh/1000),0,TER_onderwijs_gas_kWh/1000)*0.902</f>
        <v>0</v>
      </c>
      <c r="E11" s="33">
        <f>$C$31*'E Balans VL '!I11/100/3.6*1000000</f>
        <v>0.18249153008648869</v>
      </c>
      <c r="F11" s="33">
        <f>$C$31*('E Balans VL '!L11+'E Balans VL '!N11)/100/3.6*1000000</f>
        <v>69.106191032200499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1532.7532854240799</v>
      </c>
      <c r="C12" s="33"/>
      <c r="D12" s="37">
        <f>IF(ISERROR(TER_rest_gas_kWh/1000),0,TER_rest_gas_kWh/1000)*0.902</f>
        <v>33216.029558799164</v>
      </c>
      <c r="E12" s="33">
        <f>$C$32*'E Balans VL '!I8/100/3.6*1000000</f>
        <v>18.591535351270931</v>
      </c>
      <c r="F12" s="33">
        <f>$C$32*('E Balans VL '!L8+'E Balans VL '!N8)/100/3.6*1000000</f>
        <v>303.30329442556945</v>
      </c>
      <c r="G12" s="34"/>
      <c r="H12" s="33"/>
      <c r="I12" s="33"/>
      <c r="J12" s="33">
        <f>$C$32*('E Balans VL '!D8+'E Balans VL '!E8)/100/3.6*1000000</f>
        <v>0</v>
      </c>
      <c r="K12" s="33"/>
      <c r="L12" s="33"/>
      <c r="M12" s="33"/>
      <c r="N12" s="33">
        <f>$C$32*'E Balans VL '!Y8/100/3.6*1000000</f>
        <v>121.67032305225797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13002.065389782025</v>
      </c>
      <c r="C16" s="21">
        <f t="shared" ca="1" si="1"/>
        <v>0</v>
      </c>
      <c r="D16" s="21">
        <f t="shared" ca="1" si="1"/>
        <v>41699.955934794059</v>
      </c>
      <c r="E16" s="21">
        <f t="shared" si="1"/>
        <v>209.89345009863683</v>
      </c>
      <c r="F16" s="21">
        <f t="shared" ca="1" si="1"/>
        <v>2543.6773339597376</v>
      </c>
      <c r="G16" s="21">
        <f t="shared" si="1"/>
        <v>0</v>
      </c>
      <c r="H16" s="21">
        <f t="shared" si="1"/>
        <v>0</v>
      </c>
      <c r="I16" s="21">
        <f t="shared" si="1"/>
        <v>0</v>
      </c>
      <c r="J16" s="21">
        <f t="shared" si="1"/>
        <v>0</v>
      </c>
      <c r="K16" s="21">
        <f t="shared" si="1"/>
        <v>0</v>
      </c>
      <c r="L16" s="21">
        <f t="shared" ca="1" si="1"/>
        <v>0</v>
      </c>
      <c r="M16" s="21">
        <f t="shared" si="1"/>
        <v>0</v>
      </c>
      <c r="N16" s="21">
        <f t="shared" ca="1" si="1"/>
        <v>628.09908642326127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0.21042620232849382</v>
      </c>
      <c r="C18" s="25">
        <f ca="1">'EF ele_warmte'!B22</f>
        <v>0.22364319317744924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2735.9752423985792</v>
      </c>
      <c r="C20" s="23">
        <f t="shared" ref="C20:P20" ca="1" si="2">C16*C18</f>
        <v>0</v>
      </c>
      <c r="D20" s="23">
        <f t="shared" ca="1" si="2"/>
        <v>8423.3910988284006</v>
      </c>
      <c r="E20" s="23">
        <f t="shared" si="2"/>
        <v>47.645813172390561</v>
      </c>
      <c r="F20" s="23">
        <f t="shared" ca="1" si="2"/>
        <v>679.16184816725001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3240.48187612827</v>
      </c>
      <c r="C26" s="39">
        <f>IF(ISERROR(B26*3.6/1000000/'E Balans VL '!Z12*100),0,B26*3.6/1000000/'E Balans VL '!Z12*100)</f>
        <v>6.8829440175022349E-2</v>
      </c>
      <c r="D26" s="239" t="s">
        <v>692</v>
      </c>
      <c r="F26" s="6"/>
    </row>
    <row r="27" spans="1:18">
      <c r="A27" s="233" t="s">
        <v>53</v>
      </c>
      <c r="B27" s="33">
        <f>IF(ISERROR(TER_horeca_ele_kWh/1000),0,TER_horeca_ele_kWh/1000)</f>
        <v>1718.8399151135102</v>
      </c>
      <c r="C27" s="39">
        <f>IF(ISERROR(B27*3.6/1000000/'E Balans VL '!Z9*100),0,B27*3.6/1000000/'E Balans VL '!Z9*100)</f>
        <v>0.13365027126973639</v>
      </c>
      <c r="D27" s="239" t="s">
        <v>692</v>
      </c>
      <c r="F27" s="6"/>
    </row>
    <row r="28" spans="1:18">
      <c r="A28" s="173" t="s">
        <v>52</v>
      </c>
      <c r="B28" s="33">
        <f>IF(ISERROR(TER_handel_ele_kWh/1000),0,TER_handel_ele_kWh/1000)</f>
        <v>5432.4969582804197</v>
      </c>
      <c r="C28" s="39">
        <f>IF(ISERROR(B28*3.6/1000000/'E Balans VL '!Z13*100),0,B28*3.6/1000000/'E Balans VL '!Z13*100)</f>
        <v>0.15543013138575748</v>
      </c>
      <c r="D28" s="239" t="s">
        <v>692</v>
      </c>
      <c r="F28" s="6"/>
    </row>
    <row r="29" spans="1:18">
      <c r="A29" s="233" t="s">
        <v>51</v>
      </c>
      <c r="B29" s="33">
        <f>IF(ISERROR(TER_gezond_ele_kWh/1000),0,TER_gezond_ele_kWh/1000)</f>
        <v>182.536809618192</v>
      </c>
      <c r="C29" s="39">
        <f>IF(ISERROR(B29*3.6/1000000/'E Balans VL '!Z10*100),0,B29*3.6/1000000/'E Balans VL '!Z10*100)</f>
        <v>1.9900753895130015E-2</v>
      </c>
      <c r="D29" s="239" t="s">
        <v>692</v>
      </c>
      <c r="F29" s="6"/>
    </row>
    <row r="30" spans="1:18">
      <c r="A30" s="233" t="s">
        <v>50</v>
      </c>
      <c r="B30" s="33">
        <f>IF(ISERROR(TER_ander_ele_kWh/1000),0,TER_ander_ele_kWh/1000)</f>
        <v>698.22807237077791</v>
      </c>
      <c r="C30" s="39">
        <f>IF(ISERROR(B30*3.6/1000000/'E Balans VL '!Z14*100),0,B30*3.6/1000000/'E Balans VL '!Z14*100)</f>
        <v>5.1094746443258246E-2</v>
      </c>
      <c r="D30" s="239" t="s">
        <v>692</v>
      </c>
      <c r="F30" s="6"/>
    </row>
    <row r="31" spans="1:18">
      <c r="A31" s="233" t="s">
        <v>55</v>
      </c>
      <c r="B31" s="33">
        <f>IF(ISERROR(TER_onderwijs_ele_kWh/1000),0,TER_onderwijs_ele_kWh/1000)</f>
        <v>196.728472846774</v>
      </c>
      <c r="C31" s="39">
        <f>IF(ISERROR(B31*3.6/1000000/'E Balans VL '!Z11*100),0,B31*3.6/1000000/'E Balans VL '!Z11*100)</f>
        <v>3.9513059857810159E-2</v>
      </c>
      <c r="D31" s="239" t="s">
        <v>692</v>
      </c>
    </row>
    <row r="32" spans="1:18">
      <c r="A32" s="233" t="s">
        <v>260</v>
      </c>
      <c r="B32" s="33">
        <f>IF(ISERROR(TER_rest_ele_kWh/1000),0,TER_rest_ele_kWh/1000)</f>
        <v>1532.7532854240799</v>
      </c>
      <c r="C32" s="39">
        <f>IF(ISERROR(B32*3.6/1000000/'E Balans VL '!Z8*100),0,B32*3.6/1000000/'E Balans VL '!Z8*100)</f>
        <v>1.2491009095499057E-2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6279.9621860441503</v>
      </c>
      <c r="C5" s="17">
        <f>IF(ISERROR('Eigen informatie GS &amp; warmtenet'!B59),0,'Eigen informatie GS &amp; warmtenet'!B59)</f>
        <v>0</v>
      </c>
      <c r="D5" s="30">
        <f>SUM(D6:D15)</f>
        <v>4554.0660762077678</v>
      </c>
      <c r="E5" s="17">
        <f>SUM(E6:E15)</f>
        <v>714.52592660313121</v>
      </c>
      <c r="F5" s="17">
        <f>SUM(F6:F15)</f>
        <v>3955.6957956941392</v>
      </c>
      <c r="G5" s="18"/>
      <c r="H5" s="17"/>
      <c r="I5" s="17"/>
      <c r="J5" s="17">
        <f>SUM(J6:J15)</f>
        <v>5.7752743595307496</v>
      </c>
      <c r="K5" s="17"/>
      <c r="L5" s="17"/>
      <c r="M5" s="17"/>
      <c r="N5" s="17">
        <f>SUM(N6:N15)</f>
        <v>1849.844318101608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773.22694069354202</v>
      </c>
      <c r="C8" s="33"/>
      <c r="D8" s="37">
        <f>IF( ISERROR(IND_metaal_Gas_kWH/1000),0,IND_metaal_Gas_kWH/1000)*0.902</f>
        <v>0</v>
      </c>
      <c r="E8" s="33">
        <f>C30*'E Balans VL '!I18/100/3.6*1000000</f>
        <v>22.209980074599269</v>
      </c>
      <c r="F8" s="33">
        <f>C30*'E Balans VL '!L18/100/3.6*1000000+C30*'E Balans VL '!N18/100/3.6*1000000</f>
        <v>198.31783899665169</v>
      </c>
      <c r="G8" s="34"/>
      <c r="H8" s="33"/>
      <c r="I8" s="33"/>
      <c r="J8" s="40">
        <f>C30*'E Balans VL '!D18/100/3.6*1000000+C30*'E Balans VL '!E18/100/3.6*1000000</f>
        <v>0</v>
      </c>
      <c r="K8" s="33"/>
      <c r="L8" s="33"/>
      <c r="M8" s="33"/>
      <c r="N8" s="33">
        <f>C30*'E Balans VL '!Y18/100/3.6*1000000</f>
        <v>20.994689819636879</v>
      </c>
      <c r="O8" s="33"/>
      <c r="P8" s="33"/>
      <c r="R8" s="32"/>
    </row>
    <row r="9" spans="1:18">
      <c r="A9" s="6" t="s">
        <v>33</v>
      </c>
      <c r="B9" s="37">
        <f t="shared" si="0"/>
        <v>1671.14064876766</v>
      </c>
      <c r="C9" s="33"/>
      <c r="D9" s="37">
        <f>IF( ISERROR(IND_andere_gas_kWh/1000),0,IND_andere_gas_kWh/1000)*0.902</f>
        <v>2034.0896338498421</v>
      </c>
      <c r="E9" s="33">
        <f>C31*'E Balans VL '!I19/100/3.6*1000000</f>
        <v>452.33668521868384</v>
      </c>
      <c r="F9" s="33">
        <f>C31*'E Balans VL '!L19/100/3.6*1000000+C31*'E Balans VL '!N19/100/3.6*1000000</f>
        <v>1113.1565157008095</v>
      </c>
      <c r="G9" s="34"/>
      <c r="H9" s="33"/>
      <c r="I9" s="33"/>
      <c r="J9" s="40">
        <f>C31*'E Balans VL '!D19/100/3.6*1000000+C31*'E Balans VL '!E19/100/3.6*1000000</f>
        <v>0</v>
      </c>
      <c r="K9" s="33"/>
      <c r="L9" s="33"/>
      <c r="M9" s="33"/>
      <c r="N9" s="33">
        <f>C31*'E Balans VL '!Y19/100/3.6*1000000</f>
        <v>545.59966179990158</v>
      </c>
      <c r="O9" s="33"/>
      <c r="P9" s="33"/>
      <c r="R9" s="32"/>
    </row>
    <row r="10" spans="1:18">
      <c r="A10" s="6" t="s">
        <v>41</v>
      </c>
      <c r="B10" s="37">
        <f t="shared" si="0"/>
        <v>1410.95014366741</v>
      </c>
      <c r="C10" s="33"/>
      <c r="D10" s="37">
        <f>IF( ISERROR(IND_voed_gas_kWh/1000),0,IND_voed_gas_kWh/1000)*0.902</f>
        <v>868.44429976460333</v>
      </c>
      <c r="E10" s="33">
        <f>C32*'E Balans VL '!I20/100/3.6*1000000</f>
        <v>115.08033529111889</v>
      </c>
      <c r="F10" s="33">
        <f>C32*'E Balans VL '!L20/100/3.6*1000000+C32*'E Balans VL '!N20/100/3.6*1000000</f>
        <v>2103.8546768217716</v>
      </c>
      <c r="G10" s="34"/>
      <c r="H10" s="33"/>
      <c r="I10" s="33"/>
      <c r="J10" s="40">
        <f>C32*'E Balans VL '!D20/100/3.6*1000000+C32*'E Balans VL '!E20/100/3.6*1000000</f>
        <v>1.8665157737000306E-2</v>
      </c>
      <c r="K10" s="33"/>
      <c r="L10" s="33"/>
      <c r="M10" s="33"/>
      <c r="N10" s="33">
        <f>C32*'E Balans VL '!Y20/100/3.6*1000000</f>
        <v>414.4873651473473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22.742583652735</v>
      </c>
      <c r="C12" s="33"/>
      <c r="D12" s="37">
        <f>IF( ISERROR(IND_min_gas_kWh/1000),0,IND_min_gas_kWh/1000)*0.902</f>
        <v>0</v>
      </c>
      <c r="E12" s="33">
        <f>C34*'E Balans VL '!I22/100/3.6*1000000</f>
        <v>0.17715977125675689</v>
      </c>
      <c r="F12" s="33">
        <f>C34*'E Balans VL '!L22/100/3.6*1000000+C34*'E Balans VL '!N22/100/3.6*1000000</f>
        <v>8.5771049793611223</v>
      </c>
      <c r="G12" s="34"/>
      <c r="H12" s="33"/>
      <c r="I12" s="33"/>
      <c r="J12" s="40">
        <f>C34*'E Balans VL '!D22/100/3.6*1000000+C34*'E Balans VL '!E22/100/3.6*1000000</f>
        <v>0.1250822216393763</v>
      </c>
      <c r="K12" s="33"/>
      <c r="L12" s="33"/>
      <c r="M12" s="33"/>
      <c r="N12" s="33">
        <f>C34*'E Balans VL '!Y22/100/3.6*1000000</f>
        <v>0</v>
      </c>
      <c r="O12" s="33"/>
      <c r="P12" s="33"/>
      <c r="R12" s="32"/>
    </row>
    <row r="13" spans="1:18">
      <c r="A13" s="6" t="s">
        <v>39</v>
      </c>
      <c r="B13" s="37">
        <f t="shared" si="0"/>
        <v>204.71544421913299</v>
      </c>
      <c r="C13" s="33"/>
      <c r="D13" s="37">
        <f>IF( ISERROR(IND_papier_gas_kWh/1000),0,IND_papier_gas_kWh/1000)*0.902</f>
        <v>0</v>
      </c>
      <c r="E13" s="33">
        <f>C35*'E Balans VL '!I23/100/3.6*1000000</f>
        <v>2.1447672242203577</v>
      </c>
      <c r="F13" s="33">
        <f>C35*'E Balans VL '!L23/100/3.6*1000000+C35*'E Balans VL '!N23/100/3.6*1000000</f>
        <v>15.275902732632083</v>
      </c>
      <c r="G13" s="34"/>
      <c r="H13" s="33"/>
      <c r="I13" s="33"/>
      <c r="J13" s="40">
        <f>C35*'E Balans VL '!D23/100/3.6*1000000+C35*'E Balans VL '!E23/100/3.6*1000000</f>
        <v>0</v>
      </c>
      <c r="K13" s="33"/>
      <c r="L13" s="33"/>
      <c r="M13" s="33"/>
      <c r="N13" s="33">
        <f>C35*'E Balans VL '!Y23/100/3.6*1000000</f>
        <v>437.55789446955976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2197.1864250436702</v>
      </c>
      <c r="C15" s="33"/>
      <c r="D15" s="37">
        <f>IF( ISERROR(IND_rest_gas_kWh/1000),0,IND_rest_gas_kWh/1000)*0.902</f>
        <v>1651.5321425933225</v>
      </c>
      <c r="E15" s="33">
        <f>C37*'E Balans VL '!I15/100/3.6*1000000</f>
        <v>122.57699902325199</v>
      </c>
      <c r="F15" s="33">
        <f>C37*'E Balans VL '!L15/100/3.6*1000000+C37*'E Balans VL '!N15/100/3.6*1000000</f>
        <v>516.51375646291365</v>
      </c>
      <c r="G15" s="34"/>
      <c r="H15" s="33"/>
      <c r="I15" s="33"/>
      <c r="J15" s="40">
        <f>C37*'E Balans VL '!D15/100/3.6*1000000+C37*'E Balans VL '!E15/100/3.6*1000000</f>
        <v>5.6315269801543728</v>
      </c>
      <c r="K15" s="33"/>
      <c r="L15" s="33"/>
      <c r="M15" s="33"/>
      <c r="N15" s="33">
        <f>C37*'E Balans VL '!Y15/100/3.6*1000000</f>
        <v>431.20470686516251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6279.9621860441503</v>
      </c>
      <c r="C18" s="21">
        <f>C5+C16</f>
        <v>0</v>
      </c>
      <c r="D18" s="21">
        <f>MAX((D5+D16),0)</f>
        <v>4554.0660762077678</v>
      </c>
      <c r="E18" s="21">
        <f>MAX((E5+E16),0)</f>
        <v>714.52592660313121</v>
      </c>
      <c r="F18" s="21">
        <f>MAX((F5+F16),0)</f>
        <v>3955.6957956941392</v>
      </c>
      <c r="G18" s="21"/>
      <c r="H18" s="21"/>
      <c r="I18" s="21"/>
      <c r="J18" s="21">
        <f>MAX((J5+J16),0)</f>
        <v>5.7752743595307496</v>
      </c>
      <c r="K18" s="21"/>
      <c r="L18" s="21">
        <f>MAX((L5+L16),0)</f>
        <v>0</v>
      </c>
      <c r="M18" s="21"/>
      <c r="N18" s="21">
        <f>MAX((N5+N16),0)</f>
        <v>1849.844318101608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0.21042620232849382</v>
      </c>
      <c r="C20" s="25">
        <f ca="1">'EF ele_warmte'!B22</f>
        <v>0.22364319317744924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1321.4685935758166</v>
      </c>
      <c r="C22" s="23">
        <f ca="1">C18*C20</f>
        <v>0</v>
      </c>
      <c r="D22" s="23">
        <f>D18*D20</f>
        <v>919.9213473939692</v>
      </c>
      <c r="E22" s="23">
        <f>E18*E20</f>
        <v>162.19738533891078</v>
      </c>
      <c r="F22" s="23">
        <f>F18*F20</f>
        <v>1056.1707774503352</v>
      </c>
      <c r="G22" s="23"/>
      <c r="H22" s="23"/>
      <c r="I22" s="23"/>
      <c r="J22" s="23">
        <f>J18*J20</f>
        <v>2.0444471232738852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773.22694069354202</v>
      </c>
      <c r="C30" s="39">
        <f>IF(ISERROR(B30*3.6/1000000/'E Balans VL '!Z18*100),0,B30*3.6/1000000/'E Balans VL '!Z18*100)</f>
        <v>7.6083557126128173E-2</v>
      </c>
      <c r="D30" s="239" t="s">
        <v>692</v>
      </c>
    </row>
    <row r="31" spans="1:18">
      <c r="A31" s="6" t="s">
        <v>33</v>
      </c>
      <c r="B31" s="37">
        <f>IF( ISERROR(IND_ander_ele_kWh/1000),0,IND_ander_ele_kWh/1000)</f>
        <v>1671.14064876766</v>
      </c>
      <c r="C31" s="39">
        <f>IF(ISERROR(B31*3.6/1000000/'E Balans VL '!Z19*100),0,B31*3.6/1000000/'E Balans VL '!Z19*100)</f>
        <v>7.2776842198067543E-2</v>
      </c>
      <c r="D31" s="239" t="s">
        <v>692</v>
      </c>
    </row>
    <row r="32" spans="1:18">
      <c r="A32" s="173" t="s">
        <v>41</v>
      </c>
      <c r="B32" s="37">
        <f>IF( ISERROR(IND_voed_ele_kWh/1000),0,IND_voed_ele_kWh/1000)</f>
        <v>1410.95014366741</v>
      </c>
      <c r="C32" s="39">
        <f>IF(ISERROR(B32*3.6/1000000/'E Balans VL '!Z20*100),0,B32*3.6/1000000/'E Balans VL '!Z20*100)</f>
        <v>0.26770744164620897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22.742583652735</v>
      </c>
      <c r="C34" s="39">
        <f>IF(ISERROR(B34*3.6/1000000/'E Balans VL '!Z22*100),0,B34*3.6/1000000/'E Balans VL '!Z22*100)</f>
        <v>3.197835635481251E-3</v>
      </c>
      <c r="D34" s="239" t="s">
        <v>692</v>
      </c>
    </row>
    <row r="35" spans="1:5">
      <c r="A35" s="173" t="s">
        <v>39</v>
      </c>
      <c r="B35" s="37">
        <f>IF( ISERROR(IND_papier_ele_kWh/1000),0,IND_papier_ele_kWh/1000)</f>
        <v>204.71544421913299</v>
      </c>
      <c r="C35" s="39">
        <f>IF(ISERROR(B35*3.6/1000000/'E Balans VL '!Z22*100),0,B35*3.6/1000000/'E Balans VL '!Z22*100)</f>
        <v>2.8785047145625894E-2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2197.1864250436702</v>
      </c>
      <c r="C37" s="39">
        <f>IF(ISERROR(B37*3.6/1000000/'E Balans VL '!Z15*100),0,B37*3.6/1000000/'E Balans VL '!Z15*100)</f>
        <v>1.6932020106170793E-2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2093.206653172866</v>
      </c>
      <c r="C5" s="17">
        <f>'Eigen informatie GS &amp; warmtenet'!B60</f>
        <v>0</v>
      </c>
      <c r="D5" s="30">
        <f>IF(ISERROR(SUM(LB_lb_gas_kWh,LB_rest_gas_kWh,onbekend_gas_kWh)/1000),0,SUM(LB_lb_gas_kWh,LB_rest_gas_kWh,onbekend_gas_kWh)/1000)*0.902</f>
        <v>95584.569482212348</v>
      </c>
      <c r="E5" s="17">
        <f>B17*'E Balans VL '!I25/3.6*1000000/100</f>
        <v>26.37710042842135</v>
      </c>
      <c r="F5" s="17">
        <f>B17*('E Balans VL '!L25/3.6*1000000+'E Balans VL '!N25/3.6*1000000)/100</f>
        <v>7222.0873330459744</v>
      </c>
      <c r="G5" s="18"/>
      <c r="H5" s="17"/>
      <c r="I5" s="17"/>
      <c r="J5" s="17">
        <f>('E Balans VL '!D25+'E Balans VL '!E25)/3.6*1000000*landbouw!B17/100</f>
        <v>314.79448590376012</v>
      </c>
      <c r="K5" s="17"/>
      <c r="L5" s="17">
        <f>L6*(-1)</f>
        <v>8926.875</v>
      </c>
      <c r="M5" s="17"/>
      <c r="N5" s="17">
        <f>N6*(-1)</f>
        <v>0</v>
      </c>
      <c r="O5" s="17"/>
      <c r="P5" s="17"/>
      <c r="R5" s="32"/>
    </row>
    <row r="6" spans="1:18">
      <c r="A6" s="16" t="s">
        <v>497</v>
      </c>
      <c r="B6" s="17" t="s">
        <v>211</v>
      </c>
      <c r="C6" s="17">
        <f>'lokale energieproductie'!O91+'lokale energieproductie'!O60</f>
        <v>67025.410714285725</v>
      </c>
      <c r="D6" s="312">
        <f>('lokale energieproductie'!P60+'lokale energieproductie'!P91)*(-1)</f>
        <v>-123338.57142857145</v>
      </c>
      <c r="E6" s="250"/>
      <c r="F6" s="312">
        <f>('lokale energieproductie'!S60+'lokale energieproductie'!S91)*(-1)</f>
        <v>-2975.625</v>
      </c>
      <c r="G6" s="251"/>
      <c r="H6" s="250"/>
      <c r="I6" s="250"/>
      <c r="J6" s="250"/>
      <c r="K6" s="250"/>
      <c r="L6" s="312">
        <f>('lokale energieproductie'!T60+'lokale energieproductie'!U60+'lokale energieproductie'!T91+'lokale energieproductie'!U91)*(-1)</f>
        <v>-8926.875</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2093.206653172866</v>
      </c>
      <c r="C8" s="21">
        <f>C5+C6</f>
        <v>67025.410714285725</v>
      </c>
      <c r="D8" s="21">
        <f>MAX((D5+D6),0)</f>
        <v>0</v>
      </c>
      <c r="E8" s="21">
        <f>MAX((E5+E6),0)</f>
        <v>26.37710042842135</v>
      </c>
      <c r="F8" s="21">
        <f>MAX((F5+F6),0)</f>
        <v>4246.4623330459744</v>
      </c>
      <c r="G8" s="21"/>
      <c r="H8" s="21"/>
      <c r="I8" s="21"/>
      <c r="J8" s="21">
        <f>MAX((J5+J6),0)</f>
        <v>314.79448590376012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0.21042620232849382</v>
      </c>
      <c r="C10" s="31">
        <f ca="1">'EF ele_warmte'!B22</f>
        <v>0.22364319317744924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440.46552671590291</v>
      </c>
      <c r="C12" s="23">
        <f ca="1">C8*C10</f>
        <v>14989.776876172878</v>
      </c>
      <c r="D12" s="23">
        <f>D8*D10</f>
        <v>0</v>
      </c>
      <c r="E12" s="23">
        <f>E8*E10</f>
        <v>5.9876017972516467</v>
      </c>
      <c r="F12" s="23">
        <f>F8*F10</f>
        <v>1133.8054429232752</v>
      </c>
      <c r="G12" s="23"/>
      <c r="H12" s="23"/>
      <c r="I12" s="23"/>
      <c r="J12" s="23">
        <f>J8*J10</f>
        <v>111.43724800993108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0.29193635407345597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109.79674299279785</v>
      </c>
      <c r="C26" s="249">
        <f>B26*'GWP N2O_CH4'!B5</f>
        <v>2305.7316028487548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19.9943511849307</v>
      </c>
      <c r="C27" s="249">
        <f>B27*'GWP N2O_CH4'!B5</f>
        <v>419.88137488354471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1.5538860264639822</v>
      </c>
      <c r="C28" s="249">
        <f>B28*'GWP N2O_CH4'!B4</f>
        <v>481.7046682038345</v>
      </c>
      <c r="D28" s="50"/>
    </row>
    <row r="29" spans="1:4">
      <c r="A29" s="41" t="s">
        <v>277</v>
      </c>
      <c r="B29" s="249">
        <f>B34*'ha_N2O bodem landbouw'!B4</f>
        <v>8.6311484015781286</v>
      </c>
      <c r="C29" s="249">
        <f>B29*'GWP N2O_CH4'!B4</f>
        <v>2675.6560044892199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2.1551115110321185E-3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2.3818692838869997E-5</v>
      </c>
      <c r="C5" s="448" t="s">
        <v>211</v>
      </c>
      <c r="D5" s="433">
        <f>SUM(D6:D11)</f>
        <v>3.8304924711164355E-5</v>
      </c>
      <c r="E5" s="433">
        <f>SUM(E6:E11)</f>
        <v>1.1771898661330454E-3</v>
      </c>
      <c r="F5" s="446" t="s">
        <v>211</v>
      </c>
      <c r="G5" s="433">
        <f>SUM(G6:G11)</f>
        <v>0.26695038731623666</v>
      </c>
      <c r="H5" s="433">
        <f>SUM(H6:H11)</f>
        <v>5.756550848787019E-2</v>
      </c>
      <c r="I5" s="448" t="s">
        <v>211</v>
      </c>
      <c r="J5" s="448" t="s">
        <v>211</v>
      </c>
      <c r="K5" s="448" t="s">
        <v>211</v>
      </c>
      <c r="L5" s="448" t="s">
        <v>211</v>
      </c>
      <c r="M5" s="433">
        <f>SUM(M6:M11)</f>
        <v>1.4506967725130873E-2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1.9686893321475597E-5</v>
      </c>
      <c r="C6" s="949"/>
      <c r="D6" s="949">
        <f>vkm_2011_GW_PW*SUMIFS(TableVerdeelsleutelVkm[CNG],TableVerdeelsleutelVkm[Voertuigtype],"Lichte voertuigen")*SUMIFS(TableECFTransport[EnergieConsumptieFactor (PJ per km)],TableECFTransport[Index],CONCATENATE($A6,"_CNG_CNG"))</f>
        <v>2.7880491317901789E-5</v>
      </c>
      <c r="E6" s="949">
        <f>vkm_2011_GW_PW*SUMIFS(TableVerdeelsleutelVkm[LPG],TableVerdeelsleutelVkm[Voertuigtype],"Lichte voertuigen")*SUMIFS(TableECFTransport[EnergieConsumptieFactor (PJ per km)],TableECFTransport[Index],CONCATENATE($A6,"_LPG_LPG"))</f>
        <v>8.7563444729473394E-4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0.15737548683565611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4.2288225032455579E-2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8.9098796986469726E-3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5.6833266113790921E-2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2.024886652934648E-5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2.5646488385780777E-3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4.1317995173943987E-6</v>
      </c>
      <c r="C8" s="949"/>
      <c r="D8" s="436">
        <f>vkm_2011_NGW_PW*SUMIFS(TableVerdeelsleutelVkm[CNG],TableVerdeelsleutelVkm[Voertuigtype],"Lichte voertuigen")*SUMIFS(TableECFTransport[EnergieConsumptieFactor (PJ per km)],TableECFTransport[Index],CONCATENATE($A8,"_CNG_CNG"))</f>
        <v>1.0424433393262566E-5</v>
      </c>
      <c r="E8" s="436">
        <f>vkm_2011_NGW_PW*SUMIFS(TableVerdeelsleutelVkm[LPG],TableVerdeelsleutelVkm[Voertuigtype],"Lichte voertuigen")*SUMIFS(TableECFTransport[EnergieConsumptieFactor (PJ per km)],TableECFTransport[Index],CONCATENATE($A8,"_LPG_LPG"))</f>
        <v>3.0155541883831148E-4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5.1116567674964045E-2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1.5256486698103663E-2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2.9591080207934145E-3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1.6250666918255945E-3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5.4789078160027435E-7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7.3331167112407604E-5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6.6163035663527765</v>
      </c>
      <c r="C14" s="21"/>
      <c r="D14" s="21">
        <f t="shared" ref="D14:M14" si="0">((D5)*10^9/3600)+D12</f>
        <v>10.64025686421232</v>
      </c>
      <c r="E14" s="21">
        <f t="shared" si="0"/>
        <v>326.99718503695703</v>
      </c>
      <c r="F14" s="21"/>
      <c r="G14" s="21">
        <f t="shared" si="0"/>
        <v>74152.885365621289</v>
      </c>
      <c r="H14" s="21">
        <f t="shared" si="0"/>
        <v>15990.419024408386</v>
      </c>
      <c r="I14" s="21"/>
      <c r="J14" s="21"/>
      <c r="K14" s="21"/>
      <c r="L14" s="21"/>
      <c r="M14" s="21">
        <f t="shared" si="0"/>
        <v>4029.7132569807982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0.21042620232849382</v>
      </c>
      <c r="C16" s="56">
        <f ca="1">'EF ele_warmte'!B22</f>
        <v>0.22364319317744924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1.3922436329200847</v>
      </c>
      <c r="C18" s="23"/>
      <c r="D18" s="23">
        <f t="shared" ref="D18:M18" si="1">D14*D16</f>
        <v>2.1493318865708888</v>
      </c>
      <c r="E18" s="23">
        <f t="shared" si="1"/>
        <v>74.228361003389253</v>
      </c>
      <c r="F18" s="23"/>
      <c r="G18" s="23">
        <f t="shared" si="1"/>
        <v>19798.820392620884</v>
      </c>
      <c r="H18" s="23">
        <f t="shared" si="1"/>
        <v>3981.6143370776881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5.6177591707858871E-3</v>
      </c>
      <c r="H50" s="323">
        <f t="shared" si="2"/>
        <v>0</v>
      </c>
      <c r="I50" s="323">
        <f t="shared" si="2"/>
        <v>0</v>
      </c>
      <c r="J50" s="323">
        <f t="shared" si="2"/>
        <v>0</v>
      </c>
      <c r="K50" s="323">
        <f t="shared" si="2"/>
        <v>0</v>
      </c>
      <c r="L50" s="323">
        <f t="shared" si="2"/>
        <v>0</v>
      </c>
      <c r="M50" s="323">
        <f t="shared" si="2"/>
        <v>2.4983549089401403E-4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5.6177591707858871E-3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2.4983549089401403E-4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1560.4886585516354</v>
      </c>
      <c r="H54" s="21">
        <f t="shared" si="3"/>
        <v>0</v>
      </c>
      <c r="I54" s="21">
        <f t="shared" si="3"/>
        <v>0</v>
      </c>
      <c r="J54" s="21">
        <f t="shared" si="3"/>
        <v>0</v>
      </c>
      <c r="K54" s="21">
        <f t="shared" si="3"/>
        <v>0</v>
      </c>
      <c r="L54" s="21">
        <f t="shared" si="3"/>
        <v>0</v>
      </c>
      <c r="M54" s="21">
        <f t="shared" si="3"/>
        <v>69.398747470559456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0.21042620232849382</v>
      </c>
      <c r="C56" s="56">
        <f ca="1">'EF ele_warmte'!B22</f>
        <v>0.22364319317744924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416.65047183328664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3205.8834990902401</v>
      </c>
      <c r="C6" s="1142"/>
      <c r="D6" s="1145"/>
      <c r="E6" s="1145"/>
      <c r="F6" s="1148"/>
      <c r="G6" s="1151"/>
      <c r="H6" s="1139"/>
      <c r="I6" s="1145"/>
      <c r="J6" s="1145"/>
      <c r="K6" s="1145"/>
      <c r="L6" s="1175"/>
      <c r="M6" s="561"/>
      <c r="N6" s="1187"/>
      <c r="O6" s="1188"/>
      <c r="Q6" s="559"/>
      <c r="R6" s="1172"/>
      <c r="S6" s="1172"/>
    </row>
    <row r="7" spans="1:19" s="549" customFormat="1">
      <c r="A7" s="562" t="s">
        <v>252</v>
      </c>
      <c r="B7" s="563">
        <f>N57</f>
        <v>47929.5</v>
      </c>
      <c r="C7" s="564">
        <f>B100</f>
        <v>51424.998049701164</v>
      </c>
      <c r="D7" s="565"/>
      <c r="E7" s="565">
        <f>E100</f>
        <v>1240.6622522805912</v>
      </c>
      <c r="F7" s="566"/>
      <c r="G7" s="567"/>
      <c r="H7" s="565">
        <f>I100</f>
        <v>0</v>
      </c>
      <c r="I7" s="565">
        <f>G100+F100</f>
        <v>3721.986756841774</v>
      </c>
      <c r="J7" s="565">
        <f>H100+D100+C100</f>
        <v>0</v>
      </c>
      <c r="K7" s="565"/>
      <c r="L7" s="568"/>
      <c r="M7" s="569">
        <f>C7*$C$11+D7*$D$11+E7*$E$11+F7*$F$11+G7*$G$11+H7*$H$11+I7*$I$11+J7*$J$11</f>
        <v>10719.106427398554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51135.38349909024</v>
      </c>
      <c r="C9" s="580">
        <f t="shared" ref="C9:L9" si="0">SUM(C7:C8)</f>
        <v>51424.998049701164</v>
      </c>
      <c r="D9" s="580">
        <f t="shared" si="0"/>
        <v>0</v>
      </c>
      <c r="E9" s="580">
        <f t="shared" si="0"/>
        <v>1240.6622522805912</v>
      </c>
      <c r="F9" s="580">
        <f t="shared" si="0"/>
        <v>0</v>
      </c>
      <c r="G9" s="580">
        <f t="shared" si="0"/>
        <v>0</v>
      </c>
      <c r="H9" s="580">
        <f t="shared" si="0"/>
        <v>0</v>
      </c>
      <c r="I9" s="580">
        <f t="shared" si="0"/>
        <v>3721.986756841774</v>
      </c>
      <c r="J9" s="580">
        <f t="shared" si="0"/>
        <v>0</v>
      </c>
      <c r="K9" s="580">
        <f t="shared" si="0"/>
        <v>0</v>
      </c>
      <c r="L9" s="580">
        <f t="shared" si="0"/>
        <v>0</v>
      </c>
      <c r="M9" s="581">
        <f>SUM(M4:M8)</f>
        <v>10719.106427398554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67025.410714285725</v>
      </c>
      <c r="C16" s="596">
        <f>B101</f>
        <v>71913.573378870278</v>
      </c>
      <c r="D16" s="597"/>
      <c r="E16" s="597">
        <f>E101</f>
        <v>1734.9627477194085</v>
      </c>
      <c r="F16" s="598"/>
      <c r="G16" s="599"/>
      <c r="H16" s="596">
        <f>I101</f>
        <v>0</v>
      </c>
      <c r="I16" s="597">
        <f>G101+F101</f>
        <v>5204.888243158226</v>
      </c>
      <c r="J16" s="597">
        <f>H101+D101+C101</f>
        <v>0</v>
      </c>
      <c r="K16" s="597"/>
      <c r="L16" s="600"/>
      <c r="M16" s="601">
        <f>C16*$C$21+E16*$E$21+H16*$H$21+I16*$I$21+J16*$J$21+D16*$D$21+F16*$F$21+G16*$G$21+K16*$K$21+L16*$L$21</f>
        <v>14989.776876172878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67025.410714285725</v>
      </c>
      <c r="C19" s="579">
        <f>SUM(C16:C18)</f>
        <v>71913.573378870278</v>
      </c>
      <c r="D19" s="579">
        <f t="shared" ref="D19:M19" si="1">SUM(D16:D18)</f>
        <v>0</v>
      </c>
      <c r="E19" s="579">
        <f t="shared" si="1"/>
        <v>1734.9627477194085</v>
      </c>
      <c r="F19" s="579">
        <f t="shared" si="1"/>
        <v>0</v>
      </c>
      <c r="G19" s="579">
        <f t="shared" si="1"/>
        <v>0</v>
      </c>
      <c r="H19" s="579">
        <f t="shared" si="1"/>
        <v>0</v>
      </c>
      <c r="I19" s="579">
        <f t="shared" si="1"/>
        <v>5204.888243158226</v>
      </c>
      <c r="J19" s="579">
        <f t="shared" si="1"/>
        <v>0</v>
      </c>
      <c r="K19" s="579">
        <f t="shared" si="1"/>
        <v>0</v>
      </c>
      <c r="L19" s="579">
        <f t="shared" si="1"/>
        <v>0</v>
      </c>
      <c r="M19" s="606">
        <f t="shared" si="1"/>
        <v>14989.776876172878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12029</v>
      </c>
      <c r="C27" s="839">
        <v>2580</v>
      </c>
      <c r="D27" s="658" t="s">
        <v>840</v>
      </c>
      <c r="E27" s="657" t="s">
        <v>841</v>
      </c>
      <c r="F27" s="657" t="s">
        <v>842</v>
      </c>
      <c r="G27" s="657" t="s">
        <v>843</v>
      </c>
      <c r="H27" s="657" t="s">
        <v>844</v>
      </c>
      <c r="I27" s="657" t="s">
        <v>841</v>
      </c>
      <c r="J27" s="838">
        <v>39174</v>
      </c>
      <c r="K27" s="838">
        <v>39218</v>
      </c>
      <c r="L27" s="657" t="s">
        <v>845</v>
      </c>
      <c r="M27" s="657">
        <v>1147</v>
      </c>
      <c r="N27" s="657">
        <v>5161.5</v>
      </c>
      <c r="O27" s="657">
        <v>7373.5714285714284</v>
      </c>
      <c r="P27" s="657">
        <v>14747.142857142859</v>
      </c>
      <c r="Q27" s="657">
        <v>0</v>
      </c>
      <c r="R27" s="657">
        <v>0</v>
      </c>
      <c r="S27" s="657">
        <v>0</v>
      </c>
      <c r="T27" s="657">
        <v>0</v>
      </c>
      <c r="U27" s="657">
        <v>0</v>
      </c>
      <c r="V27" s="657">
        <v>0</v>
      </c>
      <c r="W27" s="657">
        <v>0</v>
      </c>
      <c r="X27" s="657">
        <v>10</v>
      </c>
      <c r="Y27" s="657" t="s">
        <v>112</v>
      </c>
      <c r="Z27" s="659" t="s">
        <v>112</v>
      </c>
    </row>
    <row r="28" spans="1:26" s="611" customFormat="1" ht="25.5">
      <c r="A28" s="610"/>
      <c r="B28" s="839">
        <v>12029</v>
      </c>
      <c r="C28" s="839">
        <v>2580</v>
      </c>
      <c r="D28" s="658" t="s">
        <v>846</v>
      </c>
      <c r="E28" s="657" t="s">
        <v>847</v>
      </c>
      <c r="F28" s="657" t="s">
        <v>848</v>
      </c>
      <c r="G28" s="657" t="s">
        <v>843</v>
      </c>
      <c r="H28" s="657" t="s">
        <v>844</v>
      </c>
      <c r="I28" s="657" t="s">
        <v>849</v>
      </c>
      <c r="J28" s="838">
        <v>39706</v>
      </c>
      <c r="K28" s="838">
        <v>39735</v>
      </c>
      <c r="L28" s="657" t="s">
        <v>845</v>
      </c>
      <c r="M28" s="657">
        <v>1464</v>
      </c>
      <c r="N28" s="657">
        <v>6588</v>
      </c>
      <c r="O28" s="657">
        <v>9411.4285714285725</v>
      </c>
      <c r="P28" s="657">
        <v>18822.857142857145</v>
      </c>
      <c r="Q28" s="657">
        <v>0</v>
      </c>
      <c r="R28" s="657">
        <v>0</v>
      </c>
      <c r="S28" s="657">
        <v>0</v>
      </c>
      <c r="T28" s="657">
        <v>0</v>
      </c>
      <c r="U28" s="657">
        <v>0</v>
      </c>
      <c r="V28" s="657">
        <v>0</v>
      </c>
      <c r="W28" s="657">
        <v>0</v>
      </c>
      <c r="X28" s="657">
        <v>10</v>
      </c>
      <c r="Y28" s="657" t="s">
        <v>112</v>
      </c>
      <c r="Z28" s="659" t="s">
        <v>112</v>
      </c>
    </row>
    <row r="29" spans="1:26" s="611" customFormat="1" ht="25.5">
      <c r="A29" s="610"/>
      <c r="B29" s="839">
        <v>12029</v>
      </c>
      <c r="C29" s="839">
        <v>2580</v>
      </c>
      <c r="D29" s="658" t="s">
        <v>850</v>
      </c>
      <c r="E29" s="657" t="s">
        <v>851</v>
      </c>
      <c r="F29" s="657" t="s">
        <v>852</v>
      </c>
      <c r="G29" s="657" t="s">
        <v>843</v>
      </c>
      <c r="H29" s="657" t="s">
        <v>844</v>
      </c>
      <c r="I29" s="657" t="s">
        <v>851</v>
      </c>
      <c r="J29" s="838">
        <v>39805</v>
      </c>
      <c r="K29" s="838">
        <v>39833</v>
      </c>
      <c r="L29" s="657" t="s">
        <v>845</v>
      </c>
      <c r="M29" s="657">
        <v>485</v>
      </c>
      <c r="N29" s="657">
        <v>2182.5</v>
      </c>
      <c r="O29" s="657">
        <v>3117.8571428571431</v>
      </c>
      <c r="P29" s="657">
        <v>6235.7142857142862</v>
      </c>
      <c r="Q29" s="657">
        <v>0</v>
      </c>
      <c r="R29" s="657">
        <v>0</v>
      </c>
      <c r="S29" s="657">
        <v>0</v>
      </c>
      <c r="T29" s="657">
        <v>0</v>
      </c>
      <c r="U29" s="657">
        <v>0</v>
      </c>
      <c r="V29" s="657">
        <v>0</v>
      </c>
      <c r="W29" s="657">
        <v>0</v>
      </c>
      <c r="X29" s="657">
        <v>10</v>
      </c>
      <c r="Y29" s="657" t="s">
        <v>112</v>
      </c>
      <c r="Z29" s="659" t="s">
        <v>112</v>
      </c>
    </row>
    <row r="30" spans="1:26" s="611" customFormat="1" ht="38.25">
      <c r="A30" s="610"/>
      <c r="B30" s="839">
        <v>12029</v>
      </c>
      <c r="C30" s="839">
        <v>2580</v>
      </c>
      <c r="D30" s="658" t="s">
        <v>853</v>
      </c>
      <c r="E30" s="657" t="s">
        <v>854</v>
      </c>
      <c r="F30" s="657" t="s">
        <v>855</v>
      </c>
      <c r="G30" s="657" t="s">
        <v>843</v>
      </c>
      <c r="H30" s="657" t="s">
        <v>856</v>
      </c>
      <c r="I30" s="657" t="s">
        <v>854</v>
      </c>
      <c r="J30" s="838">
        <v>40093</v>
      </c>
      <c r="K30" s="838">
        <v>40093</v>
      </c>
      <c r="L30" s="657" t="s">
        <v>845</v>
      </c>
      <c r="M30" s="657">
        <v>1058</v>
      </c>
      <c r="N30" s="657">
        <v>4761</v>
      </c>
      <c r="O30" s="657">
        <v>5356.125</v>
      </c>
      <c r="P30" s="657">
        <v>0</v>
      </c>
      <c r="Q30" s="657">
        <v>0</v>
      </c>
      <c r="R30" s="657">
        <v>0</v>
      </c>
      <c r="S30" s="657">
        <v>2975.625</v>
      </c>
      <c r="T30" s="657">
        <v>8926.875</v>
      </c>
      <c r="U30" s="657">
        <v>0</v>
      </c>
      <c r="V30" s="657">
        <v>0</v>
      </c>
      <c r="W30" s="657">
        <v>0</v>
      </c>
      <c r="X30" s="657">
        <v>10</v>
      </c>
      <c r="Y30" s="657" t="s">
        <v>112</v>
      </c>
      <c r="Z30" s="659" t="s">
        <v>112</v>
      </c>
    </row>
    <row r="31" spans="1:26" s="611" customFormat="1" ht="25.5">
      <c r="A31" s="610"/>
      <c r="B31" s="839">
        <v>12029</v>
      </c>
      <c r="C31" s="839">
        <v>2580</v>
      </c>
      <c r="D31" s="658" t="s">
        <v>857</v>
      </c>
      <c r="E31" s="657" t="s">
        <v>858</v>
      </c>
      <c r="F31" s="657" t="s">
        <v>859</v>
      </c>
      <c r="G31" s="657" t="s">
        <v>843</v>
      </c>
      <c r="H31" s="657" t="s">
        <v>844</v>
      </c>
      <c r="I31" s="657" t="s">
        <v>858</v>
      </c>
      <c r="J31" s="838">
        <v>40142</v>
      </c>
      <c r="K31" s="838">
        <v>40175</v>
      </c>
      <c r="L31" s="657" t="s">
        <v>845</v>
      </c>
      <c r="M31" s="657">
        <v>695</v>
      </c>
      <c r="N31" s="657">
        <v>3127.5</v>
      </c>
      <c r="O31" s="657">
        <v>4467.8571428571431</v>
      </c>
      <c r="P31" s="657">
        <v>8935.7142857142862</v>
      </c>
      <c r="Q31" s="657">
        <v>0</v>
      </c>
      <c r="R31" s="657">
        <v>0</v>
      </c>
      <c r="S31" s="657">
        <v>0</v>
      </c>
      <c r="T31" s="657">
        <v>0</v>
      </c>
      <c r="U31" s="657">
        <v>0</v>
      </c>
      <c r="V31" s="657">
        <v>0</v>
      </c>
      <c r="W31" s="657">
        <v>0</v>
      </c>
      <c r="X31" s="657">
        <v>10</v>
      </c>
      <c r="Y31" s="657" t="s">
        <v>112</v>
      </c>
      <c r="Z31" s="659" t="s">
        <v>112</v>
      </c>
    </row>
    <row r="32" spans="1:26" s="611" customFormat="1" ht="25.5">
      <c r="A32" s="610"/>
      <c r="B32" s="839">
        <v>12029</v>
      </c>
      <c r="C32" s="839">
        <v>2580</v>
      </c>
      <c r="D32" s="658" t="s">
        <v>860</v>
      </c>
      <c r="E32" s="657" t="s">
        <v>861</v>
      </c>
      <c r="F32" s="657" t="s">
        <v>862</v>
      </c>
      <c r="G32" s="657" t="s">
        <v>843</v>
      </c>
      <c r="H32" s="657" t="s">
        <v>844</v>
      </c>
      <c r="I32" s="657" t="s">
        <v>863</v>
      </c>
      <c r="J32" s="838">
        <v>40315</v>
      </c>
      <c r="K32" s="838">
        <v>40343</v>
      </c>
      <c r="L32" s="657" t="s">
        <v>845</v>
      </c>
      <c r="M32" s="657">
        <v>1400</v>
      </c>
      <c r="N32" s="657">
        <v>6300</v>
      </c>
      <c r="O32" s="657">
        <v>9000</v>
      </c>
      <c r="P32" s="657">
        <v>18000</v>
      </c>
      <c r="Q32" s="657">
        <v>0</v>
      </c>
      <c r="R32" s="657">
        <v>0</v>
      </c>
      <c r="S32" s="657">
        <v>0</v>
      </c>
      <c r="T32" s="657">
        <v>0</v>
      </c>
      <c r="U32" s="657">
        <v>0</v>
      </c>
      <c r="V32" s="657">
        <v>0</v>
      </c>
      <c r="W32" s="657">
        <v>0</v>
      </c>
      <c r="X32" s="657">
        <v>10</v>
      </c>
      <c r="Y32" s="657" t="s">
        <v>112</v>
      </c>
      <c r="Z32" s="659" t="s">
        <v>112</v>
      </c>
    </row>
    <row r="33" spans="1:26" s="611" customFormat="1" ht="25.5">
      <c r="A33" s="610"/>
      <c r="B33" s="839">
        <v>12029</v>
      </c>
      <c r="C33" s="839">
        <v>2580</v>
      </c>
      <c r="D33" s="658" t="s">
        <v>864</v>
      </c>
      <c r="E33" s="657" t="s">
        <v>865</v>
      </c>
      <c r="F33" s="657" t="s">
        <v>866</v>
      </c>
      <c r="G33" s="657" t="s">
        <v>843</v>
      </c>
      <c r="H33" s="657" t="s">
        <v>844</v>
      </c>
      <c r="I33" s="657" t="s">
        <v>865</v>
      </c>
      <c r="J33" s="838">
        <v>40445</v>
      </c>
      <c r="K33" s="838">
        <v>40445</v>
      </c>
      <c r="L33" s="657" t="s">
        <v>845</v>
      </c>
      <c r="M33" s="657">
        <v>800</v>
      </c>
      <c r="N33" s="657">
        <v>3600</v>
      </c>
      <c r="O33" s="657">
        <v>5142.8571428571431</v>
      </c>
      <c r="P33" s="657">
        <v>10285.714285714286</v>
      </c>
      <c r="Q33" s="657">
        <v>0</v>
      </c>
      <c r="R33" s="657">
        <v>0</v>
      </c>
      <c r="S33" s="657">
        <v>0</v>
      </c>
      <c r="T33" s="657">
        <v>0</v>
      </c>
      <c r="U33" s="657">
        <v>0</v>
      </c>
      <c r="V33" s="657">
        <v>0</v>
      </c>
      <c r="W33" s="657">
        <v>0</v>
      </c>
      <c r="X33" s="657">
        <v>10</v>
      </c>
      <c r="Y33" s="657" t="s">
        <v>112</v>
      </c>
      <c r="Z33" s="659" t="s">
        <v>112</v>
      </c>
    </row>
    <row r="34" spans="1:26" s="611" customFormat="1" ht="25.5">
      <c r="A34" s="610"/>
      <c r="B34" s="839">
        <v>12029</v>
      </c>
      <c r="C34" s="839">
        <v>2580</v>
      </c>
      <c r="D34" s="658" t="s">
        <v>867</v>
      </c>
      <c r="E34" s="657" t="s">
        <v>868</v>
      </c>
      <c r="F34" s="657" t="s">
        <v>869</v>
      </c>
      <c r="G34" s="657" t="s">
        <v>843</v>
      </c>
      <c r="H34" s="657" t="s">
        <v>844</v>
      </c>
      <c r="I34" s="657" t="s">
        <v>868</v>
      </c>
      <c r="J34" s="838">
        <v>40970</v>
      </c>
      <c r="K34" s="838">
        <v>39303</v>
      </c>
      <c r="L34" s="657" t="s">
        <v>845</v>
      </c>
      <c r="M34" s="657">
        <v>3602</v>
      </c>
      <c r="N34" s="657">
        <v>16209</v>
      </c>
      <c r="O34" s="657">
        <v>23155.714285714286</v>
      </c>
      <c r="P34" s="657">
        <v>46311.428571428572</v>
      </c>
      <c r="Q34" s="657">
        <v>0</v>
      </c>
      <c r="R34" s="657">
        <v>0</v>
      </c>
      <c r="S34" s="657">
        <v>0</v>
      </c>
      <c r="T34" s="657">
        <v>0</v>
      </c>
      <c r="U34" s="657">
        <v>0</v>
      </c>
      <c r="V34" s="657">
        <v>0</v>
      </c>
      <c r="W34" s="657">
        <v>0</v>
      </c>
      <c r="X34" s="657">
        <v>10</v>
      </c>
      <c r="Y34" s="657" t="s">
        <v>112</v>
      </c>
      <c r="Z34" s="659" t="s">
        <v>112</v>
      </c>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10651</v>
      </c>
      <c r="N57" s="615">
        <f>SUM(N27:N56)</f>
        <v>47929.5</v>
      </c>
      <c r="O57" s="615">
        <f t="shared" ref="O57:W57" si="2">SUM(O27:O56)</f>
        <v>67025.410714285725</v>
      </c>
      <c r="P57" s="615">
        <f t="shared" si="2"/>
        <v>123338.57142857145</v>
      </c>
      <c r="Q57" s="615">
        <f t="shared" si="2"/>
        <v>0</v>
      </c>
      <c r="R57" s="615">
        <f t="shared" si="2"/>
        <v>0</v>
      </c>
      <c r="S57" s="615">
        <f t="shared" si="2"/>
        <v>2975.625</v>
      </c>
      <c r="T57" s="615">
        <f t="shared" si="2"/>
        <v>8926.875</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10651</v>
      </c>
      <c r="N60" s="620">
        <f t="shared" ref="N60:W60" si="4">SUMIF($Z$27:$Z$56,"landbouw",N27:N56)</f>
        <v>47929.5</v>
      </c>
      <c r="O60" s="620">
        <f t="shared" si="4"/>
        <v>67025.410714285725</v>
      </c>
      <c r="P60" s="620">
        <f t="shared" si="4"/>
        <v>123338.57142857145</v>
      </c>
      <c r="Q60" s="620">
        <f t="shared" si="4"/>
        <v>0</v>
      </c>
      <c r="R60" s="620">
        <f t="shared" si="4"/>
        <v>0</v>
      </c>
      <c r="S60" s="620">
        <f t="shared" si="4"/>
        <v>2975.625</v>
      </c>
      <c r="T60" s="620">
        <f t="shared" si="4"/>
        <v>8926.875</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0.58305826430393903</v>
      </c>
      <c r="C97" s="640">
        <f>IF(ISERROR(N57/(O57+N57)),0,N57/(N57+O57))</f>
        <v>0.41694173569606091</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51424.998049701164</v>
      </c>
      <c r="C100" s="649">
        <f t="shared" si="9"/>
        <v>0</v>
      </c>
      <c r="D100" s="649">
        <f t="shared" si="9"/>
        <v>0</v>
      </c>
      <c r="E100" s="649">
        <f t="shared" si="9"/>
        <v>1240.6622522805912</v>
      </c>
      <c r="F100" s="649">
        <f t="shared" si="9"/>
        <v>3721.986756841774</v>
      </c>
      <c r="G100" s="649">
        <f t="shared" si="9"/>
        <v>0</v>
      </c>
      <c r="H100" s="649">
        <f t="shared" si="9"/>
        <v>0</v>
      </c>
      <c r="I100" s="650">
        <f t="shared" si="9"/>
        <v>0</v>
      </c>
      <c r="J100" s="607"/>
      <c r="K100" s="607"/>
      <c r="L100" s="645"/>
      <c r="M100" s="632"/>
      <c r="N100" s="632"/>
    </row>
    <row r="101" spans="1:14" ht="15.75" thickBot="1">
      <c r="A101" s="651" t="s">
        <v>286</v>
      </c>
      <c r="B101" s="652">
        <f>$B$97*P57</f>
        <v>71913.573378870278</v>
      </c>
      <c r="C101" s="652">
        <f t="shared" ref="C101:H101" si="10">$B$97*Q57</f>
        <v>0</v>
      </c>
      <c r="D101" s="652">
        <f t="shared" si="10"/>
        <v>0</v>
      </c>
      <c r="E101" s="652">
        <f t="shared" si="10"/>
        <v>1734.9627477194085</v>
      </c>
      <c r="F101" s="652">
        <f t="shared" si="10"/>
        <v>5204.888243158226</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2018-06-27T09:29:08Z</dcterms:modified>
</cp:coreProperties>
</file>