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E5" i="48"/>
  <c r="E22" s="1"/>
  <c r="O31"/>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N22" i="16"/>
  <c r="O39" i="14" s="1"/>
  <c r="O41" s="1"/>
  <c r="Q4" i="48"/>
  <c r="N22"/>
  <c r="R11" i="14"/>
  <c r="J21" i="48"/>
  <c r="R10" i="14"/>
  <c r="C10" i="13" l="1"/>
  <c r="C16" i="48" s="1"/>
  <c r="C30" s="1"/>
  <c r="C16" i="22"/>
  <c r="C29" i="20"/>
  <c r="C20" i="16"/>
  <c r="C22" s="1"/>
  <c r="D39" i="14" s="1"/>
  <c r="C10" i="17"/>
  <c r="C12" s="1"/>
  <c r="D48" i="14" s="1"/>
  <c r="C56" i="22"/>
  <c r="C58" s="1"/>
  <c r="D44" i="14" s="1"/>
  <c r="D46" s="1"/>
  <c r="C17" i="49"/>
  <c r="C17" i="19"/>
  <c r="C19" s="1"/>
  <c r="D35" i="14" s="1"/>
  <c r="C18" i="15"/>
  <c r="C20" s="1"/>
  <c r="D36" i="14" s="1"/>
  <c r="F8" i="48"/>
  <c r="F25" s="1"/>
  <c r="F31" s="1"/>
  <c r="O13" i="14"/>
  <c r="O15" s="1"/>
  <c r="F13"/>
  <c r="F15" s="1"/>
  <c r="F2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C22" i="48"/>
  <c r="C25"/>
  <c r="C29"/>
  <c r="C21"/>
  <c r="K55" i="14"/>
  <c r="R13"/>
  <c r="R15" s="1"/>
  <c r="F14" i="48"/>
  <c r="D41" i="14" l="1"/>
  <c r="D53" s="1"/>
  <c r="D55" s="1"/>
  <c r="C23" i="48"/>
  <c r="C31" s="1"/>
  <c r="C24"/>
  <c r="C26"/>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<sst xmlns="http://schemas.openxmlformats.org/spreadsheetml/2006/main" count="1970" uniqueCount="845">
  <si>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</si>
  <si>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</si>
  <si>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</si>
  <si>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</si>
  <si>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</si>
  <si>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</si>
  <si>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</si>
  <si>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</si>
  <si>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</si>
  <si>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</si>
  <si>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</si>
  <si>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</si>
  <si>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</si>
  <si>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</si>
  <si>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</si>
  <si>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</si>
  <si>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</si>
  <si>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</si>
  <si>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</si>
  <si>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</si>
  <si>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</si>
  <si>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</si>
  <si>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</si>
  <si>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</si>
  <si>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</si>
  <si>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</si>
  <si>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</si>
  <si>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</si>
  <si>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</si>
  <si>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</si>
  <si>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</si>
  <si>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</si>
  <si>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</si>
  <si>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</si>
  <si>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</si>
  <si>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</si>
  <si>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</si>
  <si>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</si>
  <si>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</si>
  <si>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</si>
  <si>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</si>
  <si>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</si>
  <si>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</si>
  <si>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</si>
  <si>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</si>
  <si>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</si>
  <si>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</si>
  <si>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</si>
  <si>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</si>
  <si>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</si>
  <si>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</si>
  <si>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</si>
  <si>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</si>
  <si>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</si>
  <si>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</si>
  <si>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</si>
  <si>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</si>
  <si>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</si>
  <si>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</si>
  <si>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</si>
  <si>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</si>
  <si>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</si>
  <si>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</si>
  <si>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</si>
  <si>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</si>
  <si>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</si>
  <si>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</si>
  <si>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</si>
  <si>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</si>
  <si>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</si>
  <si>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</si>
  <si>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</si>
  <si>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</si>
  <si>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</si>
  <si>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</si>
  <si>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</si>
  <si>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</si>
  <si>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</si>
  <si>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</si>
  <si>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</si>
  <si>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</si>
  <si>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</si>
  <si>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</si>
  <si>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</si>
  <si>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</si>
  <si>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</si>
  <si>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</si>
  <si>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</si>
  <si>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</si>
  <si>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</si>
  <si>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</si>
  <si>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</si>
  <si>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</si>
  <si>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</si>
  <si>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</si>
  <si>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</si>
  <si>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</si>
  <si>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</si>
  <si>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</si>
  <si>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</si>
  <si>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</si>
  <si>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</si>
  <si>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</si>
  <si>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</si>
  <si>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</si>
  <si>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</si>
  <si>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</si>
  <si>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</si>
  <si>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</si>
  <si>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</si>
  <si>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</si>
  <si>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</si>
  <si>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</si>
  <si>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</si>
  <si>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</si>
  <si>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</si>
  <si>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</si>
  <si>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</si>
  <si>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</si>
  <si>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</si>
  <si>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</si>
  <si>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</si>
  <si>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</si>
  <si>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</si>
  <si>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</si>
  <si>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</si>
  <si>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</si>
  <si>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</si>
  <si>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</si>
  <si>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</si>
  <si>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</si>
  <si>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</si>
  <si>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</si>
  <si>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</si>
  <si>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</si>
  <si>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</si>
  <si>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</si>
  <si>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</si>
  <si>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</si>
  <si>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</si>
  <si>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</si>
  <si>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</si>
  <si>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</si>
  <si>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</si>
  <si>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</si>
  <si>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</si>
  <si>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</si>
  <si>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</si>
  <si>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</si>
  <si>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</si>
  <si>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</si>
  <si>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</si>
  <si>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</si>
  <si>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</si>
  <si>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</si>
  <si>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</si>
  <si>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</si>
  <si>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</si>
  <si>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</si>
  <si>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</si>
  <si>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</si>
  <si>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</si>
  <si>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</si>
  <si>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</si>
  <si>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</si>
  <si>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</si>
  <si>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</si>
  <si>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</si>
  <si>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</si>
  <si>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</si>
  <si>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</si>
  <si>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</si>
  <si>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</si>
  <si>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</si>
  <si>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</si>
  <si>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</si>
  <si>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</si>
  <si>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</si>
  <si>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</si>
  <si>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</si>
  <si>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</si>
  <si>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</si>
  <si>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</si>
  <si>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</si>
  <si>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</si>
  <si>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</si>
  <si>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</si>
  <si>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</si>
  <si>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</si>
  <si>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</si>
  <si>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</si>
  <si>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</si>
  <si>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</si>
  <si>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</si>
  <si>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</si>
  <si>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</si>
  <si>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</si>
  <si>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</si>
  <si>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</si>
  <si>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</si>
  <si>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</si>
  <si>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</si>
  <si>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</si>
  <si>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</si>
  <si>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</si>
  <si>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</si>
  <si>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</si>
  <si>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</si>
  <si>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</si>
  <si>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</si>
  <si>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</si>
  <si>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</si>
  <si>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</si>
  <si>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</si>
  <si>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</si>
  <si>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</si>
  <si>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</si>
  <si>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</si>
  <si>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</si>
  <si>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</si>
  <si>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</si>
  <si>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</si>
  <si>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</si>
  <si>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</si>
  <si>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</si>
  <si>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</si>
  <si>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</si>
  <si>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</si>
  <si>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</si>
  <si>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</si>
  <si>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</si>
  <si>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</si>
  <si>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</si>
  <si>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</si>
  <si>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</si>
  <si>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</si>
  <si>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</si>
  <si>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</si>
  <si>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</si>
  <si>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</si>
  <si>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</si>
  <si>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</si>
  <si>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</si>
  <si>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</si>
  <si>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</si>
  <si>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</si>
  <si>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</si>
  <si>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</si>
  <si>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</si>
  <si>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</si>
  <si>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</si>
  <si>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</si>
  <si>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</si>
  <si>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</si>
  <si>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</si>
  <si>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</si>
  <si>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</si>
  <si>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</si>
  <si>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</si>
  <si>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</si>
  <si>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</si>
  <si>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</si>
  <si>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</si>
  <si>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</si>
  <si>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</si>
  <si>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</si>
  <si>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</si>
  <si>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</si>
  <si>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</si>
  <si>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</si>
  <si>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</si>
  <si>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</si>
  <si>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</si>
  <si>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</si>
  <si>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</si>
  <si>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</si>
  <si>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</si>
  <si>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</si>
  <si>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</si>
  <si>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</si>
  <si>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</si>
  <si>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</si>
  <si>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</si>
  <si>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</si>
  <si>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</si>
  <si>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</si>
  <si>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</si>
  <si>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</si>
  <si>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</si>
  <si>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</si>
  <si>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</si>
  <si>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</si>
  <si>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</si>
  <si>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</si>
  <si>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</si>
  <si>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</si>
  <si>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</si>
  <si>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</si>
  <si>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</si>
  <si>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</si>
  <si>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</si>
  <si>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</si>
  <si>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</si>
  <si>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</si>
  <si>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</si>
  <si>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</si>
  <si>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</si>
  <si>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</si>
  <si>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</si>
  <si>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</si>
  <si>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</si>
  <si>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</si>
  <si>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</si>
  <si>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</si>
  <si>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</si>
  <si>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</si>
  <si>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</si>
  <si>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</si>
  <si>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</si>
  <si>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</si>
  <si>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</si>
  <si>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</si>
  <si>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</si>
  <si>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</si>
  <si>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</si>
  <si>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</si>
  <si>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</si>
  <si>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</si>
  <si>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</si>
  <si>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</si>
  <si>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</si>
  <si>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</si>
  <si>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</si>
  <si>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</si>
  <si>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</si>
  <si>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</si>
  <si>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</si>
  <si>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</si>
  <si>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</si>
  <si>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</si>
  <si>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</si>
  <si>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</si>
  <si>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</si>
  <si>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</si>
  <si>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</si>
  <si>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</si>
  <si>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</si>
  <si>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</si>
  <si>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</si>
  <si>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</si>
  <si>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</si>
  <si>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</si>
  <si>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</si>
  <si>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</si>
  <si>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</si>
  <si>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</si>
  <si>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</si>
  <si>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</si>
  <si>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</si>
  <si>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</si>
  <si>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</si>
  <si>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</si>
  <si>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</si>
  <si>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</si>
  <si>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</si>
  <si>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</si>
  <si>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</si>
  <si>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</si>
  <si>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</si>
  <si>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</si>
  <si>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</si>
  <si>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</si>
  <si>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</si>
  <si>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</si>
  <si>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</si>
  <si>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</si>
  <si>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</si>
  <si>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</si>
  <si>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</si>
  <si>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</si>
  <si>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</si>
  <si>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</si>
  <si>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</si>
  <si>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</si>
  <si>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</si>
  <si>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</si>
  <si>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</si>
  <si>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</si>
  <si>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</si>
  <si>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</si>
  <si>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</si>
  <si>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</si>
  <si>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</si>
  <si>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</si>
  <si>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</si>
  <si>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</si>
  <si>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</si>
  <si>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</si>
  <si>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</si>
  <si>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</si>
  <si>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</si>
  <si>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</si>
  <si>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</si>
  <si>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</si>
  <si>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</si>
  <si>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</si>
  <si>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</si>
  <si>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</si>
  <si>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</si>
  <si>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</si>
  <si>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</si>
  <si>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</si>
  <si>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</si>
  <si>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</si>
  <si>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</si>
  <si>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</si>
  <si>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</si>
  <si>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</si>
  <si>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</si>
  <si>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</si>
  <si>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</si>
  <si>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</si>
  <si>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</si>
  <si>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</si>
  <si>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</si>
  <si>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</si>
  <si>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</si>
  <si>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</si>
  <si>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</si>
  <si>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</si>
  <si>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</si>
  <si>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</si>
  <si>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</si>
  <si>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</si>
  <si>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</si>
  <si>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</si>
  <si>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</si>
  <si>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</si>
  <si>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</si>
  <si>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</si>
  <si>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</si>
  <si>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</si>
  <si>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</si>
  <si>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</si>
  <si>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</si>
  <si>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</si>
  <si>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</si>
  <si>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</si>
  <si>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</si>
  <si>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</si>
  <si>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</si>
  <si>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</si>
  <si>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</si>
  <si>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</si>
  <si>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</si>
  <si>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</si>
  <si>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</si>
  <si>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</si>
  <si>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</si>
  <si>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</si>
  <si>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</si>
  <si>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</si>
  <si>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</si>
  <si>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</si>
  <si>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</si>
  <si>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</si>
  <si>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</si>
  <si>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</si>
  <si>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</si>
  <si>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</si>
  <si>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</si>
  <si>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</si>
  <si>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</si>
  <si>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</si>
  <si>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</si>
  <si>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</si>
  <si>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</si>
  <si>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</si>
  <si>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</si>
  <si>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</si>
  <si>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</si>
  <si>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</si>
  <si>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</si>
  <si>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</si>
  <si>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</si>
  <si>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</si>
  <si>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</si>
  <si>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</si>
  <si>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</si>
  <si>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</si>
  <si>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</si>
  <si>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</si>
  <si>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</si>
  <si>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</si>
  <si>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</si>
  <si>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</si>
  <si>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</si>
  <si>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</si>
  <si>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</si>
  <si>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</si>
  <si>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</si>
  <si>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</si>
  <si>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</si>
  <si>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</si>
  <si>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</si>
  <si>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</si>
  <si>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</si>
  <si>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</si>
  <si>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</si>
  <si>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</si>
  <si>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</si>
  <si>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</si>
  <si>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</si>
  <si>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</si>
  <si>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</si>
  <si>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</si>
  <si>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</si>
  <si>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</si>
  <si>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</si>
  <si>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</si>
  <si>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</si>
  <si>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</si>
  <si>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</si>
  <si>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</si>
  <si>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</si>
  <si>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</si>
  <si>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</si>
  <si>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</si>
  <si>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</si>
  <si>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</si>
  <si>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</si>
  <si>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</si>
  <si>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</si>
  <si>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</si>
  <si>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</si>
  <si>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</si>
  <si>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</si>
  <si>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</si>
  <si>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</si>
  <si>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</si>
  <si>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</si>
  <si>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</si>
  <si>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</si>
  <si>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</si>
  <si>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</si>
  <si>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</si>
  <si>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</si>
  <si>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</si>
  <si>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</si>
  <si>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</si>
  <si>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</si>
  <si>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</si>
  <si>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</si>
  <si>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</si>
  <si>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</si>
  <si>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</si>
  <si>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</si>
  <si>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</si>
  <si>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</si>
  <si>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</si>
  <si>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</si>
  <si>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</si>
  <si>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</si>
  <si>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</si>
  <si>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</si>
  <si>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</si>
  <si>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</si>
  <si>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</si>
  <si>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</si>
  <si>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</si>
  <si>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</si>
  <si>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</si>
  <si>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</si>
  <si>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</si>
  <si>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</si>
  <si>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</si>
  <si>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</si>
  <si>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</si>
  <si>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</si>
  <si>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</si>
  <si>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</si>
  <si>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</si>
  <si>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</si>
  <si>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</si>
  <si>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</si>
  <si>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</si>
  <si>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</si>
  <si>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</si>
  <si>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</si>
  <si>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</si>
  <si>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</si>
  <si>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</si>
  <si>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</si>
  <si>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</si>
  <si>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</si>
  <si>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</si>
  <si>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</si>
  <si>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</si>
  <si>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</si>
  <si>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</si>
  <si>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</si>
  <si>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</si>
  <si>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</si>
  <si>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</si>
  <si>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</si>
  <si>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</si>
  <si>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</si>
  <si>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</si>
  <si>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</si>
  <si>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</si>
  <si>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</si>
  <si>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</si>
  <si>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</si>
  <si>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</si>
  <si>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</si>
  <si>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</si>
  <si>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</si>
  <si>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</si>
  <si>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</si>
  <si>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</si>
  <si>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</si>
  <si>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</si>
  <si>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</si>
  <si>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</si>
  <si>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</si>
  <si>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</si>
  <si>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</si>
  <si>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</si>
  <si>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</si>
  <si>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</si>
  <si>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</si>
  <si>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</si>
  <si>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</si>
  <si>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</si>
  <si>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</si>
  <si>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</si>
  <si>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</si>
  <si>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</si>
  <si>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</si>
  <si>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</si>
  <si>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</si>
  <si>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</si>
  <si>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</si>
  <si>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</si>
  <si>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</si>
  <si>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</si>
  <si>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</si>
  <si>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</si>
  <si>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</si>
  <si>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</si>
  <si>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</si>
  <si>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</si>
  <si>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</si>
  <si>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</si>
  <si>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</si>
  <si>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</si>
  <si>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</si>
  <si>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</si>
  <si>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</si>
  <si>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</si>
  <si>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</si>
  <si>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</si>
  <si>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</si>
  <si>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</si>
  <si>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</si>
  <si>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</si>
  <si>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</si>
  <si>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</si>
  <si>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</si>
  <si>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</si>
  <si>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</si>
  <si>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</si>
  <si>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</si>
  <si>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</si>
  <si>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</si>
  <si>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</si>
  <si>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</si>
  <si>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</si>
  <si>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</si>
  <si>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</si>
  <si>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</si>
  <si>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</si>
  <si>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</si>
  <si>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</si>
  <si>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</si>
  <si>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</si>
  <si>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</si>
  <si>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</si>
  <si>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</si>
  <si>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</si>
  <si>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</si>
  <si>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</si>
  <si>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</si>
  <si>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</si>
  <si>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</si>
  <si>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</si>
  <si>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</si>
  <si>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</si>
  <si>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</si>
  <si>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</si>
  <si>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</si>
  <si>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</si>
  <si>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</si>
  <si>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</si>
  <si>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</si>
  <si>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</si>
  <si>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</si>
  <si>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</si>
  <si>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</si>
  <si>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</si>
  <si>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</si>
  <si>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</si>
  <si>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</si>
  <si>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</si>
  <si>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</si>
  <si>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</si>
  <si>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</si>
  <si>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</si>
  <si>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</si>
  <si>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</si>
  <si>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</si>
  <si>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</si>
  <si>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</si>
  <si>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</si>
  <si>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</si>
  <si>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</si>
  <si>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</si>
  <si>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</si>
  <si>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</si>
  <si>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</si>
  <si>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</si>
  <si>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</si>
  <si>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</si>
  <si>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</si>
  <si>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</si>
  <si>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</si>
  <si>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</si>
  <si>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</si>
  <si>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</si>
  <si>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</si>
  <si>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</si>
  <si>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</si>
  <si>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</si>
  <si>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</si>
  <si>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</si>
  <si>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</si>
  <si>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</si>
  <si>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</si>
  <si>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</si>
  <si>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</si>
  <si>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</si>
  <si>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</si>
  <si>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</si>
  <si>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</si>
  <si>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</si>
  <si>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</si>
  <si>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</si>
  <si>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</si>
  <si>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</si>
  <si>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</si>
  <si>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</si>
  <si>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</si>
  <si>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</si>
  <si>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</si>
  <si>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</si>
  <si>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</si>
  <si>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</si>
  <si>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</si>
  <si>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</si>
  <si>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</si>
  <si>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</si>
  <si>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</si>
  <si>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</si>
  <si>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</si>
  <si>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</si>
  <si>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</si>
  <si>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</si>
  <si>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</si>
  <si>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</si>
  <si>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</si>
  <si>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</si>
  <si>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</si>
  <si>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</si>
  <si>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</si>
  <si>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</si>
  <si>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</si>
  <si>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</si>
  <si>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</si>
  <si>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</si>
  <si>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</si>
  <si>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</si>
  <si>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</si>
  <si>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</si>
  <si>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</si>
  <si>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</si>
  <si>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</si>
  <si>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</si>
  <si>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</si>
  <si>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</si>
  <si>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</si>
  <si>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</si>
  <si>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</si>
  <si>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</si>
  <si>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</si>
  <si>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</si>
  <si>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</si>
  <si>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</si>
  <si>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</si>
  <si>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</si>
  <si>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</si>
  <si>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</si>
  <si>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</si>
  <si>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</si>
  <si>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</si>
  <si>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</si>
  <si>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</si>
  <si>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</si>
  <si>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</si>
  <si>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</si>
  <si>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</si>
  <si>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</si>
  <si>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</si>
  <si>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</si>
  <si>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</si>
  <si>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</si>
  <si>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</si>
  <si>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</si>
  <si>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</si>
  <si>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</si>
  <si>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</si>
  <si>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</si>
  <si>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</si>
  <si>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</si>
  <si>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12025</t>
  </si>
  <si>
    <t>MECHELEN</t>
  </si>
  <si>
    <t>Cultuurgrond (ha)</t>
  </si>
  <si>
    <t>Paarden&amp;pony's 200 - 600 kg</t>
  </si>
  <si>
    <t>Paarden&amp;pony's &lt; 200 kg</t>
  </si>
  <si>
    <t>op basis van VEA (maart 2018) en Inventaris Hernieuwbare Energiebronnen (juni 2018)</t>
  </si>
  <si>
    <t>VEA (juni 2018)</t>
  </si>
  <si>
    <t>Patrick Verdonck-Laevers Liliane</t>
  </si>
  <si>
    <t>Fortuinstraat 51 , 2800 Mechelen</t>
  </si>
  <si>
    <t>WKK-0465 Patrick Verdonck-Laevers</t>
  </si>
  <si>
    <t>stirlingmotor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</si>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</sst>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591719.97814070585</c:v>
                </c:pt>
                <c:pt idx="1">
                  <c:v>506505.29642874131</c:v>
                </c:pt>
                <c:pt idx="2">
                  <c:v>4309.0150000000003</c:v>
                </c:pt>
                <c:pt idx="3">
                  <c:v>34249.853752192197</c:v>
                </c:pt>
                <c:pt idx="4">
                  <c:v>608885.56707920705</c:v>
                </c:pt>
                <c:pt idx="5">
                  <c:v>653575.22210985259</c:v>
                </c:pt>
                <c:pt idx="6">
                  <c:v>11491.286747207896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591719.97814070585</c:v>
                </c:pt>
                <c:pt idx="1">
                  <c:v>506505.29642874131</c:v>
                </c:pt>
                <c:pt idx="2">
                  <c:v>4309.0150000000003</c:v>
                </c:pt>
                <c:pt idx="3">
                  <c:v>34249.853752192197</c:v>
                </c:pt>
                <c:pt idx="4">
                  <c:v>608885.56707920705</c:v>
                </c:pt>
                <c:pt idx="5">
                  <c:v>653575.22210985259</c:v>
                </c:pt>
                <c:pt idx="6">
                  <c:v>11491.286747207896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113377.59103916364</c:v>
                </c:pt>
                <c:pt idx="1">
                  <c:v>105136.51833213794</c:v>
                </c:pt>
                <c:pt idx="2">
                  <c:v>930.76228301398544</c:v>
                </c:pt>
                <c:pt idx="3">
                  <c:v>7199.7060097174299</c:v>
                </c:pt>
                <c:pt idx="4">
                  <c:v>120601.35152965543</c:v>
                </c:pt>
                <c:pt idx="5">
                  <c:v>165243.60212343052</c:v>
                </c:pt>
                <c:pt idx="6">
                  <c:v>2937.5342293617095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63104"/>
        <c:axId val="182477184"/>
      </c:barChart>
      <c:catAx>
        <c:axId val="182463104"/>
        <c:scaling>
          <c:orientation val="minMax"/>
        </c:scaling>
        <c:axPos val="b"/>
        <c:numFmt formatCode="General" sourceLinked="0"/>
        <c:tickLblPos val="nextTo"/>
        <c:crossAx val="182477184"/>
        <c:crosses val="autoZero"/>
        <c:auto val="1"/>
        <c:lblAlgn val="ctr"/>
        <c:lblOffset val="100"/>
      </c:catAx>
      <c:valAx>
        <c:axId val="182477184"/>
        <c:scaling>
          <c:orientation val="minMax"/>
        </c:scaling>
        <c:axPos val="l"/>
        <c:majorGridlines/>
        <c:numFmt formatCode="#,##0" sourceLinked="1"/>
        <c:tickLblPos val="nextTo"/>
        <c:crossAx val="18246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113377.59103916364</c:v>
                </c:pt>
                <c:pt idx="1">
                  <c:v>105136.51833213794</c:v>
                </c:pt>
                <c:pt idx="2">
                  <c:v>930.76228301398544</c:v>
                </c:pt>
                <c:pt idx="3">
                  <c:v>7199.7060097174299</c:v>
                </c:pt>
                <c:pt idx="4">
                  <c:v>120601.35152965543</c:v>
                </c:pt>
                <c:pt idx="5">
                  <c:v>165243.60212343052</c:v>
                </c:pt>
                <c:pt idx="6">
                  <c:v>2937.5342293617095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12025</v>
      </c>
      <c r="B6" s="398"/>
      <c r="C6" s="399"/>
    </row>
    <row r="7" spans="1:7" s="396" customFormat="1" ht="15.75" customHeight="1">
      <c r="A7" s="400" t="str">
        <f>txtMunicipality</f>
        <v>MECHELEN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34930</v>
      </c>
      <c r="C9" s="338">
        <v>37570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1896</v>
      </c>
    </row>
    <row r="15" spans="1:6">
      <c r="A15" s="1212" t="s">
        <v>184</v>
      </c>
      <c r="B15" s="335">
        <v>6</v>
      </c>
    </row>
    <row r="16" spans="1:6">
      <c r="A16" s="1212" t="s">
        <v>6</v>
      </c>
      <c r="B16" s="335">
        <v>253</v>
      </c>
    </row>
    <row r="17" spans="1:6">
      <c r="A17" s="1212" t="s">
        <v>7</v>
      </c>
      <c r="B17" s="335">
        <v>242</v>
      </c>
    </row>
    <row r="18" spans="1:6">
      <c r="A18" s="1212" t="s">
        <v>8</v>
      </c>
      <c r="B18" s="335">
        <v>401</v>
      </c>
    </row>
    <row r="19" spans="1:6">
      <c r="A19" s="1212" t="s">
        <v>9</v>
      </c>
      <c r="B19" s="335">
        <v>365</v>
      </c>
    </row>
    <row r="20" spans="1:6">
      <c r="A20" s="1212" t="s">
        <v>10</v>
      </c>
      <c r="B20" s="335">
        <v>458</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227</v>
      </c>
    </row>
    <row r="27" spans="1:6">
      <c r="A27" s="1212" t="s">
        <v>17</v>
      </c>
      <c r="B27" s="335">
        <v>0</v>
      </c>
    </row>
    <row r="28" spans="1:6" s="341" customFormat="1">
      <c r="A28" s="1213" t="s">
        <v>18</v>
      </c>
      <c r="B28" s="1213">
        <v>0</v>
      </c>
    </row>
    <row r="29" spans="1:6">
      <c r="A29" s="1213" t="s">
        <v>836</v>
      </c>
      <c r="B29" s="1213">
        <v>291</v>
      </c>
      <c r="C29" s="341"/>
      <c r="D29" s="341"/>
      <c r="E29" s="341"/>
      <c r="F29" s="341"/>
    </row>
    <row r="30" spans="1:6">
      <c r="A30" s="1208" t="s">
        <v>837</v>
      </c>
      <c r="B30" s="1208">
        <v>115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18</v>
      </c>
      <c r="D36" s="335">
        <v>5033316.5740756802</v>
      </c>
      <c r="E36" s="335">
        <v>22</v>
      </c>
      <c r="F36" s="335">
        <v>1851673.65301891</v>
      </c>
    </row>
    <row r="37" spans="1:6">
      <c r="A37" s="1212" t="s">
        <v>25</v>
      </c>
      <c r="B37" s="1212" t="s">
        <v>28</v>
      </c>
      <c r="C37" s="335">
        <v>0</v>
      </c>
      <c r="D37" s="335">
        <v>0</v>
      </c>
      <c r="E37" s="335">
        <v>0</v>
      </c>
      <c r="F37" s="335">
        <v>0</v>
      </c>
    </row>
    <row r="38" spans="1:6">
      <c r="A38" s="1212" t="s">
        <v>25</v>
      </c>
      <c r="B38" s="1212" t="s">
        <v>29</v>
      </c>
      <c r="C38" s="335">
        <v>0</v>
      </c>
      <c r="D38" s="335">
        <v>0</v>
      </c>
      <c r="E38" s="335">
        <v>6</v>
      </c>
      <c r="F38" s="335">
        <v>101322.088360594</v>
      </c>
    </row>
    <row r="39" spans="1:6">
      <c r="A39" s="1212" t="s">
        <v>30</v>
      </c>
      <c r="B39" s="1212" t="s">
        <v>31</v>
      </c>
      <c r="C39" s="335">
        <v>28594</v>
      </c>
      <c r="D39" s="335">
        <v>470863263.23992598</v>
      </c>
      <c r="E39" s="335">
        <v>35649</v>
      </c>
      <c r="F39" s="335">
        <v>111371153.396617</v>
      </c>
    </row>
    <row r="40" spans="1:6">
      <c r="A40" s="1212" t="s">
        <v>30</v>
      </c>
      <c r="B40" s="1212" t="s">
        <v>29</v>
      </c>
      <c r="C40" s="335">
        <v>0</v>
      </c>
      <c r="D40" s="335">
        <v>0</v>
      </c>
      <c r="E40" s="335">
        <v>0</v>
      </c>
      <c r="F40" s="335">
        <v>0</v>
      </c>
    </row>
    <row r="41" spans="1:6">
      <c r="A41" s="1212" t="s">
        <v>32</v>
      </c>
      <c r="B41" s="1212" t="s">
        <v>33</v>
      </c>
      <c r="C41" s="335">
        <v>225</v>
      </c>
      <c r="D41" s="335">
        <v>9409265.7576193009</v>
      </c>
      <c r="E41" s="335">
        <v>450</v>
      </c>
      <c r="F41" s="335">
        <v>9023564.52964711</v>
      </c>
    </row>
    <row r="42" spans="1:6">
      <c r="A42" s="1212" t="s">
        <v>32</v>
      </c>
      <c r="B42" s="1212" t="s">
        <v>34</v>
      </c>
      <c r="C42" s="335">
        <v>3</v>
      </c>
      <c r="D42" s="335">
        <v>42487584.715329297</v>
      </c>
      <c r="E42" s="335">
        <v>0</v>
      </c>
      <c r="F42" s="335">
        <v>0</v>
      </c>
    </row>
    <row r="43" spans="1:6">
      <c r="A43" s="1212" t="s">
        <v>32</v>
      </c>
      <c r="B43" s="1212" t="s">
        <v>35</v>
      </c>
      <c r="C43" s="335">
        <v>0</v>
      </c>
      <c r="D43" s="335">
        <v>0</v>
      </c>
      <c r="E43" s="335">
        <v>0</v>
      </c>
      <c r="F43" s="335">
        <v>0</v>
      </c>
    </row>
    <row r="44" spans="1:6">
      <c r="A44" s="1212" t="s">
        <v>32</v>
      </c>
      <c r="B44" s="1212" t="s">
        <v>36</v>
      </c>
      <c r="C44" s="335">
        <v>14</v>
      </c>
      <c r="D44" s="335">
        <v>14802680.7868657</v>
      </c>
      <c r="E44" s="335">
        <v>52</v>
      </c>
      <c r="F44" s="335">
        <v>32618105.8501091</v>
      </c>
    </row>
    <row r="45" spans="1:6">
      <c r="A45" s="1212" t="s">
        <v>32</v>
      </c>
      <c r="B45" s="1212" t="s">
        <v>37</v>
      </c>
      <c r="C45" s="335">
        <v>0</v>
      </c>
      <c r="D45" s="335">
        <v>0</v>
      </c>
      <c r="E45" s="335">
        <v>7</v>
      </c>
      <c r="F45" s="335">
        <v>129997.67546376299</v>
      </c>
    </row>
    <row r="46" spans="1:6">
      <c r="A46" s="1212" t="s">
        <v>32</v>
      </c>
      <c r="B46" s="1212" t="s">
        <v>38</v>
      </c>
      <c r="C46" s="335">
        <v>0</v>
      </c>
      <c r="D46" s="335">
        <v>0</v>
      </c>
      <c r="E46" s="335">
        <v>0</v>
      </c>
      <c r="F46" s="335">
        <v>0</v>
      </c>
    </row>
    <row r="47" spans="1:6">
      <c r="A47" s="1212" t="s">
        <v>32</v>
      </c>
      <c r="B47" s="1212" t="s">
        <v>39</v>
      </c>
      <c r="C47" s="335">
        <v>22</v>
      </c>
      <c r="D47" s="335">
        <v>6312057.0541136004</v>
      </c>
      <c r="E47" s="335">
        <v>34</v>
      </c>
      <c r="F47" s="335">
        <v>4948019.2561461003</v>
      </c>
    </row>
    <row r="48" spans="1:6">
      <c r="A48" s="1212" t="s">
        <v>32</v>
      </c>
      <c r="B48" s="1212" t="s">
        <v>29</v>
      </c>
      <c r="C48" s="335">
        <v>96</v>
      </c>
      <c r="D48" s="335">
        <v>244041787.717641</v>
      </c>
      <c r="E48" s="335">
        <v>108</v>
      </c>
      <c r="F48" s="335">
        <v>156067477.49201</v>
      </c>
    </row>
    <row r="49" spans="1:6">
      <c r="A49" s="1212" t="s">
        <v>32</v>
      </c>
      <c r="B49" s="1212" t="s">
        <v>40</v>
      </c>
      <c r="C49" s="335">
        <v>3</v>
      </c>
      <c r="D49" s="335">
        <v>96996.141113299993</v>
      </c>
      <c r="E49" s="335">
        <v>4</v>
      </c>
      <c r="F49" s="335">
        <v>51610.872896671703</v>
      </c>
    </row>
    <row r="50" spans="1:6">
      <c r="A50" s="1212" t="s">
        <v>32</v>
      </c>
      <c r="B50" s="1212" t="s">
        <v>41</v>
      </c>
      <c r="C50" s="335">
        <v>35</v>
      </c>
      <c r="D50" s="335">
        <v>3065397.0299527599</v>
      </c>
      <c r="E50" s="335">
        <v>71</v>
      </c>
      <c r="F50" s="335">
        <v>2843589.4772540201</v>
      </c>
    </row>
    <row r="51" spans="1:6">
      <c r="A51" s="1212" t="s">
        <v>42</v>
      </c>
      <c r="B51" s="1212" t="s">
        <v>43</v>
      </c>
      <c r="C51" s="335">
        <v>8</v>
      </c>
      <c r="D51" s="335">
        <v>222966.44248257601</v>
      </c>
      <c r="E51" s="335">
        <v>83</v>
      </c>
      <c r="F51" s="335">
        <v>764465.42832807102</v>
      </c>
    </row>
    <row r="52" spans="1:6">
      <c r="A52" s="1212" t="s">
        <v>42</v>
      </c>
      <c r="B52" s="1212" t="s">
        <v>29</v>
      </c>
      <c r="C52" s="335">
        <v>13</v>
      </c>
      <c r="D52" s="335">
        <v>1637413.7648517</v>
      </c>
      <c r="E52" s="335">
        <v>17</v>
      </c>
      <c r="F52" s="335">
        <v>309304.410911732</v>
      </c>
    </row>
    <row r="53" spans="1:6">
      <c r="A53" s="1212" t="s">
        <v>44</v>
      </c>
      <c r="B53" s="1212" t="s">
        <v>45</v>
      </c>
      <c r="C53" s="335">
        <v>828</v>
      </c>
      <c r="D53" s="335">
        <v>30627197.743052699</v>
      </c>
      <c r="E53" s="335">
        <v>1395</v>
      </c>
      <c r="F53" s="335">
        <v>5492325.8050143197</v>
      </c>
    </row>
    <row r="54" spans="1:6">
      <c r="A54" s="1212" t="s">
        <v>46</v>
      </c>
      <c r="B54" s="1212" t="s">
        <v>47</v>
      </c>
      <c r="C54" s="335">
        <v>0</v>
      </c>
      <c r="D54" s="335">
        <v>0</v>
      </c>
      <c r="E54" s="335">
        <v>1</v>
      </c>
      <c r="F54" s="335">
        <v>4309015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328</v>
      </c>
      <c r="D57" s="335">
        <v>34857977.374723703</v>
      </c>
      <c r="E57" s="335">
        <v>600</v>
      </c>
      <c r="F57" s="335">
        <v>16887047.069656398</v>
      </c>
    </row>
    <row r="58" spans="1:6">
      <c r="A58" s="1212" t="s">
        <v>49</v>
      </c>
      <c r="B58" s="1212" t="s">
        <v>51</v>
      </c>
      <c r="C58" s="335">
        <v>210</v>
      </c>
      <c r="D58" s="335">
        <v>25622464.186336301</v>
      </c>
      <c r="E58" s="335">
        <v>296</v>
      </c>
      <c r="F58" s="335">
        <v>10551974.817753101</v>
      </c>
    </row>
    <row r="59" spans="1:6">
      <c r="A59" s="1212" t="s">
        <v>49</v>
      </c>
      <c r="B59" s="1212" t="s">
        <v>52</v>
      </c>
      <c r="C59" s="335">
        <v>690</v>
      </c>
      <c r="D59" s="335">
        <v>42337936.864706501</v>
      </c>
      <c r="E59" s="335">
        <v>1085</v>
      </c>
      <c r="F59" s="335">
        <v>43274947.812341802</v>
      </c>
    </row>
    <row r="60" spans="1:6">
      <c r="A60" s="1212" t="s">
        <v>49</v>
      </c>
      <c r="B60" s="1212" t="s">
        <v>53</v>
      </c>
      <c r="C60" s="335">
        <v>358</v>
      </c>
      <c r="D60" s="335">
        <v>25987359.557436101</v>
      </c>
      <c r="E60" s="335">
        <v>428</v>
      </c>
      <c r="F60" s="335">
        <v>13065888.8027512</v>
      </c>
    </row>
    <row r="61" spans="1:6">
      <c r="A61" s="1212" t="s">
        <v>49</v>
      </c>
      <c r="B61" s="1212" t="s">
        <v>54</v>
      </c>
      <c r="C61" s="335">
        <v>1225</v>
      </c>
      <c r="D61" s="335">
        <v>99965863.744188696</v>
      </c>
      <c r="E61" s="335">
        <v>2339</v>
      </c>
      <c r="F61" s="335">
        <v>103984738.711741</v>
      </c>
    </row>
    <row r="62" spans="1:6">
      <c r="A62" s="1212" t="s">
        <v>49</v>
      </c>
      <c r="B62" s="1212" t="s">
        <v>55</v>
      </c>
      <c r="C62" s="335">
        <v>75</v>
      </c>
      <c r="D62" s="335">
        <v>20982461.249165501</v>
      </c>
      <c r="E62" s="335">
        <v>107</v>
      </c>
      <c r="F62" s="335">
        <v>6778732.1051053703</v>
      </c>
    </row>
    <row r="63" spans="1:6">
      <c r="A63" s="1212" t="s">
        <v>49</v>
      </c>
      <c r="B63" s="1212" t="s">
        <v>29</v>
      </c>
      <c r="C63" s="335">
        <v>239</v>
      </c>
      <c r="D63" s="335">
        <v>19658087.1279172</v>
      </c>
      <c r="E63" s="335">
        <v>277</v>
      </c>
      <c r="F63" s="335">
        <v>14440398.750125701</v>
      </c>
    </row>
    <row r="64" spans="1:6">
      <c r="A64" s="1212" t="s">
        <v>56</v>
      </c>
      <c r="B64" s="1212" t="s">
        <v>57</v>
      </c>
      <c r="C64" s="335">
        <v>0</v>
      </c>
      <c r="D64" s="335">
        <v>0</v>
      </c>
      <c r="E64" s="335">
        <v>0</v>
      </c>
      <c r="F64" s="335">
        <v>0</v>
      </c>
    </row>
    <row r="65" spans="1:6">
      <c r="A65" s="1212" t="s">
        <v>56</v>
      </c>
      <c r="B65" s="1212" t="s">
        <v>29</v>
      </c>
      <c r="C65" s="335">
        <v>4</v>
      </c>
      <c r="D65" s="335">
        <v>107125.757863932</v>
      </c>
      <c r="E65" s="335">
        <v>7</v>
      </c>
      <c r="F65" s="335">
        <v>45902.132168848002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14</v>
      </c>
      <c r="D68" s="335">
        <v>940015.17924405297</v>
      </c>
      <c r="E68" s="335">
        <v>21</v>
      </c>
      <c r="F68" s="335">
        <v>898949.71689270204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301811544</v>
      </c>
      <c r="E73" s="335">
        <v>315411944.11278754</v>
      </c>
    </row>
    <row r="74" spans="1:6">
      <c r="A74" s="1212" t="s">
        <v>64</v>
      </c>
      <c r="B74" s="1212" t="s">
        <v>727</v>
      </c>
      <c r="C74" s="1212" t="s">
        <v>728</v>
      </c>
      <c r="D74" s="335">
        <v>18531550.536806159</v>
      </c>
      <c r="E74" s="335">
        <v>18874600.839993291</v>
      </c>
    </row>
    <row r="75" spans="1:6">
      <c r="A75" s="1212" t="s">
        <v>65</v>
      </c>
      <c r="B75" s="1212" t="s">
        <v>725</v>
      </c>
      <c r="C75" s="1212" t="s">
        <v>729</v>
      </c>
      <c r="D75" s="335">
        <v>76077047</v>
      </c>
      <c r="E75" s="335">
        <v>78850456.318948179</v>
      </c>
    </row>
    <row r="76" spans="1:6">
      <c r="A76" s="1212" t="s">
        <v>65</v>
      </c>
      <c r="B76" s="1212" t="s">
        <v>727</v>
      </c>
      <c r="C76" s="1212" t="s">
        <v>730</v>
      </c>
      <c r="D76" s="335">
        <v>2187299.5368061578</v>
      </c>
      <c r="E76" s="335">
        <v>2287702.6279130764</v>
      </c>
    </row>
    <row r="77" spans="1:6">
      <c r="A77" s="1212" t="s">
        <v>66</v>
      </c>
      <c r="B77" s="1212" t="s">
        <v>725</v>
      </c>
      <c r="C77" s="1212" t="s">
        <v>731</v>
      </c>
      <c r="D77" s="335">
        <v>350073113</v>
      </c>
      <c r="E77" s="335">
        <v>378373977.23973745</v>
      </c>
    </row>
    <row r="78" spans="1:6">
      <c r="A78" s="1208" t="s">
        <v>66</v>
      </c>
      <c r="B78" s="1208" t="s">
        <v>727</v>
      </c>
      <c r="C78" s="1208" t="s">
        <v>732</v>
      </c>
      <c r="D78" s="1208">
        <v>43325654</v>
      </c>
      <c r="E78" s="1208">
        <v>43450324.54790286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3035860.926387684</v>
      </c>
      <c r="C83" s="335">
        <v>2999232.9511887203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377.58295964125563</v>
      </c>
    </row>
    <row r="90" spans="1:6">
      <c r="A90" s="1212" t="s">
        <v>562</v>
      </c>
      <c r="B90" s="1225">
        <v>0</v>
      </c>
    </row>
    <row r="91" spans="1:6">
      <c r="A91" s="1212" t="s">
        <v>68</v>
      </c>
      <c r="B91" s="335">
        <v>5943.8967784095476</v>
      </c>
    </row>
    <row r="92" spans="1:6">
      <c r="A92" s="1208" t="s">
        <v>69</v>
      </c>
      <c r="B92" s="338">
        <v>5828.5554773168642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22345</v>
      </c>
    </row>
    <row r="98" spans="1:6">
      <c r="A98" s="1212" t="s">
        <v>72</v>
      </c>
      <c r="B98" s="335">
        <v>44</v>
      </c>
    </row>
    <row r="99" spans="1:6">
      <c r="A99" s="1212" t="s">
        <v>73</v>
      </c>
      <c r="B99" s="335">
        <v>106</v>
      </c>
    </row>
    <row r="100" spans="1:6">
      <c r="A100" s="1212" t="s">
        <v>74</v>
      </c>
      <c r="B100" s="335">
        <v>1577</v>
      </c>
    </row>
    <row r="101" spans="1:6">
      <c r="A101" s="1212" t="s">
        <v>75</v>
      </c>
      <c r="B101" s="335">
        <v>147</v>
      </c>
    </row>
    <row r="102" spans="1:6">
      <c r="A102" s="1212" t="s">
        <v>76</v>
      </c>
      <c r="B102" s="335">
        <v>648</v>
      </c>
    </row>
    <row r="103" spans="1:6">
      <c r="A103" s="1212" t="s">
        <v>77</v>
      </c>
      <c r="B103" s="335">
        <v>662</v>
      </c>
    </row>
    <row r="104" spans="1:6">
      <c r="A104" s="1212" t="s">
        <v>78</v>
      </c>
      <c r="B104" s="335">
        <v>5761</v>
      </c>
    </row>
    <row r="105" spans="1:6">
      <c r="A105" s="1208" t="s">
        <v>79</v>
      </c>
      <c r="B105" s="1208">
        <v>35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42</v>
      </c>
      <c r="C123" s="335">
        <v>42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191</v>
      </c>
    </row>
    <row r="130" spans="1:6">
      <c r="A130" s="1212" t="s">
        <v>295</v>
      </c>
      <c r="B130" s="335">
        <v>2</v>
      </c>
    </row>
    <row r="131" spans="1:6">
      <c r="A131" s="1212" t="s">
        <v>296</v>
      </c>
      <c r="B131" s="335">
        <v>8</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537403.67781883827</v>
      </c>
      <c r="C3" s="43" t="s">
        <v>170</v>
      </c>
      <c r="D3" s="43"/>
      <c r="E3" s="156"/>
      <c r="F3" s="43"/>
      <c r="G3" s="43"/>
      <c r="H3" s="43"/>
      <c r="I3" s="43"/>
      <c r="J3" s="43"/>
      <c r="K3" s="96"/>
    </row>
    <row r="4" spans="1:11">
      <c r="A4" s="366" t="s">
        <v>171</v>
      </c>
      <c r="B4" s="49">
        <f>IF(ISERROR('SEAP template'!B69),0,'SEAP template'!B69)</f>
        <v>12154.535215367667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0.21600349105630529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4309.0150000000003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4309.0150000000003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0.21600349105630529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930.76228301398544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111371.153396617</v>
      </c>
      <c r="C5" s="17">
        <f>IF(ISERROR('Eigen informatie GS &amp; warmtenet'!B57),0,'Eigen informatie GS &amp; warmtenet'!B57)</f>
        <v>0</v>
      </c>
      <c r="D5" s="30">
        <f>(SUM(HH_hh_gas_kWh,HH_rest_gas_kWh)/1000)*0.902</f>
        <v>424718.66344241321</v>
      </c>
      <c r="E5" s="17">
        <f>B46*B57</f>
        <v>7531.5133976350089</v>
      </c>
      <c r="F5" s="17">
        <f>B51*B62</f>
        <v>0</v>
      </c>
      <c r="G5" s="18"/>
      <c r="H5" s="17"/>
      <c r="I5" s="17"/>
      <c r="J5" s="17">
        <f>B50*B61+C50*C61</f>
        <v>1509.3420657674264</v>
      </c>
      <c r="K5" s="17"/>
      <c r="L5" s="17"/>
      <c r="M5" s="17"/>
      <c r="N5" s="17">
        <f>B48*B59+C48*C59</f>
        <v>39156.219059863754</v>
      </c>
      <c r="O5" s="17">
        <f>B69*B70*B71</f>
        <v>364.25666666666666</v>
      </c>
      <c r="P5" s="17">
        <f>B77*B78*B79/1000-B77*B78*B79/1000/B80</f>
        <v>1124.9333333333334</v>
      </c>
    </row>
    <row r="6" spans="1:16">
      <c r="A6" s="16" t="s">
        <v>634</v>
      </c>
      <c r="B6" s="831">
        <f>kWh_PV_kleiner_dan_10kW</f>
        <v>5943.8967784095476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117315.05017502654</v>
      </c>
      <c r="C8" s="21">
        <f>C5</f>
        <v>0</v>
      </c>
      <c r="D8" s="21">
        <f>D5</f>
        <v>424718.66344241321</v>
      </c>
      <c r="E8" s="21">
        <f>E5</f>
        <v>7531.5133976350089</v>
      </c>
      <c r="F8" s="21">
        <f>F5</f>
        <v>0</v>
      </c>
      <c r="G8" s="21"/>
      <c r="H8" s="21"/>
      <c r="I8" s="21"/>
      <c r="J8" s="21">
        <f>J5</f>
        <v>1509.3420657674264</v>
      </c>
      <c r="K8" s="21"/>
      <c r="L8" s="21">
        <f>L5</f>
        <v>0</v>
      </c>
      <c r="M8" s="21">
        <f>M5</f>
        <v>0</v>
      </c>
      <c r="N8" s="21">
        <f>N5</f>
        <v>39156.219059863754</v>
      </c>
      <c r="O8" s="21">
        <f>O5</f>
        <v>364.25666666666666</v>
      </c>
      <c r="P8" s="21">
        <f>P5</f>
        <v>1124.9333333333334</v>
      </c>
    </row>
    <row r="9" spans="1:16">
      <c r="B9" s="19"/>
      <c r="C9" s="19"/>
      <c r="D9" s="261"/>
      <c r="E9" s="19"/>
      <c r="F9" s="19"/>
      <c r="G9" s="19"/>
      <c r="H9" s="19"/>
      <c r="I9" s="19"/>
      <c r="J9" s="19"/>
      <c r="K9" s="19"/>
      <c r="L9" s="19"/>
      <c r="M9" s="19"/>
      <c r="N9" s="19"/>
      <c r="O9" s="19"/>
      <c r="P9" s="19"/>
    </row>
    <row r="10" spans="1:16">
      <c r="A10" s="24" t="s">
        <v>214</v>
      </c>
      <c r="B10" s="25">
        <f ca="1">'EF ele_warmte'!B12</f>
        <v>0.21600349105630529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25340.460391251352</v>
      </c>
      <c r="C12" s="23">
        <f ca="1">C10*C8</f>
        <v>0</v>
      </c>
      <c r="D12" s="23">
        <f>D8*D10</f>
        <v>85793.170015367476</v>
      </c>
      <c r="E12" s="23">
        <f>E10*E8</f>
        <v>1709.6535412631472</v>
      </c>
      <c r="F12" s="23">
        <f>F10*F8</f>
        <v>0</v>
      </c>
      <c r="G12" s="23"/>
      <c r="H12" s="23"/>
      <c r="I12" s="23"/>
      <c r="J12" s="23">
        <f>J10*J8</f>
        <v>534.30709128166893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22345</v>
      </c>
      <c r="C18" s="168" t="s">
        <v>111</v>
      </c>
      <c r="D18" s="230"/>
      <c r="E18" s="15"/>
    </row>
    <row r="19" spans="1:7">
      <c r="A19" s="173" t="s">
        <v>72</v>
      </c>
      <c r="B19" s="37">
        <f>aantalw2001_ander</f>
        <v>44</v>
      </c>
      <c r="C19" s="168" t="s">
        <v>111</v>
      </c>
      <c r="D19" s="231"/>
      <c r="E19" s="15"/>
    </row>
    <row r="20" spans="1:7">
      <c r="A20" s="173" t="s">
        <v>73</v>
      </c>
      <c r="B20" s="37">
        <f>aantalw2001_propaan</f>
        <v>106</v>
      </c>
      <c r="C20" s="169">
        <f>IF(ISERROR(B20/SUM($B$20,$B$21,$B$22)*100),0,B20/SUM($B$20,$B$21,$B$22)*100)</f>
        <v>5.7923497267759565</v>
      </c>
      <c r="D20" s="231"/>
      <c r="E20" s="15"/>
    </row>
    <row r="21" spans="1:7">
      <c r="A21" s="173" t="s">
        <v>74</v>
      </c>
      <c r="B21" s="37">
        <f>aantalw2001_elektriciteit</f>
        <v>1577</v>
      </c>
      <c r="C21" s="169">
        <f>IF(ISERROR(B21/SUM($B$20,$B$21,$B$22)*100),0,B21/SUM($B$20,$B$21,$B$22)*100)</f>
        <v>86.174863387978135</v>
      </c>
      <c r="D21" s="231"/>
      <c r="E21" s="15"/>
    </row>
    <row r="22" spans="1:7">
      <c r="A22" s="173" t="s">
        <v>75</v>
      </c>
      <c r="B22" s="37">
        <f>aantalw2001_hout</f>
        <v>147</v>
      </c>
      <c r="C22" s="169">
        <f>IF(ISERROR(B22/SUM($B$20,$B$21,$B$22)*100),0,B22/SUM($B$20,$B$21,$B$22)*100)</f>
        <v>8.0327868852459012</v>
      </c>
      <c r="D22" s="231"/>
      <c r="E22" s="15"/>
    </row>
    <row r="23" spans="1:7">
      <c r="A23" s="173" t="s">
        <v>76</v>
      </c>
      <c r="B23" s="37">
        <f>aantalw2001_niet_gespec</f>
        <v>648</v>
      </c>
      <c r="C23" s="168" t="s">
        <v>111</v>
      </c>
      <c r="D23" s="230"/>
      <c r="E23" s="15"/>
    </row>
    <row r="24" spans="1:7">
      <c r="A24" s="173" t="s">
        <v>77</v>
      </c>
      <c r="B24" s="37">
        <f>aantalw2001_steenkool</f>
        <v>662</v>
      </c>
      <c r="C24" s="168" t="s">
        <v>111</v>
      </c>
      <c r="D24" s="231"/>
      <c r="E24" s="15"/>
    </row>
    <row r="25" spans="1:7">
      <c r="A25" s="173" t="s">
        <v>78</v>
      </c>
      <c r="B25" s="37">
        <f>aantalw2001_stookolie</f>
        <v>5761</v>
      </c>
      <c r="C25" s="168" t="s">
        <v>111</v>
      </c>
      <c r="D25" s="230"/>
      <c r="E25" s="52"/>
    </row>
    <row r="26" spans="1:7">
      <c r="A26" s="173" t="s">
        <v>79</v>
      </c>
      <c r="B26" s="37">
        <f>aantalw2001_WP</f>
        <v>35</v>
      </c>
      <c r="C26" s="168" t="s">
        <v>111</v>
      </c>
      <c r="D26" s="230"/>
      <c r="E26" s="15"/>
    </row>
    <row r="27" spans="1:7" s="15" customFormat="1">
      <c r="A27" s="173"/>
      <c r="B27" s="29"/>
      <c r="C27" s="36"/>
      <c r="D27" s="230"/>
    </row>
    <row r="28" spans="1:7" s="15" customFormat="1">
      <c r="A28" s="232" t="s">
        <v>745</v>
      </c>
      <c r="B28" s="37">
        <f>aantalHuishoudens2011</f>
        <v>34930</v>
      </c>
      <c r="C28" s="36"/>
      <c r="D28" s="230"/>
    </row>
    <row r="29" spans="1:7" s="15" customFormat="1">
      <c r="A29" s="232" t="s">
        <v>746</v>
      </c>
      <c r="B29" s="37">
        <f>SUM(HH_hh_gas_aantal,HH_rest_gas_aantal)</f>
        <v>28594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28594</v>
      </c>
      <c r="C32" s="169">
        <f>IF(ISERROR(B32/SUM($B$32,$B$34,$B$35,$B$36,$B$38,$B$39)*100),0,B32/SUM($B$32,$B$34,$B$35,$B$36,$B$38,$B$39)*100)</f>
        <v>81.999369103266332</v>
      </c>
      <c r="D32" s="235"/>
      <c r="G32" s="15"/>
    </row>
    <row r="33" spans="1:7">
      <c r="A33" s="173" t="s">
        <v>72</v>
      </c>
      <c r="B33" s="34" t="s">
        <v>111</v>
      </c>
      <c r="C33" s="169"/>
      <c r="D33" s="235"/>
      <c r="G33" s="15"/>
    </row>
    <row r="34" spans="1:7">
      <c r="A34" s="173" t="s">
        <v>73</v>
      </c>
      <c r="B34" s="33">
        <f>IF((($B$28-$B$32-$B$39-$B$77-$B$38)*C20/100)&lt;0,0,($B$28-$B$32-$B$39-$B$77-$B$38)*C20/100)</f>
        <v>361.43683060109288</v>
      </c>
      <c r="C34" s="169">
        <f>IF(ISERROR(B34/SUM($B$32,$B$34,$B$35,$B$36,$B$38,$B$39)*100),0,B34/SUM($B$32,$B$34,$B$35,$B$36,$B$38,$B$39)*100)</f>
        <v>1.0364968902557794</v>
      </c>
      <c r="D34" s="235"/>
      <c r="G34" s="15"/>
    </row>
    <row r="35" spans="1:7">
      <c r="A35" s="173" t="s">
        <v>74</v>
      </c>
      <c r="B35" s="33">
        <f>IF((($B$28-$B$32-$B$39-$B$77-$B$38)*C21/100)&lt;0,0,($B$28-$B$32-$B$39-$B$77-$B$38)*C21/100)</f>
        <v>5377.2253005464472</v>
      </c>
      <c r="C35" s="169">
        <f>IF(ISERROR(B35/SUM($B$32,$B$34,$B$35,$B$36,$B$38,$B$39)*100),0,B35/SUM($B$32,$B$34,$B$35,$B$36,$B$38,$B$39)*100)</f>
        <v>15.420335810692116</v>
      </c>
      <c r="D35" s="235"/>
      <c r="G35" s="15"/>
    </row>
    <row r="36" spans="1:7">
      <c r="A36" s="173" t="s">
        <v>75</v>
      </c>
      <c r="B36" s="33">
        <f>IF((($B$28-$B$32-$B$39-$B$77-$B$38)*C22/100)&lt;0,0,($B$28-$B$32-$B$39-$B$77-$B$38)*C22/100)</f>
        <v>501.23786885245897</v>
      </c>
      <c r="C36" s="169">
        <f>IF(ISERROR(B36/SUM($B$32,$B$34,$B$35,$B$36,$B$38,$B$39)*100),0,B36/SUM($B$32,$B$34,$B$35,$B$36,$B$38,$B$39)*100)</f>
        <v>1.4374060647886755</v>
      </c>
      <c r="D36" s="235"/>
      <c r="G36" s="15"/>
    </row>
    <row r="37" spans="1:7">
      <c r="A37" s="173" t="s">
        <v>76</v>
      </c>
      <c r="B37" s="34" t="s">
        <v>111</v>
      </c>
      <c r="C37" s="169"/>
      <c r="D37" s="175"/>
      <c r="G37" s="15"/>
    </row>
    <row r="38" spans="1:7">
      <c r="A38" s="173" t="s">
        <v>77</v>
      </c>
      <c r="B38" s="33">
        <f>IF((B24-(B29-B18)*0.1)&lt;0,0,B24-(B29-B18)*0.1)</f>
        <v>37.099999999999909</v>
      </c>
      <c r="C38" s="169">
        <f>IF(ISERROR(B38/SUM($B$32,$B$34,$B$35,$B$36,$B$38,$B$39)*100),0,B38/SUM($B$32,$B$34,$B$35,$B$36,$B$38,$B$39)*100)</f>
        <v>0.10639213099710335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28594</v>
      </c>
      <c r="C44" s="34" t="s">
        <v>111</v>
      </c>
      <c r="D44" s="176"/>
    </row>
    <row r="45" spans="1:7">
      <c r="A45" s="173" t="s">
        <v>72</v>
      </c>
      <c r="B45" s="33" t="str">
        <f t="shared" si="0"/>
        <v>-</v>
      </c>
      <c r="C45" s="34" t="s">
        <v>111</v>
      </c>
      <c r="D45" s="176"/>
    </row>
    <row r="46" spans="1:7">
      <c r="A46" s="173" t="s">
        <v>73</v>
      </c>
      <c r="B46" s="33">
        <f t="shared" si="0"/>
        <v>361.43683060109288</v>
      </c>
      <c r="C46" s="34" t="s">
        <v>111</v>
      </c>
      <c r="D46" s="176"/>
    </row>
    <row r="47" spans="1:7">
      <c r="A47" s="173" t="s">
        <v>74</v>
      </c>
      <c r="B47" s="33">
        <f t="shared" si="0"/>
        <v>5377.2253005464472</v>
      </c>
      <c r="C47" s="34" t="s">
        <v>111</v>
      </c>
      <c r="D47" s="176"/>
    </row>
    <row r="48" spans="1:7">
      <c r="A48" s="173" t="s">
        <v>75</v>
      </c>
      <c r="B48" s="33">
        <f t="shared" si="0"/>
        <v>501.23786885245897</v>
      </c>
      <c r="C48" s="33">
        <f>B48*10</f>
        <v>5012.37868852459</v>
      </c>
      <c r="D48" s="236"/>
    </row>
    <row r="49" spans="1:6">
      <c r="A49" s="173" t="s">
        <v>76</v>
      </c>
      <c r="B49" s="33" t="str">
        <f t="shared" si="0"/>
        <v>-</v>
      </c>
      <c r="C49" s="34" t="s">
        <v>111</v>
      </c>
      <c r="D49" s="236"/>
    </row>
    <row r="50" spans="1:6">
      <c r="A50" s="173" t="s">
        <v>77</v>
      </c>
      <c r="B50" s="33">
        <f t="shared" si="0"/>
        <v>37.099999999999909</v>
      </c>
      <c r="C50" s="33">
        <f>B50*2</f>
        <v>74.199999999999818</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208983.72806947454</v>
      </c>
      <c r="C5" s="17">
        <f>IF(ISERROR('Eigen informatie GS &amp; warmtenet'!B58),0,'Eigen informatie GS &amp; warmtenet'!B58)</f>
        <v>0</v>
      </c>
      <c r="D5" s="30">
        <f>SUM(D6:D12)</f>
        <v>243009.75939423556</v>
      </c>
      <c r="E5" s="17">
        <f>SUM(E6:E12)</f>
        <v>2034.1227777089944</v>
      </c>
      <c r="F5" s="17">
        <f>SUM(F6:F12)</f>
        <v>39122.045793986268</v>
      </c>
      <c r="G5" s="18"/>
      <c r="H5" s="17"/>
      <c r="I5" s="17"/>
      <c r="J5" s="17">
        <f>SUM(J6:J12)</f>
        <v>0</v>
      </c>
      <c r="K5" s="17"/>
      <c r="L5" s="17"/>
      <c r="M5" s="17"/>
      <c r="N5" s="17">
        <f>SUM(N6:N12)</f>
        <v>13199.980393335982</v>
      </c>
      <c r="O5" s="17">
        <f>B38*B39*B40</f>
        <v>3.1266666666666669</v>
      </c>
      <c r="P5" s="17">
        <f>B46*B47*B48/1000-B46*B47*B48/1000/B49</f>
        <v>152.53333333333333</v>
      </c>
      <c r="R5" s="32"/>
    </row>
    <row r="6" spans="1:18">
      <c r="A6" s="32" t="s">
        <v>54</v>
      </c>
      <c r="B6" s="37">
        <f>B26</f>
        <v>103984.738711741</v>
      </c>
      <c r="C6" s="33"/>
      <c r="D6" s="37">
        <f>IF(ISERROR(TER_kantoor_gas_kWh/1000),0,TER_kantoor_gas_kWh/1000)*0.902</f>
        <v>90169.209097258208</v>
      </c>
      <c r="E6" s="33">
        <f>$C$26*'E Balans VL '!I12/100/3.6*1000000</f>
        <v>404.00272474699085</v>
      </c>
      <c r="F6" s="33">
        <f>$C$26*('E Balans VL '!L12+'E Balans VL '!N12)/100/3.6*1000000</f>
        <v>15815.132572369994</v>
      </c>
      <c r="G6" s="34"/>
      <c r="H6" s="33"/>
      <c r="I6" s="33"/>
      <c r="J6" s="33">
        <f>$C$26*('E Balans VL '!D12+'E Balans VL '!E12)/100/3.6*1000000</f>
        <v>0</v>
      </c>
      <c r="K6" s="33"/>
      <c r="L6" s="33"/>
      <c r="M6" s="33"/>
      <c r="N6" s="33">
        <f>$C$26*'E Balans VL '!Y12/100/3.6*1000000</f>
        <v>57.308048095087514</v>
      </c>
      <c r="O6" s="33"/>
      <c r="P6" s="33"/>
      <c r="R6" s="32"/>
    </row>
    <row r="7" spans="1:18">
      <c r="A7" s="32" t="s">
        <v>53</v>
      </c>
      <c r="B7" s="37">
        <f t="shared" ref="B7:B12" si="0">B27</f>
        <v>13065.8888027512</v>
      </c>
      <c r="C7" s="33"/>
      <c r="D7" s="37">
        <f>IF(ISERROR(TER_horeca_gas_kWh/1000),0,TER_horeca_gas_kWh/1000)*0.902</f>
        <v>23440.598320807367</v>
      </c>
      <c r="E7" s="33">
        <f>$C$27*'E Balans VL '!I9/100/3.6*1000000</f>
        <v>736.00500949887225</v>
      </c>
      <c r="F7" s="33">
        <f>$C$27*('E Balans VL '!L9+'E Balans VL '!N9)/100/3.6*1000000</f>
        <v>3767.4200919194454</v>
      </c>
      <c r="G7" s="34"/>
      <c r="H7" s="33"/>
      <c r="I7" s="33"/>
      <c r="J7" s="33">
        <f>$C$27*('E Balans VL '!D9+'E Balans VL '!E9)/100/3.6*1000000</f>
        <v>0</v>
      </c>
      <c r="K7" s="33"/>
      <c r="L7" s="33"/>
      <c r="M7" s="33"/>
      <c r="N7" s="33">
        <f>$C$27*'E Balans VL '!Y9/100/3.6*1000000</f>
        <v>3.6074240016931913</v>
      </c>
      <c r="O7" s="33"/>
      <c r="P7" s="33"/>
      <c r="R7" s="32"/>
    </row>
    <row r="8" spans="1:18">
      <c r="A8" s="6" t="s">
        <v>52</v>
      </c>
      <c r="B8" s="37">
        <f t="shared" si="0"/>
        <v>43274.947812341801</v>
      </c>
      <c r="C8" s="33"/>
      <c r="D8" s="37">
        <f>IF(ISERROR(TER_handel_gas_kWh/1000),0,TER_handel_gas_kWh/1000)*0.902</f>
        <v>38188.819051965263</v>
      </c>
      <c r="E8" s="33">
        <f>$C$28*'E Balans VL '!I13/100/3.6*1000000</f>
        <v>623.73881526902312</v>
      </c>
      <c r="F8" s="33">
        <f>$C$28*('E Balans VL '!L13+'E Balans VL '!N13)/100/3.6*1000000</f>
        <v>7517.8662405327605</v>
      </c>
      <c r="G8" s="34"/>
      <c r="H8" s="33"/>
      <c r="I8" s="33"/>
      <c r="J8" s="33">
        <f>$C$28*('E Balans VL '!D13+'E Balans VL '!E13)/100/3.6*1000000</f>
        <v>0</v>
      </c>
      <c r="K8" s="33"/>
      <c r="L8" s="33"/>
      <c r="M8" s="33"/>
      <c r="N8" s="33">
        <f>$C$28*'E Balans VL '!Y13/100/3.6*1000000</f>
        <v>129.65656111220707</v>
      </c>
      <c r="O8" s="33"/>
      <c r="P8" s="33"/>
      <c r="R8" s="32"/>
    </row>
    <row r="9" spans="1:18">
      <c r="A9" s="32" t="s">
        <v>51</v>
      </c>
      <c r="B9" s="37">
        <f t="shared" si="0"/>
        <v>10551.9748177531</v>
      </c>
      <c r="C9" s="33"/>
      <c r="D9" s="37">
        <f>IF(ISERROR(TER_gezond_gas_kWh/1000),0,TER_gezond_gas_kWh/1000)*0.902</f>
        <v>23111.462696075341</v>
      </c>
      <c r="E9" s="33">
        <f>$C$29*'E Balans VL '!I10/100/3.6*1000000</f>
        <v>11.272244076794431</v>
      </c>
      <c r="F9" s="33">
        <f>$C$29*('E Balans VL '!L10+'E Balans VL '!N10)/100/3.6*1000000</f>
        <v>1721.3477793240816</v>
      </c>
      <c r="G9" s="34"/>
      <c r="H9" s="33"/>
      <c r="I9" s="33"/>
      <c r="J9" s="33">
        <f>$C$29*('E Balans VL '!D10+'E Balans VL '!E10)/100/3.6*1000000</f>
        <v>0</v>
      </c>
      <c r="K9" s="33"/>
      <c r="L9" s="33"/>
      <c r="M9" s="33"/>
      <c r="N9" s="33">
        <f>$C$29*'E Balans VL '!Y10/100/3.6*1000000</f>
        <v>108.62655991205469</v>
      </c>
      <c r="O9" s="33"/>
      <c r="P9" s="33"/>
      <c r="R9" s="32"/>
    </row>
    <row r="10" spans="1:18">
      <c r="A10" s="32" t="s">
        <v>50</v>
      </c>
      <c r="B10" s="37">
        <f t="shared" si="0"/>
        <v>16887.047069656397</v>
      </c>
      <c r="C10" s="33"/>
      <c r="D10" s="37">
        <f>IF(ISERROR(TER_ander_gas_kWh/1000),0,TER_ander_gas_kWh/1000)*0.902</f>
        <v>31441.895592000783</v>
      </c>
      <c r="E10" s="33">
        <f>$C$30*'E Balans VL '!I14/100/3.6*1000000</f>
        <v>77.660960762805757</v>
      </c>
      <c r="F10" s="33">
        <f>$C$30*('E Balans VL '!L14+'E Balans VL '!N14)/100/3.6*1000000</f>
        <v>5061.5806721156523</v>
      </c>
      <c r="G10" s="34"/>
      <c r="H10" s="33"/>
      <c r="I10" s="33"/>
      <c r="J10" s="33">
        <f>$C$30*('E Balans VL '!D14+'E Balans VL '!E14)/100/3.6*1000000</f>
        <v>0</v>
      </c>
      <c r="K10" s="33"/>
      <c r="L10" s="33"/>
      <c r="M10" s="33"/>
      <c r="N10" s="33">
        <f>$C$30*'E Balans VL '!Y14/100/3.6*1000000</f>
        <v>11754.49948743875</v>
      </c>
      <c r="O10" s="33"/>
      <c r="P10" s="33"/>
      <c r="R10" s="32"/>
    </row>
    <row r="11" spans="1:18">
      <c r="A11" s="32" t="s">
        <v>55</v>
      </c>
      <c r="B11" s="37">
        <f t="shared" si="0"/>
        <v>6778.7321051053705</v>
      </c>
      <c r="C11" s="33"/>
      <c r="D11" s="37">
        <f>IF(ISERROR(TER_onderwijs_gas_kWh/1000),0,TER_onderwijs_gas_kWh/1000)*0.902</f>
        <v>18926.180046747282</v>
      </c>
      <c r="E11" s="33">
        <f>$C$31*'E Balans VL '!I11/100/3.6*1000000</f>
        <v>6.2881654902622763</v>
      </c>
      <c r="F11" s="33">
        <f>$C$31*('E Balans VL '!L11+'E Balans VL '!N11)/100/3.6*1000000</f>
        <v>2381.2127905673633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14440.3987501257</v>
      </c>
      <c r="C12" s="33"/>
      <c r="D12" s="37">
        <f>IF(ISERROR(TER_rest_gas_kWh/1000),0,TER_rest_gas_kWh/1000)*0.902</f>
        <v>17731.594589381315</v>
      </c>
      <c r="E12" s="33">
        <f>$C$32*'E Balans VL '!I8/100/3.6*1000000</f>
        <v>175.15485786424586</v>
      </c>
      <c r="F12" s="33">
        <f>$C$32*('E Balans VL '!L8+'E Balans VL '!N8)/100/3.6*1000000</f>
        <v>2857.4856471569715</v>
      </c>
      <c r="G12" s="34"/>
      <c r="H12" s="33"/>
      <c r="I12" s="33"/>
      <c r="J12" s="33">
        <f>$C$32*('E Balans VL '!D8+'E Balans VL '!E8)/100/3.6*1000000</f>
        <v>0</v>
      </c>
      <c r="K12" s="33"/>
      <c r="L12" s="33"/>
      <c r="M12" s="33"/>
      <c r="N12" s="33">
        <f>$C$32*'E Balans VL '!Y8/100/3.6*1000000</f>
        <v>1146.2823127761887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208983.72806947454</v>
      </c>
      <c r="C16" s="21">
        <f t="shared" ca="1" si="1"/>
        <v>0</v>
      </c>
      <c r="D16" s="21">
        <f t="shared" ca="1" si="1"/>
        <v>243009.75939423556</v>
      </c>
      <c r="E16" s="21">
        <f t="shared" si="1"/>
        <v>2034.1227777089944</v>
      </c>
      <c r="F16" s="21">
        <f t="shared" ca="1" si="1"/>
        <v>39122.045793986268</v>
      </c>
      <c r="G16" s="21">
        <f t="shared" si="1"/>
        <v>0</v>
      </c>
      <c r="H16" s="21">
        <f t="shared" si="1"/>
        <v>0</v>
      </c>
      <c r="I16" s="21">
        <f t="shared" si="1"/>
        <v>0</v>
      </c>
      <c r="J16" s="21">
        <f t="shared" si="1"/>
        <v>0</v>
      </c>
      <c r="K16" s="21">
        <f t="shared" si="1"/>
        <v>0</v>
      </c>
      <c r="L16" s="21">
        <f t="shared" ca="1" si="1"/>
        <v>0</v>
      </c>
      <c r="M16" s="21">
        <f t="shared" si="1"/>
        <v>0</v>
      </c>
      <c r="N16" s="21">
        <f t="shared" ca="1" si="1"/>
        <v>13199.980393335982</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0.21600349105630529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45141.21483696808</v>
      </c>
      <c r="C20" s="23">
        <f t="shared" ref="C20:P20" ca="1" si="2">C16*C18</f>
        <v>0</v>
      </c>
      <c r="D20" s="23">
        <f t="shared" ca="1" si="2"/>
        <v>49087.971397635585</v>
      </c>
      <c r="E20" s="23">
        <f t="shared" si="2"/>
        <v>461.74587053994173</v>
      </c>
      <c r="F20" s="23">
        <f t="shared" ca="1" si="2"/>
        <v>10445.586226994334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103984.738711741</v>
      </c>
      <c r="C26" s="39">
        <f>IF(ISERROR(B26*3.6/1000000/'E Balans VL '!Z12*100),0,B26*3.6/1000000/'E Balans VL '!Z12*100)</f>
        <v>2.208687357581073</v>
      </c>
      <c r="D26" s="239" t="s">
        <v>692</v>
      </c>
      <c r="F26" s="6"/>
    </row>
    <row r="27" spans="1:18">
      <c r="A27" s="233" t="s">
        <v>53</v>
      </c>
      <c r="B27" s="33">
        <f>IF(ISERROR(TER_horeca_ele_kWh/1000),0,TER_horeca_ele_kWh/1000)</f>
        <v>13065.8888027512</v>
      </c>
      <c r="C27" s="39">
        <f>IF(ISERROR(B27*3.6/1000000/'E Balans VL '!Z9*100),0,B27*3.6/1000000/'E Balans VL '!Z9*100)</f>
        <v>1.0159524266997186</v>
      </c>
      <c r="D27" s="239" t="s">
        <v>692</v>
      </c>
      <c r="F27" s="6"/>
    </row>
    <row r="28" spans="1:18">
      <c r="A28" s="173" t="s">
        <v>52</v>
      </c>
      <c r="B28" s="33">
        <f>IF(ISERROR(TER_handel_ele_kWh/1000),0,TER_handel_ele_kWh/1000)</f>
        <v>43274.947812341801</v>
      </c>
      <c r="C28" s="39">
        <f>IF(ISERROR(B28*3.6/1000000/'E Balans VL '!Z13*100),0,B28*3.6/1000000/'E Balans VL '!Z13*100)</f>
        <v>1.2381471864299356</v>
      </c>
      <c r="D28" s="239" t="s">
        <v>692</v>
      </c>
      <c r="F28" s="6"/>
    </row>
    <row r="29" spans="1:18">
      <c r="A29" s="233" t="s">
        <v>51</v>
      </c>
      <c r="B29" s="33">
        <f>IF(ISERROR(TER_gezond_ele_kWh/1000),0,TER_gezond_ele_kWh/1000)</f>
        <v>10551.9748177531</v>
      </c>
      <c r="C29" s="39">
        <f>IF(ISERROR(B29*3.6/1000000/'E Balans VL '!Z10*100),0,B29*3.6/1000000/'E Balans VL '!Z10*100)</f>
        <v>1.1504104536227502</v>
      </c>
      <c r="D29" s="239" t="s">
        <v>692</v>
      </c>
      <c r="F29" s="6"/>
    </row>
    <row r="30" spans="1:18">
      <c r="A30" s="233" t="s">
        <v>50</v>
      </c>
      <c r="B30" s="33">
        <f>IF(ISERROR(TER_ander_ele_kWh/1000),0,TER_ander_ele_kWh/1000)</f>
        <v>16887.047069656397</v>
      </c>
      <c r="C30" s="39">
        <f>IF(ISERROR(B30*3.6/1000000/'E Balans VL '!Z14*100),0,B30*3.6/1000000/'E Balans VL '!Z14*100)</f>
        <v>1.2357557971992708</v>
      </c>
      <c r="D30" s="239" t="s">
        <v>692</v>
      </c>
      <c r="F30" s="6"/>
    </row>
    <row r="31" spans="1:18">
      <c r="A31" s="233" t="s">
        <v>55</v>
      </c>
      <c r="B31" s="33">
        <f>IF(ISERROR(TER_onderwijs_ele_kWh/1000),0,TER_onderwijs_ele_kWh/1000)</f>
        <v>6778.7321051053705</v>
      </c>
      <c r="C31" s="39">
        <f>IF(ISERROR(B31*3.6/1000000/'E Balans VL '!Z11*100),0,B31*3.6/1000000/'E Balans VL '!Z11*100)</f>
        <v>1.3615133770580696</v>
      </c>
      <c r="D31" s="239" t="s">
        <v>692</v>
      </c>
    </row>
    <row r="32" spans="1:18">
      <c r="A32" s="233" t="s">
        <v>260</v>
      </c>
      <c r="B32" s="33">
        <f>IF(ISERROR(TER_rest_ele_kWh/1000),0,TER_rest_ele_kWh/1000)</f>
        <v>14440.3987501257</v>
      </c>
      <c r="C32" s="39">
        <f>IF(ISERROR(B32*3.6/1000000/'E Balans VL '!Z8*100),0,B32*3.6/1000000/'E Balans VL '!Z8*100)</f>
        <v>0.11768048638078595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8</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205682.36515352674</v>
      </c>
      <c r="C5" s="17">
        <f>IF(ISERROR('Eigen informatie GS &amp; warmtenet'!B59),0,'Eigen informatie GS &amp; warmtenet'!B59)</f>
        <v>0</v>
      </c>
      <c r="D5" s="30">
        <f>SUM(D6:D15)</f>
        <v>288834.6238207767</v>
      </c>
      <c r="E5" s="17">
        <f>SUM(E6:E15)</f>
        <v>12370.881779504702</v>
      </c>
      <c r="F5" s="17">
        <f>SUM(F6:F15)</f>
        <v>55725.049457993431</v>
      </c>
      <c r="G5" s="18"/>
      <c r="H5" s="17"/>
      <c r="I5" s="17"/>
      <c r="J5" s="17">
        <f>SUM(J6:J15)</f>
        <v>400.76335239316569</v>
      </c>
      <c r="K5" s="17"/>
      <c r="L5" s="17"/>
      <c r="M5" s="17"/>
      <c r="N5" s="17">
        <f>SUM(N6:N15)</f>
        <v>45871.883515012261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32618.105850109099</v>
      </c>
      <c r="C8" s="33"/>
      <c r="D8" s="37">
        <f>IF( ISERROR(IND_metaal_Gas_kWH/1000),0,IND_metaal_Gas_kWH/1000)*0.902</f>
        <v>13352.018069752861</v>
      </c>
      <c r="E8" s="33">
        <f>C30*'E Balans VL '!I18/100/3.6*1000000</f>
        <v>936.91443336454813</v>
      </c>
      <c r="F8" s="33">
        <f>C30*'E Balans VL '!L18/100/3.6*1000000+C30*'E Balans VL '!N18/100/3.6*1000000</f>
        <v>8365.9168142221788</v>
      </c>
      <c r="G8" s="34"/>
      <c r="H8" s="33"/>
      <c r="I8" s="33"/>
      <c r="J8" s="40">
        <f>C30*'E Balans VL '!D18/100/3.6*1000000+C30*'E Balans VL '!E18/100/3.6*1000000</f>
        <v>0</v>
      </c>
      <c r="K8" s="33"/>
      <c r="L8" s="33"/>
      <c r="M8" s="33"/>
      <c r="N8" s="33">
        <f>C30*'E Balans VL '!Y18/100/3.6*1000000</f>
        <v>885.64815681782818</v>
      </c>
      <c r="O8" s="33"/>
      <c r="P8" s="33"/>
      <c r="R8" s="32"/>
    </row>
    <row r="9" spans="1:18">
      <c r="A9" s="6" t="s">
        <v>33</v>
      </c>
      <c r="B9" s="37">
        <f t="shared" si="0"/>
        <v>9023.5645296471102</v>
      </c>
      <c r="C9" s="33"/>
      <c r="D9" s="37">
        <f>IF( ISERROR(IND_andere_gas_kWh/1000),0,IND_andere_gas_kWh/1000)*0.902</f>
        <v>8487.1577133726096</v>
      </c>
      <c r="E9" s="33">
        <f>C31*'E Balans VL '!I19/100/3.6*1000000</f>
        <v>2442.4570554294178</v>
      </c>
      <c r="F9" s="33">
        <f>C31*'E Balans VL '!L19/100/3.6*1000000+C31*'E Balans VL '!N19/100/3.6*1000000</f>
        <v>6010.648869339966</v>
      </c>
      <c r="G9" s="34"/>
      <c r="H9" s="33"/>
      <c r="I9" s="33"/>
      <c r="J9" s="40">
        <f>C31*'E Balans VL '!D19/100/3.6*1000000+C31*'E Balans VL '!E19/100/3.6*1000000</f>
        <v>0</v>
      </c>
      <c r="K9" s="33"/>
      <c r="L9" s="33"/>
      <c r="M9" s="33"/>
      <c r="N9" s="33">
        <f>C31*'E Balans VL '!Y19/100/3.6*1000000</f>
        <v>2946.0439246903475</v>
      </c>
      <c r="O9" s="33"/>
      <c r="P9" s="33"/>
      <c r="R9" s="32"/>
    </row>
    <row r="10" spans="1:18">
      <c r="A10" s="6" t="s">
        <v>41</v>
      </c>
      <c r="B10" s="37">
        <f t="shared" si="0"/>
        <v>2843.58947725402</v>
      </c>
      <c r="C10" s="33"/>
      <c r="D10" s="37">
        <f>IF( ISERROR(IND_voed_gas_kWh/1000),0,IND_voed_gas_kWh/1000)*0.902</f>
        <v>2764.9881210173894</v>
      </c>
      <c r="E10" s="33">
        <f>C32*'E Balans VL '!I20/100/3.6*1000000</f>
        <v>231.92969074166498</v>
      </c>
      <c r="F10" s="33">
        <f>C32*'E Balans VL '!L20/100/3.6*1000000+C32*'E Balans VL '!N20/100/3.6*1000000</f>
        <v>4240.0499036288047</v>
      </c>
      <c r="G10" s="34"/>
      <c r="H10" s="33"/>
      <c r="I10" s="33"/>
      <c r="J10" s="40">
        <f>C32*'E Balans VL '!D20/100/3.6*1000000+C32*'E Balans VL '!E20/100/3.6*1000000</f>
        <v>3.7617237129486877E-2</v>
      </c>
      <c r="K10" s="33"/>
      <c r="L10" s="33"/>
      <c r="M10" s="33"/>
      <c r="N10" s="33">
        <f>C32*'E Balans VL '!Y20/100/3.6*1000000</f>
        <v>835.34624896396735</v>
      </c>
      <c r="O10" s="33"/>
      <c r="P10" s="33"/>
      <c r="R10" s="32"/>
    </row>
    <row r="11" spans="1:18">
      <c r="A11" s="6" t="s">
        <v>40</v>
      </c>
      <c r="B11" s="37">
        <f t="shared" si="0"/>
        <v>51.610872896671701</v>
      </c>
      <c r="C11" s="33"/>
      <c r="D11" s="37">
        <f>IF( ISERROR(IND_textiel_gas_kWh/1000),0,IND_textiel_gas_kWh/1000)*0.902</f>
        <v>87.490519284196594</v>
      </c>
      <c r="E11" s="33">
        <f>C33*'E Balans VL '!I21/100/3.6*1000000</f>
        <v>1.0230330951599574E-2</v>
      </c>
      <c r="F11" s="33">
        <f>C33*'E Balans VL '!L21/100/3.6*1000000+C33*'E Balans VL '!N21/100/3.6*1000000</f>
        <v>1.9008907175013499</v>
      </c>
      <c r="G11" s="34"/>
      <c r="H11" s="33"/>
      <c r="I11" s="33"/>
      <c r="J11" s="40">
        <f>C33*'E Balans VL '!D21/100/3.6*1000000+C33*'E Balans VL '!E21/100/3.6*1000000</f>
        <v>0</v>
      </c>
      <c r="K11" s="33"/>
      <c r="L11" s="33"/>
      <c r="M11" s="33"/>
      <c r="N11" s="33">
        <f>C33*'E Balans VL '!Y21/100/3.6*1000000</f>
        <v>0.23997753022546153</v>
      </c>
      <c r="O11" s="33"/>
      <c r="P11" s="33"/>
      <c r="R11" s="32"/>
    </row>
    <row r="12" spans="1:18">
      <c r="A12" s="6" t="s">
        <v>37</v>
      </c>
      <c r="B12" s="37">
        <f t="shared" si="0"/>
        <v>129.99767546376299</v>
      </c>
      <c r="C12" s="33"/>
      <c r="D12" s="37">
        <f>IF( ISERROR(IND_min_gas_kWh/1000),0,IND_min_gas_kWh/1000)*0.902</f>
        <v>0</v>
      </c>
      <c r="E12" s="33">
        <f>C34*'E Balans VL '!I22/100/3.6*1000000</f>
        <v>1.0126535665749115</v>
      </c>
      <c r="F12" s="33">
        <f>C34*'E Balans VL '!L22/100/3.6*1000000+C34*'E Balans VL '!N22/100/3.6*1000000</f>
        <v>49.027134583784338</v>
      </c>
      <c r="G12" s="34"/>
      <c r="H12" s="33"/>
      <c r="I12" s="33"/>
      <c r="J12" s="40">
        <f>C34*'E Balans VL '!D22/100/3.6*1000000+C34*'E Balans VL '!E22/100/3.6*1000000</f>
        <v>0.71497584897337085</v>
      </c>
      <c r="K12" s="33"/>
      <c r="L12" s="33"/>
      <c r="M12" s="33"/>
      <c r="N12" s="33">
        <f>C34*'E Balans VL '!Y22/100/3.6*1000000</f>
        <v>0</v>
      </c>
      <c r="O12" s="33"/>
      <c r="P12" s="33"/>
      <c r="R12" s="32"/>
    </row>
    <row r="13" spans="1:18">
      <c r="A13" s="6" t="s">
        <v>39</v>
      </c>
      <c r="B13" s="37">
        <f t="shared" si="0"/>
        <v>4948.0192561460999</v>
      </c>
      <c r="C13" s="33"/>
      <c r="D13" s="37">
        <f>IF( ISERROR(IND_papier_gas_kWh/1000),0,IND_papier_gas_kWh/1000)*0.902</f>
        <v>5693.4754628104674</v>
      </c>
      <c r="E13" s="33">
        <f>C35*'E Balans VL '!I23/100/3.6*1000000</f>
        <v>51.839515899120933</v>
      </c>
      <c r="F13" s="33">
        <f>C35*'E Balans VL '!L23/100/3.6*1000000+C35*'E Balans VL '!N23/100/3.6*1000000</f>
        <v>369.22207391040632</v>
      </c>
      <c r="G13" s="34"/>
      <c r="H13" s="33"/>
      <c r="I13" s="33"/>
      <c r="J13" s="40">
        <f>C35*'E Balans VL '!D23/100/3.6*1000000+C35*'E Balans VL '!E23/100/3.6*1000000</f>
        <v>0</v>
      </c>
      <c r="K13" s="33"/>
      <c r="L13" s="33"/>
      <c r="M13" s="33"/>
      <c r="N13" s="33">
        <f>C35*'E Balans VL '!Y23/100/3.6*1000000</f>
        <v>10575.874701454384</v>
      </c>
      <c r="O13" s="33"/>
      <c r="P13" s="33"/>
      <c r="R13" s="32"/>
    </row>
    <row r="14" spans="1:18">
      <c r="A14" s="6" t="s">
        <v>34</v>
      </c>
      <c r="B14" s="37">
        <f t="shared" si="0"/>
        <v>0</v>
      </c>
      <c r="C14" s="33"/>
      <c r="D14" s="37">
        <f>IF( ISERROR(IND_chemie_gas_kWh/1000),0,IND_chemie_gas_kWh/1000)*0.902</f>
        <v>38323.801413227033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156067.47749200999</v>
      </c>
      <c r="C15" s="33"/>
      <c r="D15" s="37">
        <f>IF( ISERROR(IND_rest_gas_kWh/1000),0,IND_rest_gas_kWh/1000)*0.902</f>
        <v>220125.69252131216</v>
      </c>
      <c r="E15" s="33">
        <f>C37*'E Balans VL '!I15/100/3.6*1000000</f>
        <v>8706.7182001724232</v>
      </c>
      <c r="F15" s="33">
        <f>C37*'E Balans VL '!L15/100/3.6*1000000+C37*'E Balans VL '!N15/100/3.6*1000000</f>
        <v>36688.283771590795</v>
      </c>
      <c r="G15" s="34"/>
      <c r="H15" s="33"/>
      <c r="I15" s="33"/>
      <c r="J15" s="40">
        <f>C37*'E Balans VL '!D15/100/3.6*1000000+C37*'E Balans VL '!E15/100/3.6*1000000</f>
        <v>400.01075930706281</v>
      </c>
      <c r="K15" s="33"/>
      <c r="L15" s="33"/>
      <c r="M15" s="33"/>
      <c r="N15" s="33">
        <f>C37*'E Balans VL '!Y15/100/3.6*1000000</f>
        <v>30628.730505555504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205682.36515352674</v>
      </c>
      <c r="C18" s="21">
        <f>C5+C16</f>
        <v>0</v>
      </c>
      <c r="D18" s="21">
        <f>MAX((D5+D16),0)</f>
        <v>288834.6238207767</v>
      </c>
      <c r="E18" s="21">
        <f>MAX((E5+E16),0)</f>
        <v>12370.881779504702</v>
      </c>
      <c r="F18" s="21">
        <f>MAX((F5+F16),0)</f>
        <v>55725.049457993431</v>
      </c>
      <c r="G18" s="21"/>
      <c r="H18" s="21"/>
      <c r="I18" s="21"/>
      <c r="J18" s="21">
        <f>MAX((J5+J16),0)</f>
        <v>400.76335239316569</v>
      </c>
      <c r="K18" s="21"/>
      <c r="L18" s="21">
        <f>MAX((L5+L16),0)</f>
        <v>0</v>
      </c>
      <c r="M18" s="21"/>
      <c r="N18" s="21">
        <f>MAX((N5+N16),0)</f>
        <v>45871.883515012261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0.21600349105630529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44428.108921879531</v>
      </c>
      <c r="C22" s="23">
        <f ca="1">C18*C20</f>
        <v>0</v>
      </c>
      <c r="D22" s="23">
        <f>D18*D20</f>
        <v>58344.5940117969</v>
      </c>
      <c r="E22" s="23">
        <f>E18*E20</f>
        <v>2808.1901639475673</v>
      </c>
      <c r="F22" s="23">
        <f>F18*F20</f>
        <v>14878.588205284246</v>
      </c>
      <c r="G22" s="23"/>
      <c r="H22" s="23"/>
      <c r="I22" s="23"/>
      <c r="J22" s="23">
        <f>J18*J20</f>
        <v>141.87022674718065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32618.105850109099</v>
      </c>
      <c r="C30" s="39">
        <f>IF(ISERROR(B30*3.6/1000000/'E Balans VL '!Z18*100),0,B30*3.6/1000000/'E Balans VL '!Z18*100)</f>
        <v>3.2095383504963255</v>
      </c>
      <c r="D30" s="239" t="s">
        <v>692</v>
      </c>
    </row>
    <row r="31" spans="1:18">
      <c r="A31" s="6" t="s">
        <v>33</v>
      </c>
      <c r="B31" s="37">
        <f>IF( ISERROR(IND_ander_ele_kWh/1000),0,IND_ander_ele_kWh/1000)</f>
        <v>9023.5645296471102</v>
      </c>
      <c r="C31" s="39">
        <f>IF(ISERROR(B31*3.6/1000000/'E Balans VL '!Z19*100),0,B31*3.6/1000000/'E Balans VL '!Z19*100)</f>
        <v>0.39296903723961163</v>
      </c>
      <c r="D31" s="239" t="s">
        <v>692</v>
      </c>
    </row>
    <row r="32" spans="1:18">
      <c r="A32" s="173" t="s">
        <v>41</v>
      </c>
      <c r="B32" s="37">
        <f>IF( ISERROR(IND_voed_ele_kWh/1000),0,IND_voed_ele_kWh/1000)</f>
        <v>2843.58947725402</v>
      </c>
      <c r="C32" s="39">
        <f>IF(ISERROR(B32*3.6/1000000/'E Balans VL '!Z20*100),0,B32*3.6/1000000/'E Balans VL '!Z20*100)</f>
        <v>0.53953009428743992</v>
      </c>
      <c r="D32" s="239" t="s">
        <v>692</v>
      </c>
    </row>
    <row r="33" spans="1:5">
      <c r="A33" s="173" t="s">
        <v>40</v>
      </c>
      <c r="B33" s="37">
        <f>IF( ISERROR(IND_textiel_ele_kWh/1000),0,IND_textiel_ele_kWh/1000)</f>
        <v>51.610872896671701</v>
      </c>
      <c r="C33" s="39">
        <f>IF(ISERROR(B33*3.6/1000000/'E Balans VL '!Z21*100),0,B33*3.6/1000000/'E Balans VL '!Z21*100)</f>
        <v>2.9467191104838712E-3</v>
      </c>
      <c r="D33" s="239" t="s">
        <v>692</v>
      </c>
    </row>
    <row r="34" spans="1:5">
      <c r="A34" s="173" t="s">
        <v>37</v>
      </c>
      <c r="B34" s="37">
        <f>IF( ISERROR(IND_min_ele_kWh/1000),0,IND_min_ele_kWh/1000)</f>
        <v>129.99767546376299</v>
      </c>
      <c r="C34" s="39">
        <f>IF(ISERROR(B34*3.6/1000000/'E Balans VL '!Z22*100),0,B34*3.6/1000000/'E Balans VL '!Z22*100)</f>
        <v>1.8278978566173373E-2</v>
      </c>
      <c r="D34" s="239" t="s">
        <v>692</v>
      </c>
    </row>
    <row r="35" spans="1:5">
      <c r="A35" s="173" t="s">
        <v>39</v>
      </c>
      <c r="B35" s="37">
        <f>IF( ISERROR(IND_papier_ele_kWh/1000),0,IND_papier_ele_kWh/1000)</f>
        <v>4948.0192561460999</v>
      </c>
      <c r="C35" s="39">
        <f>IF(ISERROR(B35*3.6/1000000/'E Balans VL '!Z22*100),0,B35*3.6/1000000/'E Balans VL '!Z22*100)</f>
        <v>0.69574119387480315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156067.47749200999</v>
      </c>
      <c r="C37" s="39">
        <f>IF(ISERROR(B37*3.6/1000000/'E Balans VL '!Z15*100),0,B37*3.6/1000000/'E Balans VL '!Z15*100)</f>
        <v>1.2026916044511555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1073.7698392398031</v>
      </c>
      <c r="C5" s="17">
        <f>'Eigen informatie GS &amp; warmtenet'!B60</f>
        <v>0</v>
      </c>
      <c r="D5" s="30">
        <f>IF(ISERROR(SUM(LB_lb_gas_kWh,LB_rest_gas_kWh,onbekend_gas_kWh)/1000),0,SUM(LB_lb_gas_kWh,LB_rest_gas_kWh,onbekend_gas_kWh)/1000)*0.902</f>
        <v>29303.79531124905</v>
      </c>
      <c r="E5" s="17">
        <f>B17*'E Balans VL '!I25/3.6*1000000/100</f>
        <v>13.530883271227163</v>
      </c>
      <c r="F5" s="17">
        <f>B17*('E Balans VL '!L25/3.6*1000000+'E Balans VL '!N25/3.6*1000000)/100</f>
        <v>3704.774940795186</v>
      </c>
      <c r="G5" s="18"/>
      <c r="H5" s="17"/>
      <c r="I5" s="17"/>
      <c r="J5" s="17">
        <f>('E Balans VL '!D25+'E Balans VL '!E25)/3.6*1000000*landbouw!B17/100</f>
        <v>161.48277763693028</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1073.7698392398031</v>
      </c>
      <c r="C8" s="21">
        <f>C5+C6</f>
        <v>22.5</v>
      </c>
      <c r="D8" s="21">
        <f>MAX((D5+D6),0)</f>
        <v>29273.79531124905</v>
      </c>
      <c r="E8" s="21">
        <f>MAX((E5+E6),0)</f>
        <v>13.530883271227163</v>
      </c>
      <c r="F8" s="21">
        <f>MAX((F5+F6),0)</f>
        <v>3704.774940795186</v>
      </c>
      <c r="G8" s="21"/>
      <c r="H8" s="21"/>
      <c r="I8" s="21"/>
      <c r="J8" s="21">
        <f>MAX((J5+J6),0)</f>
        <v>161.48277763693028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0.21600349105630529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231.93803386676518</v>
      </c>
      <c r="C12" s="23">
        <f ca="1">C8*C10</f>
        <v>5.0500000000000007</v>
      </c>
      <c r="D12" s="23">
        <f>D8*D10</f>
        <v>5913.3066528723084</v>
      </c>
      <c r="E12" s="23">
        <f>E8*E10</f>
        <v>3.0715105025685658</v>
      </c>
      <c r="F12" s="23">
        <f>F8*F10</f>
        <v>989.17490919231477</v>
      </c>
      <c r="G12" s="23"/>
      <c r="H12" s="23"/>
      <c r="I12" s="23"/>
      <c r="J12" s="23">
        <f>J8*J10</f>
        <v>57.164903283473315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0.14975704931309577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118.79373926679662</v>
      </c>
      <c r="C26" s="249">
        <f>B26*'GWP N2O_CH4'!B5</f>
        <v>2494.6685246027291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16.252946096988055</v>
      </c>
      <c r="C27" s="249">
        <f>B27*'GWP N2O_CH4'!B5</f>
        <v>341.31186803674916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1.6191958516356535</v>
      </c>
      <c r="C28" s="249">
        <f>B28*'GWP N2O_CH4'!B4</f>
        <v>501.95071400705257</v>
      </c>
      <c r="D28" s="50"/>
    </row>
    <row r="29" spans="1:4">
      <c r="A29" s="41" t="s">
        <v>277</v>
      </c>
      <c r="B29" s="249">
        <f>B34*'ha_N2O bodem landbouw'!B4</f>
        <v>11.293759399166413</v>
      </c>
      <c r="C29" s="249">
        <f>B29*'GWP N2O_CH4'!B4</f>
        <v>3501.0654137415881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2.8199388715782585E-3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1.4309849365417039E-4</v>
      </c>
      <c r="C5" s="448" t="s">
        <v>211</v>
      </c>
      <c r="D5" s="433">
        <f>SUM(D6:D11)</f>
        <v>2.2350885447944957E-4</v>
      </c>
      <c r="E5" s="433">
        <f>SUM(E6:E11)</f>
        <v>7.7217865469639694E-3</v>
      </c>
      <c r="F5" s="446" t="s">
        <v>211</v>
      </c>
      <c r="G5" s="433">
        <f>SUM(G6:G11)</f>
        <v>1.9005705767991472</v>
      </c>
      <c r="H5" s="433">
        <f>SUM(H6:H11)</f>
        <v>0.34375790975910753</v>
      </c>
      <c r="I5" s="448" t="s">
        <v>211</v>
      </c>
      <c r="J5" s="448" t="s">
        <v>211</v>
      </c>
      <c r="K5" s="448" t="s">
        <v>211</v>
      </c>
      <c r="L5" s="448" t="s">
        <v>211</v>
      </c>
      <c r="M5" s="433">
        <f>SUM(M6:M11)</f>
        <v>0.10045391914211675</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5.9328364495722659E-5</v>
      </c>
      <c r="C6" s="949"/>
      <c r="D6" s="949">
        <f>vkm_2011_GW_PW*SUMIFS(TableVerdeelsleutelVkm[CNG],TableVerdeelsleutelVkm[Voertuigtype],"Lichte voertuigen")*SUMIFS(TableECFTransport[EnergieConsumptieFactor (PJ per km)],TableECFTransport[Index],CONCATENATE($A6,"_CNG_CNG"))</f>
        <v>8.4020567603925435E-5</v>
      </c>
      <c r="E6" s="949">
        <f>vkm_2011_GW_PW*SUMIFS(TableVerdeelsleutelVkm[LPG],TableVerdeelsleutelVkm[Voertuigtype],"Lichte voertuigen")*SUMIFS(TableECFTransport[EnergieConsumptieFactor (PJ per km)],TableECFTransport[Index],CONCATENATE($A6,"_LPG_LPG"))</f>
        <v>2.6388094254283694E-3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0.47426630973270201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0.12743967205154835</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2.6850787564218187E-2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0.17493317391030039</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6.2326146855126691E-5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7.8940063096068144E-3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1.4954785076657715E-5</v>
      </c>
      <c r="C8" s="949"/>
      <c r="D8" s="436">
        <f>vkm_2011_NGW_PW*SUMIFS(TableVerdeelsleutelVkm[CNG],TableVerdeelsleutelVkm[Voertuigtype],"Lichte voertuigen")*SUMIFS(TableECFTransport[EnergieConsumptieFactor (PJ per km)],TableECFTransport[Index],CONCATENATE($A8,"_CNG_CNG"))</f>
        <v>3.7730572426342261E-5</v>
      </c>
      <c r="E8" s="436">
        <f>vkm_2011_NGW_PW*SUMIFS(TableVerdeelsleutelVkm[LPG],TableVerdeelsleutelVkm[Voertuigtype],"Lichte voertuigen")*SUMIFS(TableECFTransport[EnergieConsumptieFactor (PJ per km)],TableECFTransport[Index],CONCATENATE($A8,"_LPG_LPG"))</f>
        <v>1.0914606234990701E-3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0.18501315957304409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5.5219881466782444E-2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1.0710302928126164E-2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2.6338740419308778E-2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8.8800989813472627E-6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1.1885361905048166E-3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6.8815344081790008E-5</v>
      </c>
      <c r="C10" s="949"/>
      <c r="D10" s="436">
        <f>vkm_2011_SW_PW*SUMIFS(TableVerdeelsleutelVkm[CNG],TableVerdeelsleutelVkm[Voertuigtype],"Lichte voertuigen")*SUMIFS(TableECFTransport[EnergieConsumptieFactor (PJ per km)],TableECFTransport[Index],CONCATENATE($A10,"_CNG_CNG"))</f>
        <v>1.0175771444918187E-4</v>
      </c>
      <c r="E10" s="436">
        <f>vkm_2011_SW_PW*SUMIFS(TableVerdeelsleutelVkm[LPG],TableVerdeelsleutelVkm[Voertuigtype],"Lichte voertuigen")*SUMIFS(TableECFTransport[EnergieConsumptieFactor (PJ per km)],TableECFTransport[Index],CONCATENATE($A10,"_LPG_LPG"))</f>
        <v>3.9915164980365301E-3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0.64970154248686229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0.1608771829892649</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3.6196407741782913E-2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0.39031765067692981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1.4996700567536153E-4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1.7613878407877859E-2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39.749581570602885</v>
      </c>
      <c r="C14" s="21"/>
      <c r="D14" s="21">
        <f t="shared" ref="D14:M14" si="0">((D5)*10^9/3600)+D12</f>
        <v>62.085792910958212</v>
      </c>
      <c r="E14" s="21">
        <f t="shared" si="0"/>
        <v>2144.9407074899914</v>
      </c>
      <c r="F14" s="21"/>
      <c r="G14" s="21">
        <f t="shared" si="0"/>
        <v>527936.27133309643</v>
      </c>
      <c r="H14" s="21">
        <f t="shared" si="0"/>
        <v>95488.308266418753</v>
      </c>
      <c r="I14" s="21"/>
      <c r="J14" s="21"/>
      <c r="K14" s="21"/>
      <c r="L14" s="21"/>
      <c r="M14" s="21">
        <f t="shared" si="0"/>
        <v>27903.866428365764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0.21600349105630529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8.5860483872775983</v>
      </c>
      <c r="C18" s="23"/>
      <c r="D18" s="23">
        <f t="shared" ref="D18:M18" si="1">D14*D16</f>
        <v>12.541330168013559</v>
      </c>
      <c r="E18" s="23">
        <f t="shared" si="1"/>
        <v>486.90154060022803</v>
      </c>
      <c r="F18" s="23"/>
      <c r="G18" s="23">
        <f t="shared" si="1"/>
        <v>140958.98444593675</v>
      </c>
      <c r="H18" s="23">
        <f t="shared" si="1"/>
        <v>23776.588758338268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3.9607203092517425E-2</v>
      </c>
      <c r="H50" s="323">
        <f t="shared" si="2"/>
        <v>0</v>
      </c>
      <c r="I50" s="323">
        <f t="shared" si="2"/>
        <v>0</v>
      </c>
      <c r="J50" s="323">
        <f t="shared" si="2"/>
        <v>0</v>
      </c>
      <c r="K50" s="323">
        <f t="shared" si="2"/>
        <v>0</v>
      </c>
      <c r="L50" s="323">
        <f t="shared" si="2"/>
        <v>0</v>
      </c>
      <c r="M50" s="323">
        <f t="shared" si="2"/>
        <v>1.7614291974309959E-3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3.9607203092517425E-2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1.7614291974309959E-3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11002.00085903262</v>
      </c>
      <c r="H54" s="21">
        <f t="shared" si="3"/>
        <v>0</v>
      </c>
      <c r="I54" s="21">
        <f t="shared" si="3"/>
        <v>0</v>
      </c>
      <c r="J54" s="21">
        <f t="shared" si="3"/>
        <v>0</v>
      </c>
      <c r="K54" s="21">
        <f t="shared" si="3"/>
        <v>0</v>
      </c>
      <c r="L54" s="21">
        <f t="shared" si="3"/>
        <v>0</v>
      </c>
      <c r="M54" s="21">
        <f t="shared" si="3"/>
        <v>489.28588817527668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0.21600349105630529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2937.5342293617095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377.58295964125563</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11772.452255726412</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12154.535215367667</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12025</v>
      </c>
      <c r="C27" s="839">
        <v>2800</v>
      </c>
      <c r="D27" s="658" t="s">
        <v>840</v>
      </c>
      <c r="E27" s="657" t="s">
        <v>841</v>
      </c>
      <c r="F27" s="657" t="s">
        <v>842</v>
      </c>
      <c r="G27" s="657" t="s">
        <v>843</v>
      </c>
      <c r="H27" s="657" t="s">
        <v>843</v>
      </c>
      <c r="I27" s="657" t="s">
        <v>841</v>
      </c>
      <c r="J27" s="838">
        <v>41201</v>
      </c>
      <c r="K27" s="838">
        <v>41214</v>
      </c>
      <c r="L27" s="657" t="s">
        <v>844</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213292.74306947456</v>
      </c>
      <c r="D10" s="704">
        <f ca="1">tertiair!C16</f>
        <v>0</v>
      </c>
      <c r="E10" s="704">
        <f ca="1">tertiair!D16</f>
        <v>243009.75939423556</v>
      </c>
      <c r="F10" s="704">
        <f>tertiair!E16</f>
        <v>2034.1227777089944</v>
      </c>
      <c r="G10" s="704">
        <f ca="1">tertiair!F16</f>
        <v>39122.045793986268</v>
      </c>
      <c r="H10" s="704">
        <f>tertiair!G16</f>
        <v>0</v>
      </c>
      <c r="I10" s="704">
        <f>tertiair!H16</f>
        <v>0</v>
      </c>
      <c r="J10" s="704">
        <f>tertiair!I16</f>
        <v>0</v>
      </c>
      <c r="K10" s="704">
        <f>tertiair!J16</f>
        <v>0</v>
      </c>
      <c r="L10" s="704">
        <f>tertiair!K16</f>
        <v>0</v>
      </c>
      <c r="M10" s="704">
        <f ca="1">tertiair!L16</f>
        <v>0</v>
      </c>
      <c r="N10" s="704">
        <f>tertiair!M16</f>
        <v>0</v>
      </c>
      <c r="O10" s="704">
        <f ca="1">tertiair!N16</f>
        <v>13199.980393335982</v>
      </c>
      <c r="P10" s="704">
        <f>tertiair!O16</f>
        <v>3.1266666666666669</v>
      </c>
      <c r="Q10" s="705">
        <f>tertiair!P16</f>
        <v>152.53333333333333</v>
      </c>
      <c r="R10" s="707">
        <f ca="1">SUM(C10:Q10)</f>
        <v>510814.31142874132</v>
      </c>
      <c r="S10" s="67"/>
    </row>
    <row r="11" spans="1:19" s="459" customFormat="1">
      <c r="A11" s="858" t="s">
        <v>225</v>
      </c>
      <c r="B11" s="863"/>
      <c r="C11" s="704">
        <f>huishoudens!B8</f>
        <v>117315.05017502654</v>
      </c>
      <c r="D11" s="704">
        <f>huishoudens!C8</f>
        <v>0</v>
      </c>
      <c r="E11" s="704">
        <f>huishoudens!D8</f>
        <v>424718.66344241321</v>
      </c>
      <c r="F11" s="704">
        <f>huishoudens!E8</f>
        <v>7531.5133976350089</v>
      </c>
      <c r="G11" s="704">
        <f>huishoudens!F8</f>
        <v>0</v>
      </c>
      <c r="H11" s="704">
        <f>huishoudens!G8</f>
        <v>0</v>
      </c>
      <c r="I11" s="704">
        <f>huishoudens!H8</f>
        <v>0</v>
      </c>
      <c r="J11" s="704">
        <f>huishoudens!I8</f>
        <v>0</v>
      </c>
      <c r="K11" s="704">
        <f>huishoudens!J8</f>
        <v>1509.3420657674264</v>
      </c>
      <c r="L11" s="704">
        <f>huishoudens!K8</f>
        <v>0</v>
      </c>
      <c r="M11" s="704">
        <f>huishoudens!L8</f>
        <v>0</v>
      </c>
      <c r="N11" s="704">
        <f>huishoudens!M8</f>
        <v>0</v>
      </c>
      <c r="O11" s="704">
        <f>huishoudens!N8</f>
        <v>39156.219059863754</v>
      </c>
      <c r="P11" s="704">
        <f>huishoudens!O8</f>
        <v>364.25666666666666</v>
      </c>
      <c r="Q11" s="705">
        <f>huishoudens!P8</f>
        <v>1124.9333333333334</v>
      </c>
      <c r="R11" s="707">
        <f>SUM(C11:Q11)</f>
        <v>591719.97814070585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205682.36515352674</v>
      </c>
      <c r="D13" s="704">
        <f>industrie!C18</f>
        <v>0</v>
      </c>
      <c r="E13" s="704">
        <f>industrie!D18</f>
        <v>288834.6238207767</v>
      </c>
      <c r="F13" s="704">
        <f>industrie!E18</f>
        <v>12370.881779504702</v>
      </c>
      <c r="G13" s="704">
        <f>industrie!F18</f>
        <v>55725.049457993431</v>
      </c>
      <c r="H13" s="704">
        <f>industrie!G18</f>
        <v>0</v>
      </c>
      <c r="I13" s="704">
        <f>industrie!H18</f>
        <v>0</v>
      </c>
      <c r="J13" s="704">
        <f>industrie!I18</f>
        <v>0</v>
      </c>
      <c r="K13" s="704">
        <f>industrie!J18</f>
        <v>400.76335239316569</v>
      </c>
      <c r="L13" s="704">
        <f>industrie!K18</f>
        <v>0</v>
      </c>
      <c r="M13" s="704">
        <f>industrie!L18</f>
        <v>0</v>
      </c>
      <c r="N13" s="704">
        <f>industrie!M18</f>
        <v>0</v>
      </c>
      <c r="O13" s="704">
        <f>industrie!N18</f>
        <v>45871.883515012261</v>
      </c>
      <c r="P13" s="704">
        <f>industrie!O18</f>
        <v>0</v>
      </c>
      <c r="Q13" s="705">
        <f>industrie!P18</f>
        <v>0</v>
      </c>
      <c r="R13" s="707">
        <f>SUM(C13:Q13)</f>
        <v>608885.56707920705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536290.15839802788</v>
      </c>
      <c r="D15" s="709">
        <f t="shared" ref="D15:Q15" ca="1" si="0">SUM(D9:D14)</f>
        <v>0</v>
      </c>
      <c r="E15" s="709">
        <f t="shared" ca="1" si="0"/>
        <v>956563.04665742547</v>
      </c>
      <c r="F15" s="709">
        <f t="shared" si="0"/>
        <v>21936.517954848707</v>
      </c>
      <c r="G15" s="709">
        <f t="shared" ca="1" si="0"/>
        <v>94847.095251979699</v>
      </c>
      <c r="H15" s="709">
        <f t="shared" si="0"/>
        <v>0</v>
      </c>
      <c r="I15" s="709">
        <f t="shared" si="0"/>
        <v>0</v>
      </c>
      <c r="J15" s="709">
        <f t="shared" si="0"/>
        <v>0</v>
      </c>
      <c r="K15" s="709">
        <f t="shared" si="0"/>
        <v>1910.1054181605921</v>
      </c>
      <c r="L15" s="709">
        <f t="shared" si="0"/>
        <v>0</v>
      </c>
      <c r="M15" s="709">
        <f t="shared" ca="1" si="0"/>
        <v>0</v>
      </c>
      <c r="N15" s="709">
        <f t="shared" si="0"/>
        <v>0</v>
      </c>
      <c r="O15" s="709">
        <f t="shared" ca="1" si="0"/>
        <v>98228.082968211995</v>
      </c>
      <c r="P15" s="709">
        <f t="shared" si="0"/>
        <v>367.38333333333333</v>
      </c>
      <c r="Q15" s="710">
        <f t="shared" si="0"/>
        <v>1277.4666666666667</v>
      </c>
      <c r="R15" s="711">
        <f ca="1">SUM(R9:R14)</f>
        <v>1711419.8566486542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11002.00085903262</v>
      </c>
      <c r="I18" s="704">
        <f>transport!H54</f>
        <v>0</v>
      </c>
      <c r="J18" s="704">
        <f>transport!I54</f>
        <v>0</v>
      </c>
      <c r="K18" s="704">
        <f>transport!J54</f>
        <v>0</v>
      </c>
      <c r="L18" s="704">
        <f>transport!K54</f>
        <v>0</v>
      </c>
      <c r="M18" s="704">
        <f>transport!L54</f>
        <v>0</v>
      </c>
      <c r="N18" s="704">
        <f>transport!M54</f>
        <v>489.28588817527668</v>
      </c>
      <c r="O18" s="704">
        <f>transport!N54</f>
        <v>0</v>
      </c>
      <c r="P18" s="704">
        <f>transport!O54</f>
        <v>0</v>
      </c>
      <c r="Q18" s="705">
        <f>transport!P54</f>
        <v>0</v>
      </c>
      <c r="R18" s="707">
        <f>SUM(C18:Q18)</f>
        <v>11491.286747207896</v>
      </c>
      <c r="S18" s="67"/>
    </row>
    <row r="19" spans="1:19" s="459" customFormat="1" ht="15" thickBot="1">
      <c r="A19" s="858" t="s">
        <v>307</v>
      </c>
      <c r="B19" s="863"/>
      <c r="C19" s="713">
        <f>transport!B14</f>
        <v>39.749581570602885</v>
      </c>
      <c r="D19" s="713">
        <f>transport!C14</f>
        <v>0</v>
      </c>
      <c r="E19" s="713">
        <f>transport!D14</f>
        <v>62.085792910958212</v>
      </c>
      <c r="F19" s="713">
        <f>transport!E14</f>
        <v>2144.9407074899914</v>
      </c>
      <c r="G19" s="713">
        <f>transport!F14</f>
        <v>0</v>
      </c>
      <c r="H19" s="713">
        <f>transport!G14</f>
        <v>527936.27133309643</v>
      </c>
      <c r="I19" s="713">
        <f>transport!H14</f>
        <v>95488.308266418753</v>
      </c>
      <c r="J19" s="713">
        <f>transport!I14</f>
        <v>0</v>
      </c>
      <c r="K19" s="713">
        <f>transport!J14</f>
        <v>0</v>
      </c>
      <c r="L19" s="713">
        <f>transport!K14</f>
        <v>0</v>
      </c>
      <c r="M19" s="713">
        <f>transport!L14</f>
        <v>0</v>
      </c>
      <c r="N19" s="713">
        <f>transport!M14</f>
        <v>27903.866428365764</v>
      </c>
      <c r="O19" s="713">
        <f>transport!N14</f>
        <v>0</v>
      </c>
      <c r="P19" s="713">
        <f>transport!O14</f>
        <v>0</v>
      </c>
      <c r="Q19" s="714">
        <f>transport!P14</f>
        <v>0</v>
      </c>
      <c r="R19" s="715">
        <f>SUM(C19:Q19)</f>
        <v>653575.22210985259</v>
      </c>
      <c r="S19" s="67"/>
    </row>
    <row r="20" spans="1:19" s="459" customFormat="1" ht="15.75" thickBot="1">
      <c r="A20" s="716" t="s">
        <v>230</v>
      </c>
      <c r="B20" s="866"/>
      <c r="C20" s="861">
        <f>SUM(C17:C19)</f>
        <v>39.749581570602885</v>
      </c>
      <c r="D20" s="717">
        <f t="shared" ref="D20:R20" si="1">SUM(D17:D19)</f>
        <v>0</v>
      </c>
      <c r="E20" s="717">
        <f t="shared" si="1"/>
        <v>62.085792910958212</v>
      </c>
      <c r="F20" s="717">
        <f t="shared" si="1"/>
        <v>2144.9407074899914</v>
      </c>
      <c r="G20" s="717">
        <f t="shared" si="1"/>
        <v>0</v>
      </c>
      <c r="H20" s="717">
        <f t="shared" si="1"/>
        <v>538938.27219212905</v>
      </c>
      <c r="I20" s="717">
        <f t="shared" si="1"/>
        <v>95488.308266418753</v>
      </c>
      <c r="J20" s="717">
        <f t="shared" si="1"/>
        <v>0</v>
      </c>
      <c r="K20" s="717">
        <f t="shared" si="1"/>
        <v>0</v>
      </c>
      <c r="L20" s="717">
        <f t="shared" si="1"/>
        <v>0</v>
      </c>
      <c r="M20" s="717">
        <f t="shared" si="1"/>
        <v>0</v>
      </c>
      <c r="N20" s="717">
        <f t="shared" si="1"/>
        <v>28393.15231654104</v>
      </c>
      <c r="O20" s="717">
        <f t="shared" si="1"/>
        <v>0</v>
      </c>
      <c r="P20" s="717">
        <f t="shared" si="1"/>
        <v>0</v>
      </c>
      <c r="Q20" s="718">
        <f t="shared" si="1"/>
        <v>0</v>
      </c>
      <c r="R20" s="719">
        <f t="shared" si="1"/>
        <v>665066.50885706046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1073.7698392398031</v>
      </c>
      <c r="D22" s="713">
        <f>+landbouw!C8</f>
        <v>22.5</v>
      </c>
      <c r="E22" s="713">
        <f>+landbouw!D8</f>
        <v>29273.79531124905</v>
      </c>
      <c r="F22" s="713">
        <f>+landbouw!E8</f>
        <v>13.530883271227163</v>
      </c>
      <c r="G22" s="713">
        <f>+landbouw!F8</f>
        <v>3704.774940795186</v>
      </c>
      <c r="H22" s="713">
        <f>+landbouw!G8</f>
        <v>0</v>
      </c>
      <c r="I22" s="713">
        <f>+landbouw!H8</f>
        <v>0</v>
      </c>
      <c r="J22" s="713">
        <f>+landbouw!I8</f>
        <v>0</v>
      </c>
      <c r="K22" s="713">
        <f>+landbouw!J8</f>
        <v>161.48277763693028</v>
      </c>
      <c r="L22" s="713">
        <f>+landbouw!K8</f>
        <v>0</v>
      </c>
      <c r="M22" s="713">
        <f>+landbouw!L8</f>
        <v>0</v>
      </c>
      <c r="N22" s="713">
        <f>+landbouw!M8</f>
        <v>0</v>
      </c>
      <c r="O22" s="713">
        <f>+landbouw!N8</f>
        <v>0</v>
      </c>
      <c r="P22" s="713">
        <f>+landbouw!O8</f>
        <v>0</v>
      </c>
      <c r="Q22" s="714">
        <f>+landbouw!P8</f>
        <v>0</v>
      </c>
      <c r="R22" s="715">
        <f>SUM(C22:Q22)</f>
        <v>34249.853752192197</v>
      </c>
      <c r="S22" s="67"/>
    </row>
    <row r="23" spans="1:19" s="459" customFormat="1" ht="17.25" thickTop="1" thickBot="1">
      <c r="A23" s="720" t="s">
        <v>116</v>
      </c>
      <c r="B23" s="852"/>
      <c r="C23" s="721">
        <f ca="1">C20+C15+C22</f>
        <v>537403.67781883827</v>
      </c>
      <c r="D23" s="721">
        <f t="shared" ref="D23:Q23" ca="1" si="2">D20+D15+D22</f>
        <v>22.5</v>
      </c>
      <c r="E23" s="721">
        <f t="shared" ca="1" si="2"/>
        <v>985898.92776158557</v>
      </c>
      <c r="F23" s="721">
        <f t="shared" si="2"/>
        <v>24094.989545609926</v>
      </c>
      <c r="G23" s="721">
        <f t="shared" ca="1" si="2"/>
        <v>98551.870192774892</v>
      </c>
      <c r="H23" s="721">
        <f t="shared" si="2"/>
        <v>538938.27219212905</v>
      </c>
      <c r="I23" s="721">
        <f t="shared" si="2"/>
        <v>95488.308266418753</v>
      </c>
      <c r="J23" s="721">
        <f t="shared" si="2"/>
        <v>0</v>
      </c>
      <c r="K23" s="721">
        <f t="shared" si="2"/>
        <v>2071.5881957975225</v>
      </c>
      <c r="L23" s="721">
        <f t="shared" si="2"/>
        <v>0</v>
      </c>
      <c r="M23" s="721">
        <f t="shared" ca="1" si="2"/>
        <v>0</v>
      </c>
      <c r="N23" s="721">
        <f t="shared" si="2"/>
        <v>28393.15231654104</v>
      </c>
      <c r="O23" s="721">
        <f t="shared" ca="1" si="2"/>
        <v>98228.082968211995</v>
      </c>
      <c r="P23" s="721">
        <f t="shared" si="2"/>
        <v>367.38333333333333</v>
      </c>
      <c r="Q23" s="722">
        <f t="shared" si="2"/>
        <v>1277.4666666666667</v>
      </c>
      <c r="R23" s="723">
        <f ca="1">R20+R15+R22</f>
        <v>2410736.219257907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46071.977119982068</v>
      </c>
      <c r="D36" s="704">
        <f ca="1">tertiair!C20</f>
        <v>0</v>
      </c>
      <c r="E36" s="704">
        <f ca="1">tertiair!D20</f>
        <v>49087.971397635585</v>
      </c>
      <c r="F36" s="704">
        <f>tertiair!E20</f>
        <v>461.74587053994173</v>
      </c>
      <c r="G36" s="704">
        <f ca="1">tertiair!F20</f>
        <v>10445.586226994334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106067.28061515193</v>
      </c>
    </row>
    <row r="37" spans="1:18">
      <c r="A37" s="873" t="s">
        <v>225</v>
      </c>
      <c r="B37" s="880"/>
      <c r="C37" s="704">
        <f ca="1">huishoudens!B12</f>
        <v>25340.460391251352</v>
      </c>
      <c r="D37" s="704">
        <f ca="1">huishoudens!C12</f>
        <v>0</v>
      </c>
      <c r="E37" s="704">
        <f>huishoudens!D12</f>
        <v>85793.170015367476</v>
      </c>
      <c r="F37" s="704">
        <f>huishoudens!E12</f>
        <v>1709.6535412631472</v>
      </c>
      <c r="G37" s="704">
        <f>huishoudens!F12</f>
        <v>0</v>
      </c>
      <c r="H37" s="704">
        <f>huishoudens!G12</f>
        <v>0</v>
      </c>
      <c r="I37" s="704">
        <f>huishoudens!H12</f>
        <v>0</v>
      </c>
      <c r="J37" s="704">
        <f>huishoudens!I12</f>
        <v>0</v>
      </c>
      <c r="K37" s="704">
        <f>huishoudens!J12</f>
        <v>534.30709128166893</v>
      </c>
      <c r="L37" s="704">
        <f>huishoudens!K12</f>
        <v>0</v>
      </c>
      <c r="M37" s="704">
        <f>huishoudens!L12</f>
        <v>0</v>
      </c>
      <c r="N37" s="704">
        <f>huishoudens!M12</f>
        <v>0</v>
      </c>
      <c r="O37" s="704">
        <f>huishoudens!N12</f>
        <v>0</v>
      </c>
      <c r="P37" s="704">
        <f>huishoudens!O12</f>
        <v>0</v>
      </c>
      <c r="Q37" s="814">
        <f>huishoudens!P12</f>
        <v>0</v>
      </c>
      <c r="R37" s="905">
        <f ca="1">SUM(C37:Q37)</f>
        <v>113377.59103916364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44428.108921879531</v>
      </c>
      <c r="D39" s="704">
        <f ca="1">industrie!C22</f>
        <v>0</v>
      </c>
      <c r="E39" s="704">
        <f>industrie!D22</f>
        <v>58344.5940117969</v>
      </c>
      <c r="F39" s="704">
        <f>industrie!E22</f>
        <v>2808.1901639475673</v>
      </c>
      <c r="G39" s="704">
        <f>industrie!F22</f>
        <v>14878.588205284246</v>
      </c>
      <c r="H39" s="704">
        <f>industrie!G22</f>
        <v>0</v>
      </c>
      <c r="I39" s="704">
        <f>industrie!H22</f>
        <v>0</v>
      </c>
      <c r="J39" s="704">
        <f>industrie!I22</f>
        <v>0</v>
      </c>
      <c r="K39" s="704">
        <f>industrie!J22</f>
        <v>141.87022674718065</v>
      </c>
      <c r="L39" s="704">
        <f>industrie!K22</f>
        <v>0</v>
      </c>
      <c r="M39" s="704">
        <f>industrie!L22</f>
        <v>0</v>
      </c>
      <c r="N39" s="704">
        <f>industrie!M22</f>
        <v>0</v>
      </c>
      <c r="O39" s="704">
        <f>industrie!N22</f>
        <v>0</v>
      </c>
      <c r="P39" s="704">
        <f>industrie!O22</f>
        <v>0</v>
      </c>
      <c r="Q39" s="814">
        <f>industrie!P22</f>
        <v>0</v>
      </c>
      <c r="R39" s="906">
        <f ca="1">SUM(C39:Q39)</f>
        <v>120601.35152965543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115840.54643311296</v>
      </c>
      <c r="D41" s="749">
        <f t="shared" ref="D41:R41" ca="1" si="4">SUM(D35:D40)</f>
        <v>0</v>
      </c>
      <c r="E41" s="749">
        <f t="shared" ca="1" si="4"/>
        <v>193225.73542479996</v>
      </c>
      <c r="F41" s="749">
        <f t="shared" si="4"/>
        <v>4979.589575750656</v>
      </c>
      <c r="G41" s="749">
        <f t="shared" ca="1" si="4"/>
        <v>25324.174432278582</v>
      </c>
      <c r="H41" s="749">
        <f t="shared" si="4"/>
        <v>0</v>
      </c>
      <c r="I41" s="749">
        <f t="shared" si="4"/>
        <v>0</v>
      </c>
      <c r="J41" s="749">
        <f t="shared" si="4"/>
        <v>0</v>
      </c>
      <c r="K41" s="749">
        <f t="shared" si="4"/>
        <v>676.17731802884964</v>
      </c>
      <c r="L41" s="749">
        <f t="shared" si="4"/>
        <v>0</v>
      </c>
      <c r="M41" s="749">
        <f t="shared" ca="1" si="4"/>
        <v>0</v>
      </c>
      <c r="N41" s="749">
        <f t="shared" si="4"/>
        <v>0</v>
      </c>
      <c r="O41" s="749">
        <f t="shared" ca="1" si="4"/>
        <v>0</v>
      </c>
      <c r="P41" s="749">
        <f t="shared" si="4"/>
        <v>0</v>
      </c>
      <c r="Q41" s="750">
        <f t="shared" si="4"/>
        <v>0</v>
      </c>
      <c r="R41" s="751">
        <f t="shared" ca="1" si="4"/>
        <v>340046.22318397101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2937.5342293617095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2937.5342293617095</v>
      </c>
    </row>
    <row r="45" spans="1:18" ht="15" thickBot="1">
      <c r="A45" s="876" t="s">
        <v>307</v>
      </c>
      <c r="B45" s="886"/>
      <c r="C45" s="713">
        <f ca="1">transport!B18</f>
        <v>8.5860483872775983</v>
      </c>
      <c r="D45" s="713">
        <f>transport!C18</f>
        <v>0</v>
      </c>
      <c r="E45" s="713">
        <f>transport!D18</f>
        <v>12.541330168013559</v>
      </c>
      <c r="F45" s="713">
        <f>transport!E18</f>
        <v>486.90154060022803</v>
      </c>
      <c r="G45" s="713">
        <f>transport!F18</f>
        <v>0</v>
      </c>
      <c r="H45" s="713">
        <f>transport!G18</f>
        <v>140958.98444593675</v>
      </c>
      <c r="I45" s="713">
        <f>transport!H18</f>
        <v>23776.588758338268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165243.60212343052</v>
      </c>
    </row>
    <row r="46" spans="1:18" ht="15.75" thickBot="1">
      <c r="A46" s="874" t="s">
        <v>230</v>
      </c>
      <c r="B46" s="887"/>
      <c r="C46" s="749">
        <f t="shared" ref="C46:R46" ca="1" si="5">SUM(C43:C45)</f>
        <v>8.5860483872775983</v>
      </c>
      <c r="D46" s="749">
        <f t="shared" ca="1" si="5"/>
        <v>0</v>
      </c>
      <c r="E46" s="749">
        <f t="shared" si="5"/>
        <v>12.541330168013559</v>
      </c>
      <c r="F46" s="749">
        <f t="shared" si="5"/>
        <v>486.90154060022803</v>
      </c>
      <c r="G46" s="749">
        <f t="shared" si="5"/>
        <v>0</v>
      </c>
      <c r="H46" s="749">
        <f t="shared" si="5"/>
        <v>143896.51867529846</v>
      </c>
      <c r="I46" s="749">
        <f t="shared" si="5"/>
        <v>23776.588758338268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168181.13635279224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231.93803386676518</v>
      </c>
      <c r="D48" s="704">
        <f ca="1">+landbouw!C12</f>
        <v>5.0500000000000007</v>
      </c>
      <c r="E48" s="704">
        <f>+landbouw!D12</f>
        <v>5913.3066528723084</v>
      </c>
      <c r="F48" s="704">
        <f>+landbouw!E12</f>
        <v>3.0715105025685658</v>
      </c>
      <c r="G48" s="704">
        <f>+landbouw!F12</f>
        <v>989.17490919231477</v>
      </c>
      <c r="H48" s="704">
        <f>+landbouw!G12</f>
        <v>0</v>
      </c>
      <c r="I48" s="704">
        <f>+landbouw!H12</f>
        <v>0</v>
      </c>
      <c r="J48" s="704">
        <f>+landbouw!I12</f>
        <v>0</v>
      </c>
      <c r="K48" s="704">
        <f>+landbouw!J12</f>
        <v>57.164903283473315</v>
      </c>
      <c r="L48" s="704">
        <f>+landbouw!K12</f>
        <v>0</v>
      </c>
      <c r="M48" s="704">
        <f>+landbouw!L12</f>
        <v>0</v>
      </c>
      <c r="N48" s="704">
        <f>+landbouw!M12</f>
        <v>0</v>
      </c>
      <c r="O48" s="704">
        <f>+landbouw!N12</f>
        <v>0</v>
      </c>
      <c r="P48" s="704">
        <f>+landbouw!O12</f>
        <v>0</v>
      </c>
      <c r="Q48" s="705">
        <f>+landbouw!P12</f>
        <v>0</v>
      </c>
      <c r="R48" s="747">
        <f ca="1">SUM(C48:Q48)</f>
        <v>7199.7060097174299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116081.07051536701</v>
      </c>
      <c r="D53" s="759">
        <f t="shared" ref="D53:Q53" ca="1" si="6">D41+D46+D48</f>
        <v>5.0500000000000007</v>
      </c>
      <c r="E53" s="759">
        <f t="shared" ca="1" si="6"/>
        <v>199151.58340784028</v>
      </c>
      <c r="F53" s="759">
        <f t="shared" si="6"/>
        <v>5469.5626268534525</v>
      </c>
      <c r="G53" s="759">
        <f t="shared" ca="1" si="6"/>
        <v>26313.349341470897</v>
      </c>
      <c r="H53" s="759">
        <f t="shared" si="6"/>
        <v>143896.51867529846</v>
      </c>
      <c r="I53" s="759">
        <f t="shared" si="6"/>
        <v>23776.588758338268</v>
      </c>
      <c r="J53" s="759">
        <f t="shared" si="6"/>
        <v>0</v>
      </c>
      <c r="K53" s="759">
        <f t="shared" si="6"/>
        <v>733.34222131232298</v>
      </c>
      <c r="L53" s="759">
        <f t="shared" si="6"/>
        <v>0</v>
      </c>
      <c r="M53" s="759">
        <f t="shared" ca="1" si="6"/>
        <v>0</v>
      </c>
      <c r="N53" s="759">
        <f t="shared" si="6"/>
        <v>0</v>
      </c>
      <c r="O53" s="759">
        <f t="shared" ca="1" si="6"/>
        <v>0</v>
      </c>
      <c r="P53" s="759">
        <f>P41+P46+P48</f>
        <v>0</v>
      </c>
      <c r="Q53" s="760">
        <f t="shared" si="6"/>
        <v>0</v>
      </c>
      <c r="R53" s="761">
        <f ca="1">R41+R46+R48</f>
        <v>515427.06554648071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0.21600349105630531</v>
      </c>
      <c r="D55" s="824">
        <f t="shared" ca="1" si="7"/>
        <v>0.22444444444444447</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377.58295964125563</v>
      </c>
      <c r="C65" s="781">
        <f>'lokale energieproductie'!B5</f>
        <v>377.58295964125563</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11772.452255726412</v>
      </c>
      <c r="C66" s="781">
        <f>'lokale energieproductie'!B6</f>
        <v>11772.452255726412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12154.535215367667</v>
      </c>
      <c r="C69" s="789">
        <f>SUM(C64:C68)</f>
        <v>12150.035215367667</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117315.05017502654</v>
      </c>
      <c r="C4" s="463">
        <f>huishoudens!C8</f>
        <v>0</v>
      </c>
      <c r="D4" s="463">
        <f>huishoudens!D8</f>
        <v>424718.66344241321</v>
      </c>
      <c r="E4" s="463">
        <f>huishoudens!E8</f>
        <v>7531.5133976350089</v>
      </c>
      <c r="F4" s="463">
        <f>huishoudens!F8</f>
        <v>0</v>
      </c>
      <c r="G4" s="463">
        <f>huishoudens!G8</f>
        <v>0</v>
      </c>
      <c r="H4" s="463">
        <f>huishoudens!H8</f>
        <v>0</v>
      </c>
      <c r="I4" s="463">
        <f>huishoudens!I8</f>
        <v>0</v>
      </c>
      <c r="J4" s="463">
        <f>huishoudens!J8</f>
        <v>1509.3420657674264</v>
      </c>
      <c r="K4" s="463">
        <f>huishoudens!K8</f>
        <v>0</v>
      </c>
      <c r="L4" s="463">
        <f>huishoudens!L8</f>
        <v>0</v>
      </c>
      <c r="M4" s="463">
        <f>huishoudens!M8</f>
        <v>0</v>
      </c>
      <c r="N4" s="463">
        <f>huishoudens!N8</f>
        <v>39156.219059863754</v>
      </c>
      <c r="O4" s="463">
        <f>huishoudens!O8</f>
        <v>364.25666666666666</v>
      </c>
      <c r="P4" s="464">
        <f>huishoudens!P8</f>
        <v>1124.9333333333334</v>
      </c>
      <c r="Q4" s="465">
        <f>SUM(B4:P4)</f>
        <v>591719.97814070585</v>
      </c>
    </row>
    <row r="5" spans="1:17">
      <c r="A5" s="462" t="s">
        <v>156</v>
      </c>
      <c r="B5" s="463">
        <f ca="1">tertiair!B16</f>
        <v>208983.72806947454</v>
      </c>
      <c r="C5" s="463">
        <f ca="1">tertiair!C16</f>
        <v>0</v>
      </c>
      <c r="D5" s="463">
        <f ca="1">tertiair!D16</f>
        <v>243009.75939423556</v>
      </c>
      <c r="E5" s="463">
        <f>tertiair!E16</f>
        <v>2034.1227777089944</v>
      </c>
      <c r="F5" s="463">
        <f ca="1">tertiair!F16</f>
        <v>39122.045793986268</v>
      </c>
      <c r="G5" s="463">
        <f>tertiair!G16</f>
        <v>0</v>
      </c>
      <c r="H5" s="463">
        <f>tertiair!H16</f>
        <v>0</v>
      </c>
      <c r="I5" s="463">
        <f>tertiair!I16</f>
        <v>0</v>
      </c>
      <c r="J5" s="463">
        <f>tertiair!J16</f>
        <v>0</v>
      </c>
      <c r="K5" s="463">
        <f>tertiair!K16</f>
        <v>0</v>
      </c>
      <c r="L5" s="463">
        <f ca="1">tertiair!L16</f>
        <v>0</v>
      </c>
      <c r="M5" s="463">
        <f>tertiair!M16</f>
        <v>0</v>
      </c>
      <c r="N5" s="463">
        <f ca="1">tertiair!N16</f>
        <v>13199.980393335982</v>
      </c>
      <c r="O5" s="463">
        <f>tertiair!O16</f>
        <v>3.1266666666666669</v>
      </c>
      <c r="P5" s="464">
        <f>tertiair!P16</f>
        <v>152.53333333333333</v>
      </c>
      <c r="Q5" s="462">
        <f t="shared" ref="Q5:Q13" ca="1" si="0">SUM(B5:P5)</f>
        <v>506505.29642874131</v>
      </c>
    </row>
    <row r="6" spans="1:17">
      <c r="A6" s="462" t="s">
        <v>194</v>
      </c>
      <c r="B6" s="463">
        <f>'openbare verlichting'!B8</f>
        <v>4309.0150000000003</v>
      </c>
      <c r="C6" s="463"/>
      <c r="D6" s="463"/>
      <c r="E6" s="463"/>
      <c r="F6" s="463"/>
      <c r="G6" s="463"/>
      <c r="H6" s="463"/>
      <c r="I6" s="463"/>
      <c r="J6" s="463"/>
      <c r="K6" s="463"/>
      <c r="L6" s="463"/>
      <c r="M6" s="463"/>
      <c r="N6" s="463"/>
      <c r="O6" s="463"/>
      <c r="P6" s="464"/>
      <c r="Q6" s="462">
        <f t="shared" si="0"/>
        <v>4309.0150000000003</v>
      </c>
    </row>
    <row r="7" spans="1:17">
      <c r="A7" s="462" t="s">
        <v>112</v>
      </c>
      <c r="B7" s="463">
        <f>landbouw!B8</f>
        <v>1073.7698392398031</v>
      </c>
      <c r="C7" s="463">
        <f>landbouw!C8</f>
        <v>22.5</v>
      </c>
      <c r="D7" s="463">
        <f>landbouw!D8</f>
        <v>29273.79531124905</v>
      </c>
      <c r="E7" s="463">
        <f>landbouw!E8</f>
        <v>13.530883271227163</v>
      </c>
      <c r="F7" s="463">
        <f>landbouw!F8</f>
        <v>3704.774940795186</v>
      </c>
      <c r="G7" s="463">
        <f>landbouw!G8</f>
        <v>0</v>
      </c>
      <c r="H7" s="463">
        <f>landbouw!H8</f>
        <v>0</v>
      </c>
      <c r="I7" s="463">
        <f>landbouw!I8</f>
        <v>0</v>
      </c>
      <c r="J7" s="463">
        <f>landbouw!J8</f>
        <v>161.48277763693028</v>
      </c>
      <c r="K7" s="463">
        <f>landbouw!K8</f>
        <v>0</v>
      </c>
      <c r="L7" s="463">
        <f>landbouw!L8</f>
        <v>0</v>
      </c>
      <c r="M7" s="463">
        <f>landbouw!M8</f>
        <v>0</v>
      </c>
      <c r="N7" s="463">
        <f>landbouw!N8</f>
        <v>0</v>
      </c>
      <c r="O7" s="463">
        <f>landbouw!O8</f>
        <v>0</v>
      </c>
      <c r="P7" s="464">
        <f>landbouw!P8</f>
        <v>0</v>
      </c>
      <c r="Q7" s="462">
        <f t="shared" si="0"/>
        <v>34249.853752192197</v>
      </c>
    </row>
    <row r="8" spans="1:17">
      <c r="A8" s="462" t="s">
        <v>657</v>
      </c>
      <c r="B8" s="463">
        <f>industrie!B18</f>
        <v>205682.36515352674</v>
      </c>
      <c r="C8" s="463">
        <f>industrie!C18</f>
        <v>0</v>
      </c>
      <c r="D8" s="463">
        <f>industrie!D18</f>
        <v>288834.6238207767</v>
      </c>
      <c r="E8" s="463">
        <f>industrie!E18</f>
        <v>12370.881779504702</v>
      </c>
      <c r="F8" s="463">
        <f>industrie!F18</f>
        <v>55725.049457993431</v>
      </c>
      <c r="G8" s="463">
        <f>industrie!G18</f>
        <v>0</v>
      </c>
      <c r="H8" s="463">
        <f>industrie!H18</f>
        <v>0</v>
      </c>
      <c r="I8" s="463">
        <f>industrie!I18</f>
        <v>0</v>
      </c>
      <c r="J8" s="463">
        <f>industrie!J18</f>
        <v>400.76335239316569</v>
      </c>
      <c r="K8" s="463">
        <f>industrie!K18</f>
        <v>0</v>
      </c>
      <c r="L8" s="463">
        <f>industrie!L18</f>
        <v>0</v>
      </c>
      <c r="M8" s="463">
        <f>industrie!M18</f>
        <v>0</v>
      </c>
      <c r="N8" s="463">
        <f>industrie!N18</f>
        <v>45871.883515012261</v>
      </c>
      <c r="O8" s="463">
        <f>industrie!O18</f>
        <v>0</v>
      </c>
      <c r="P8" s="464">
        <f>industrie!P18</f>
        <v>0</v>
      </c>
      <c r="Q8" s="462">
        <f t="shared" si="0"/>
        <v>608885.56707920705</v>
      </c>
    </row>
    <row r="9" spans="1:17" s="468" customFormat="1">
      <c r="A9" s="466" t="s">
        <v>574</v>
      </c>
      <c r="B9" s="467">
        <f>transport!B14</f>
        <v>39.749581570602885</v>
      </c>
      <c r="C9" s="467">
        <f>transport!C14</f>
        <v>0</v>
      </c>
      <c r="D9" s="467">
        <f>transport!D14</f>
        <v>62.085792910958212</v>
      </c>
      <c r="E9" s="467">
        <f>transport!E14</f>
        <v>2144.9407074899914</v>
      </c>
      <c r="F9" s="467">
        <f>transport!F14</f>
        <v>0</v>
      </c>
      <c r="G9" s="467">
        <f>transport!G14</f>
        <v>527936.27133309643</v>
      </c>
      <c r="H9" s="467">
        <f>transport!H14</f>
        <v>95488.308266418753</v>
      </c>
      <c r="I9" s="467">
        <f>transport!I14</f>
        <v>0</v>
      </c>
      <c r="J9" s="467">
        <f>transport!J14</f>
        <v>0</v>
      </c>
      <c r="K9" s="467">
        <f>transport!K14</f>
        <v>0</v>
      </c>
      <c r="L9" s="467">
        <f>transport!L14</f>
        <v>0</v>
      </c>
      <c r="M9" s="467">
        <f>transport!M14</f>
        <v>27903.866428365764</v>
      </c>
      <c r="N9" s="467">
        <f>transport!N14</f>
        <v>0</v>
      </c>
      <c r="O9" s="467">
        <f>transport!O14</f>
        <v>0</v>
      </c>
      <c r="P9" s="467">
        <f>transport!P14</f>
        <v>0</v>
      </c>
      <c r="Q9" s="466">
        <f>SUM(B9:P9)</f>
        <v>653575.22210985259</v>
      </c>
    </row>
    <row r="10" spans="1:17">
      <c r="A10" s="462" t="s">
        <v>564</v>
      </c>
      <c r="B10" s="463">
        <f>transport!B54</f>
        <v>0</v>
      </c>
      <c r="C10" s="463">
        <f>transport!C54</f>
        <v>0</v>
      </c>
      <c r="D10" s="463">
        <f>transport!D54</f>
        <v>0</v>
      </c>
      <c r="E10" s="463">
        <f>transport!E54</f>
        <v>0</v>
      </c>
      <c r="F10" s="463">
        <f>transport!F54</f>
        <v>0</v>
      </c>
      <c r="G10" s="463">
        <f>transport!G54</f>
        <v>11002.00085903262</v>
      </c>
      <c r="H10" s="463">
        <f>transport!H54</f>
        <v>0</v>
      </c>
      <c r="I10" s="463">
        <f>transport!I54</f>
        <v>0</v>
      </c>
      <c r="J10" s="463">
        <f>transport!J54</f>
        <v>0</v>
      </c>
      <c r="K10" s="463">
        <f>transport!K54</f>
        <v>0</v>
      </c>
      <c r="L10" s="463">
        <f>transport!L54</f>
        <v>0</v>
      </c>
      <c r="M10" s="463">
        <f>transport!M54</f>
        <v>489.28588817527668</v>
      </c>
      <c r="N10" s="463">
        <f>transport!N54</f>
        <v>0</v>
      </c>
      <c r="O10" s="463">
        <f>transport!O54</f>
        <v>0</v>
      </c>
      <c r="P10" s="464">
        <f>transport!P54</f>
        <v>0</v>
      </c>
      <c r="Q10" s="462">
        <f t="shared" si="0"/>
        <v>11491.286747207896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537403.67781883827</v>
      </c>
      <c r="C14" s="473">
        <f t="shared" ref="C14:Q14" ca="1" si="1">SUM(C4:C13)</f>
        <v>22.5</v>
      </c>
      <c r="D14" s="473">
        <f t="shared" ca="1" si="1"/>
        <v>985898.92776158557</v>
      </c>
      <c r="E14" s="473">
        <f t="shared" si="1"/>
        <v>24094.989545609922</v>
      </c>
      <c r="F14" s="473">
        <f t="shared" ca="1" si="1"/>
        <v>98551.870192774892</v>
      </c>
      <c r="G14" s="473">
        <f t="shared" si="1"/>
        <v>538938.27219212905</v>
      </c>
      <c r="H14" s="473">
        <f t="shared" si="1"/>
        <v>95488.308266418753</v>
      </c>
      <c r="I14" s="473">
        <f t="shared" si="1"/>
        <v>0</v>
      </c>
      <c r="J14" s="473">
        <f t="shared" si="1"/>
        <v>2071.5881957975225</v>
      </c>
      <c r="K14" s="473">
        <f t="shared" si="1"/>
        <v>0</v>
      </c>
      <c r="L14" s="473">
        <f t="shared" ca="1" si="1"/>
        <v>0</v>
      </c>
      <c r="M14" s="473">
        <f t="shared" si="1"/>
        <v>28393.15231654104</v>
      </c>
      <c r="N14" s="473">
        <f t="shared" ca="1" si="1"/>
        <v>98228.082968211995</v>
      </c>
      <c r="O14" s="473">
        <f t="shared" si="1"/>
        <v>367.38333333333333</v>
      </c>
      <c r="P14" s="474">
        <f t="shared" si="1"/>
        <v>1277.4666666666667</v>
      </c>
      <c r="Q14" s="474">
        <f t="shared" ca="1" si="1"/>
        <v>2410736.219257907</v>
      </c>
    </row>
    <row r="16" spans="1:17">
      <c r="A16" s="476" t="s">
        <v>569</v>
      </c>
      <c r="B16" s="829">
        <f ca="1">huishoudens!B10</f>
        <v>0.21600349105630529</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25340.460391251352</v>
      </c>
      <c r="C21" s="463">
        <f t="shared" ref="C21:C30" ca="1" si="3">C4*$C$16</f>
        <v>0</v>
      </c>
      <c r="D21" s="463">
        <f t="shared" ref="D21:D30" si="4">D4*$D$16</f>
        <v>85793.170015367476</v>
      </c>
      <c r="E21" s="463">
        <f t="shared" ref="E21:E30" si="5">E4*$E$16</f>
        <v>1709.6535412631472</v>
      </c>
      <c r="F21" s="463">
        <f t="shared" ref="F21:F30" si="6">F4*$F$16</f>
        <v>0</v>
      </c>
      <c r="G21" s="463">
        <f t="shared" ref="G21:G30" si="7">G4*$G$16</f>
        <v>0</v>
      </c>
      <c r="H21" s="463">
        <f t="shared" ref="H21:H30" si="8">H4*$H$16</f>
        <v>0</v>
      </c>
      <c r="I21" s="463">
        <f t="shared" ref="I21:I30" si="9">I4*$I$16</f>
        <v>0</v>
      </c>
      <c r="J21" s="463">
        <f t="shared" ref="J21:J30" si="10">J4*$J$16</f>
        <v>534.30709128166893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113377.59103916364</v>
      </c>
    </row>
    <row r="22" spans="1:17">
      <c r="A22" s="462" t="s">
        <v>156</v>
      </c>
      <c r="B22" s="463">
        <f t="shared" ca="1" si="2"/>
        <v>45141.21483696808</v>
      </c>
      <c r="C22" s="463">
        <f t="shared" ca="1" si="3"/>
        <v>0</v>
      </c>
      <c r="D22" s="463">
        <f t="shared" ca="1" si="4"/>
        <v>49087.971397635585</v>
      </c>
      <c r="E22" s="463">
        <f t="shared" si="5"/>
        <v>461.74587053994173</v>
      </c>
      <c r="F22" s="463">
        <f t="shared" ca="1" si="6"/>
        <v>10445.586226994334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105136.51833213794</v>
      </c>
    </row>
    <row r="23" spans="1:17">
      <c r="A23" s="462" t="s">
        <v>194</v>
      </c>
      <c r="B23" s="463">
        <f t="shared" ca="1" si="2"/>
        <v>930.76228301398544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930.76228301398544</v>
      </c>
    </row>
    <row r="24" spans="1:17">
      <c r="A24" s="462" t="s">
        <v>112</v>
      </c>
      <c r="B24" s="463">
        <f t="shared" ca="1" si="2"/>
        <v>231.93803386676518</v>
      </c>
      <c r="C24" s="463">
        <f t="shared" ca="1" si="3"/>
        <v>5.0500000000000007</v>
      </c>
      <c r="D24" s="463">
        <f t="shared" si="4"/>
        <v>5913.3066528723084</v>
      </c>
      <c r="E24" s="463">
        <f t="shared" si="5"/>
        <v>3.0715105025685658</v>
      </c>
      <c r="F24" s="463">
        <f t="shared" si="6"/>
        <v>989.17490919231477</v>
      </c>
      <c r="G24" s="463">
        <f t="shared" si="7"/>
        <v>0</v>
      </c>
      <c r="H24" s="463">
        <f t="shared" si="8"/>
        <v>0</v>
      </c>
      <c r="I24" s="463">
        <f t="shared" si="9"/>
        <v>0</v>
      </c>
      <c r="J24" s="463">
        <f t="shared" si="10"/>
        <v>57.164903283473315</v>
      </c>
      <c r="K24" s="463">
        <f t="shared" si="11"/>
        <v>0</v>
      </c>
      <c r="L24" s="463">
        <f t="shared" si="12"/>
        <v>0</v>
      </c>
      <c r="M24" s="463">
        <f t="shared" si="13"/>
        <v>0</v>
      </c>
      <c r="N24" s="463">
        <f t="shared" si="14"/>
        <v>0</v>
      </c>
      <c r="O24" s="463">
        <f t="shared" si="15"/>
        <v>0</v>
      </c>
      <c r="P24" s="464">
        <f t="shared" si="16"/>
        <v>0</v>
      </c>
      <c r="Q24" s="462">
        <f t="shared" ca="1" si="17"/>
        <v>7199.7060097174299</v>
      </c>
    </row>
    <row r="25" spans="1:17">
      <c r="A25" s="462" t="s">
        <v>657</v>
      </c>
      <c r="B25" s="463">
        <f t="shared" ca="1" si="2"/>
        <v>44428.108921879531</v>
      </c>
      <c r="C25" s="463">
        <f t="shared" ca="1" si="3"/>
        <v>0</v>
      </c>
      <c r="D25" s="463">
        <f t="shared" si="4"/>
        <v>58344.5940117969</v>
      </c>
      <c r="E25" s="463">
        <f t="shared" si="5"/>
        <v>2808.1901639475673</v>
      </c>
      <c r="F25" s="463">
        <f t="shared" si="6"/>
        <v>14878.588205284246</v>
      </c>
      <c r="G25" s="463">
        <f t="shared" si="7"/>
        <v>0</v>
      </c>
      <c r="H25" s="463">
        <f t="shared" si="8"/>
        <v>0</v>
      </c>
      <c r="I25" s="463">
        <f t="shared" si="9"/>
        <v>0</v>
      </c>
      <c r="J25" s="463">
        <f t="shared" si="10"/>
        <v>141.87022674718065</v>
      </c>
      <c r="K25" s="463">
        <f t="shared" si="11"/>
        <v>0</v>
      </c>
      <c r="L25" s="463">
        <f t="shared" si="12"/>
        <v>0</v>
      </c>
      <c r="M25" s="463">
        <f t="shared" si="13"/>
        <v>0</v>
      </c>
      <c r="N25" s="463">
        <f t="shared" si="14"/>
        <v>0</v>
      </c>
      <c r="O25" s="463">
        <f t="shared" si="15"/>
        <v>0</v>
      </c>
      <c r="P25" s="464">
        <f t="shared" si="16"/>
        <v>0</v>
      </c>
      <c r="Q25" s="462">
        <f t="shared" ca="1" si="17"/>
        <v>120601.35152965543</v>
      </c>
    </row>
    <row r="26" spans="1:17" s="468" customFormat="1">
      <c r="A26" s="466" t="s">
        <v>574</v>
      </c>
      <c r="B26" s="823">
        <f t="shared" ca="1" si="2"/>
        <v>8.5860483872775983</v>
      </c>
      <c r="C26" s="467">
        <f t="shared" ca="1" si="3"/>
        <v>0</v>
      </c>
      <c r="D26" s="467">
        <f t="shared" si="4"/>
        <v>12.541330168013559</v>
      </c>
      <c r="E26" s="467">
        <f t="shared" si="5"/>
        <v>486.90154060022803</v>
      </c>
      <c r="F26" s="467">
        <f t="shared" si="6"/>
        <v>0</v>
      </c>
      <c r="G26" s="467">
        <f t="shared" si="7"/>
        <v>140958.98444593675</v>
      </c>
      <c r="H26" s="467">
        <f t="shared" si="8"/>
        <v>23776.588758338268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165243.60212343052</v>
      </c>
    </row>
    <row r="27" spans="1:17">
      <c r="A27" s="462" t="s">
        <v>564</v>
      </c>
      <c r="B27" s="463">
        <f t="shared" ca="1" si="2"/>
        <v>0</v>
      </c>
      <c r="C27" s="463">
        <f t="shared" ca="1" si="3"/>
        <v>0</v>
      </c>
      <c r="D27" s="463">
        <f t="shared" si="4"/>
        <v>0</v>
      </c>
      <c r="E27" s="463">
        <f t="shared" si="5"/>
        <v>0</v>
      </c>
      <c r="F27" s="463">
        <f t="shared" si="6"/>
        <v>0</v>
      </c>
      <c r="G27" s="463">
        <f t="shared" si="7"/>
        <v>2937.5342293617095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2937.5342293617095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116081.070515367</v>
      </c>
      <c r="C31" s="473">
        <f t="shared" ca="1" si="18"/>
        <v>5.0500000000000007</v>
      </c>
      <c r="D31" s="473">
        <f t="shared" ca="1" si="18"/>
        <v>199151.58340784028</v>
      </c>
      <c r="E31" s="473">
        <f t="shared" si="18"/>
        <v>5469.5626268534525</v>
      </c>
      <c r="F31" s="473">
        <f t="shared" ca="1" si="18"/>
        <v>26313.349341470894</v>
      </c>
      <c r="G31" s="473">
        <f t="shared" si="18"/>
        <v>143896.51867529846</v>
      </c>
      <c r="H31" s="473">
        <f t="shared" si="18"/>
        <v>23776.588758338268</v>
      </c>
      <c r="I31" s="473">
        <f t="shared" si="18"/>
        <v>0</v>
      </c>
      <c r="J31" s="473">
        <f t="shared" si="18"/>
        <v>733.34222131232286</v>
      </c>
      <c r="K31" s="473">
        <f t="shared" si="18"/>
        <v>0</v>
      </c>
      <c r="L31" s="473">
        <f t="shared" ca="1" si="18"/>
        <v>0</v>
      </c>
      <c r="M31" s="473">
        <f t="shared" si="18"/>
        <v>0</v>
      </c>
      <c r="N31" s="473">
        <f t="shared" ca="1" si="18"/>
        <v>0</v>
      </c>
      <c r="O31" s="473">
        <f t="shared" si="18"/>
        <v>0</v>
      </c>
      <c r="P31" s="474">
        <f t="shared" si="18"/>
        <v>0</v>
      </c>
      <c r="Q31" s="474">
        <f t="shared" ca="1" si="18"/>
        <v>515427.06554648065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0.21600349105630529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0.21600349105630529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0.21600349105630529</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2018-06-27T09:29:06Z</dcterms:modified>
</cp:coreProperties>
</file>