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3" i="15" l="1"/>
  <c r="D6" i="17"/>
  <c r="D8" s="1"/>
  <c r="J15" i="16"/>
  <c r="F16"/>
  <c r="B8" i="9"/>
  <c r="C16" i="15"/>
  <c r="D10" i="14" s="1"/>
  <c r="I14" i="15"/>
  <c r="I16" s="1"/>
  <c r="J10" i="14" s="1"/>
  <c r="J15" s="1"/>
  <c r="B13" i="16"/>
  <c r="C35"/>
  <c r="E9" i="14"/>
  <c r="D14" i="15"/>
  <c r="P18" i="16"/>
  <c r="P22" s="1"/>
  <c r="Q39" i="14" s="1"/>
  <c r="L16" i="16"/>
  <c r="L18" s="1"/>
  <c r="N6" i="17"/>
  <c r="N5" s="1"/>
  <c r="K22" i="14"/>
  <c r="J8" i="17"/>
  <c r="J12" s="1"/>
  <c r="K48" i="14" s="1"/>
  <c r="N16" i="16"/>
  <c r="F8" i="17"/>
  <c r="G22" i="14" s="1"/>
  <c r="N13" i="15"/>
  <c r="L13"/>
  <c r="L16" s="1"/>
  <c r="D13"/>
  <c r="G6" i="22"/>
  <c r="G9"/>
  <c r="M6"/>
  <c r="M11"/>
  <c r="G11"/>
  <c r="G7"/>
  <c r="G8"/>
  <c r="M8"/>
  <c r="G10"/>
  <c r="M7"/>
  <c r="M10"/>
  <c r="M9"/>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E22"/>
  <c r="I20" i="15"/>
  <c r="J36" i="14" s="1"/>
  <c r="J41" s="1"/>
  <c r="J5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N7" l="1"/>
  <c r="N24" s="1"/>
  <c r="E7"/>
  <c r="E24" s="1"/>
  <c r="E12" i="17"/>
  <c r="F48" i="14" s="1"/>
  <c r="I7" i="18"/>
  <c r="J67" i="14" s="1"/>
  <c r="E13"/>
  <c r="G14" i="22"/>
  <c r="L7" i="48"/>
  <c r="L24" s="1"/>
  <c r="M22" i="14"/>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I9" i="18"/>
  <c r="G58" i="22"/>
  <c r="H44" i="14" s="1"/>
  <c r="G10" i="48"/>
  <c r="G9"/>
  <c r="R17" i="14"/>
  <c r="Q13" i="48"/>
  <c r="I19" i="14"/>
  <c r="I20" s="1"/>
  <c r="I23" s="1"/>
  <c r="M18" i="22"/>
  <c r="N45" i="14" s="1"/>
  <c r="N46" s="1"/>
  <c r="N53" s="1"/>
  <c r="M9" i="48"/>
  <c r="N19" i="14"/>
  <c r="P14" i="48"/>
  <c r="B8"/>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Q7"/>
  <c r="F10" i="14"/>
  <c r="R10" s="1"/>
  <c r="O31" i="48"/>
  <c r="D31"/>
  <c r="J5"/>
  <c r="J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N22" i="16"/>
  <c r="O39" i="14" s="1"/>
  <c r="O41" s="1"/>
  <c r="Q4" i="48"/>
  <c r="N22"/>
  <c r="R11" i="14"/>
  <c r="J21" i="48"/>
  <c r="C18" i="15" l="1"/>
  <c r="C20" s="1"/>
  <c r="D36" i="14" s="1"/>
  <c r="C10" i="13"/>
  <c r="C16" i="48" s="1"/>
  <c r="C30" s="1"/>
  <c r="C16" i="22"/>
  <c r="C10" i="17"/>
  <c r="C12" s="1"/>
  <c r="D48" i="14" s="1"/>
  <c r="C17" i="49"/>
  <c r="C56" i="22"/>
  <c r="C58" s="1"/>
  <c r="D44" i="14" s="1"/>
  <c r="D46" s="1"/>
  <c r="C29" i="20"/>
  <c r="C17" i="19"/>
  <c r="C19" s="1"/>
  <c r="D35" i="14" s="1"/>
  <c r="C20" i="16"/>
  <c r="C22" s="1"/>
  <c r="D39" i="14" s="1"/>
  <c r="Q5" i="48"/>
  <c r="F8"/>
  <c r="F25" s="1"/>
  <c r="F31" s="1"/>
  <c r="O13" i="14"/>
  <c r="O15" s="1"/>
  <c r="F13"/>
  <c r="F15" s="1"/>
  <c r="F23" s="1"/>
  <c r="F55" s="1"/>
  <c r="K13"/>
  <c r="K15" s="1"/>
  <c r="K23" s="1"/>
  <c r="F22" i="16"/>
  <c r="G39" i="14" s="1"/>
  <c r="G41" s="1"/>
  <c r="N25" i="48"/>
  <c r="N31" s="1"/>
  <c r="N14"/>
  <c r="E25"/>
  <c r="E31" s="1"/>
  <c r="E14"/>
  <c r="H55" i="14"/>
  <c r="E55"/>
  <c r="C78"/>
  <c r="C81" s="1"/>
  <c r="J14" i="48"/>
  <c r="J31"/>
  <c r="Q8"/>
  <c r="Q14" s="1"/>
  <c r="R19" i="14"/>
  <c r="R20" s="1"/>
  <c r="H14" i="48"/>
  <c r="G31"/>
  <c r="H26"/>
  <c r="H31" s="1"/>
  <c r="O53" i="14"/>
  <c r="G53"/>
  <c r="G55" s="1"/>
  <c r="O69" s="1"/>
  <c r="B9" i="6" s="1"/>
  <c r="B12" s="1"/>
  <c r="M53" i="14"/>
  <c r="M55" s="1"/>
  <c r="C22" i="48"/>
  <c r="C25"/>
  <c r="C29"/>
  <c r="K55" i="14"/>
  <c r="F14" i="48"/>
  <c r="C23" l="1"/>
  <c r="C21"/>
  <c r="C31" s="1"/>
  <c r="C12" i="13"/>
  <c r="D37" i="14" s="1"/>
  <c r="D41" s="1"/>
  <c r="D53" s="1"/>
  <c r="D55" s="1"/>
  <c r="C26" i="48"/>
  <c r="C24"/>
  <c r="R13" i="14"/>
  <c r="R15" s="1"/>
  <c r="C27" i="48"/>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<sst xmlns="http://schemas.openxmlformats.org/spreadsheetml/2006/main" count="1970" uniqueCount="846">
  <si>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</si>
  <si>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</si>
  <si>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</si>
  <si>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</si>
  <si>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</si>
  <si>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</si>
  <si>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</si>
  <si>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</si>
  <si>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</si>
  <si>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</si>
  <si>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</si>
  <si>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</si>
  <si>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</si>
  <si>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</si>
  <si>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</si>
  <si>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</si>
  <si>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</si>
  <si>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</si>
  <si>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</si>
  <si>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</si>
  <si>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</si>
  <si>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</si>
  <si>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</si>
  <si>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</si>
  <si>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</si>
  <si>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</si>
  <si>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</si>
  <si>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</si>
  <si>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</si>
  <si>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</si>
  <si>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</si>
  <si>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</si>
  <si>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</si>
  <si>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</si>
  <si>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</si>
  <si>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</si>
  <si>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</si>
  <si>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</si>
  <si>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</si>
  <si>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</si>
  <si>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</si>
  <si>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</si>
  <si>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</si>
  <si>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</si>
  <si>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</si>
  <si>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</si>
  <si>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</si>
  <si>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</si>
  <si>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</si>
  <si>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</si>
  <si>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</si>
  <si>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</si>
  <si>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</si>
  <si>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</si>
  <si>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</si>
  <si>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</si>
  <si>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</si>
  <si>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</si>
  <si>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</si>
  <si>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</si>
  <si>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</si>
  <si>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</si>
  <si>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</si>
  <si>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</si>
  <si>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</si>
  <si>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</si>
  <si>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</si>
  <si>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</si>
  <si>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</si>
  <si>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</si>
  <si>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</si>
  <si>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</si>
  <si>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</si>
  <si>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</si>
  <si>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</si>
  <si>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</si>
  <si>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</si>
  <si>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</si>
  <si>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</si>
  <si>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</si>
  <si>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</si>
  <si>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</si>
  <si>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</si>
  <si>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</si>
  <si>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</si>
  <si>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</si>
  <si>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</si>
  <si>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</si>
  <si>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</si>
  <si>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</si>
  <si>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</si>
  <si>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</si>
  <si>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</si>
  <si>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</si>
  <si>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</si>
  <si>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</si>
  <si>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</si>
  <si>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</si>
  <si>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</si>
  <si>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</si>
  <si>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</si>
  <si>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</si>
  <si>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</si>
  <si>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</si>
  <si>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</si>
  <si>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</si>
  <si>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</si>
  <si>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</si>
  <si>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</si>
  <si>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</si>
  <si>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</si>
  <si>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</si>
  <si>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</si>
  <si>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</si>
  <si>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</si>
  <si>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</si>
  <si>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</si>
  <si>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</si>
  <si>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</si>
  <si>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</si>
  <si>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</si>
  <si>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</si>
  <si>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</si>
  <si>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</si>
  <si>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</si>
  <si>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</si>
  <si>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</si>
  <si>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</si>
  <si>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</si>
  <si>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</si>
  <si>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</si>
  <si>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</si>
  <si>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</si>
  <si>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</si>
  <si>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</si>
  <si>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</si>
  <si>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</si>
  <si>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</si>
  <si>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</si>
  <si>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</si>
  <si>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</si>
  <si>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</si>
  <si>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</si>
  <si>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</si>
  <si>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</si>
  <si>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</si>
  <si>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</si>
  <si>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</si>
  <si>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</si>
  <si>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</si>
  <si>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</si>
  <si>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</si>
  <si>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</si>
  <si>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</si>
  <si>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</si>
  <si>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</si>
  <si>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</si>
  <si>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</si>
  <si>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</si>
  <si>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</si>
  <si>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</si>
  <si>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</si>
  <si>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</si>
  <si>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</si>
  <si>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</si>
  <si>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</si>
  <si>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</si>
  <si>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</si>
  <si>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</si>
  <si>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</si>
  <si>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</si>
  <si>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</si>
  <si>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</si>
  <si>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</si>
  <si>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</si>
  <si>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</si>
  <si>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</si>
  <si>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</si>
  <si>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</si>
  <si>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</si>
  <si>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</si>
  <si>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</si>
  <si>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</si>
  <si>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</si>
  <si>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</si>
  <si>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</si>
  <si>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</si>
  <si>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</si>
  <si>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</si>
  <si>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</si>
  <si>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</si>
  <si>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</si>
  <si>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</si>
  <si>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</si>
  <si>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</si>
  <si>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</si>
  <si>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</si>
  <si>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</si>
  <si>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</si>
  <si>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</si>
  <si>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</si>
  <si>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</si>
  <si>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</si>
  <si>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</si>
  <si>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</si>
  <si>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</si>
  <si>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</si>
  <si>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</si>
  <si>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</si>
  <si>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</si>
  <si>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</si>
  <si>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</si>
  <si>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</si>
  <si>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</si>
  <si>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</si>
  <si>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</si>
  <si>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</si>
  <si>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</si>
  <si>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</si>
  <si>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</si>
  <si>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</si>
  <si>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</si>
  <si>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</si>
  <si>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</si>
  <si>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</si>
  <si>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</si>
  <si>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</si>
  <si>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</si>
  <si>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</si>
  <si>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</si>
  <si>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</si>
  <si>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</si>
  <si>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</si>
  <si>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</si>
  <si>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</si>
  <si>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</si>
  <si>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</si>
  <si>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</si>
  <si>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</si>
  <si>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</si>
  <si>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</si>
  <si>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</si>
  <si>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</si>
  <si>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</si>
  <si>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</si>
  <si>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</si>
  <si>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</si>
  <si>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</si>
  <si>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</si>
  <si>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</si>
  <si>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</si>
  <si>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</si>
  <si>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</si>
  <si>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</si>
  <si>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</si>
  <si>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</si>
  <si>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</si>
  <si>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</si>
  <si>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</si>
  <si>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</si>
  <si>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</si>
  <si>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</si>
  <si>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</si>
  <si>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</si>
  <si>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</si>
  <si>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</si>
  <si>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</si>
  <si>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</si>
  <si>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</si>
  <si>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</si>
  <si>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</si>
  <si>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</si>
  <si>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</si>
  <si>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</si>
  <si>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</si>
  <si>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</si>
  <si>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</si>
  <si>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</si>
  <si>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</si>
  <si>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</si>
  <si>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</si>
  <si>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</si>
  <si>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</si>
  <si>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</si>
  <si>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</si>
  <si>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</si>
  <si>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</si>
  <si>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</si>
  <si>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</si>
  <si>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</si>
  <si>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</si>
  <si>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</si>
  <si>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</si>
  <si>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</si>
  <si>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</si>
  <si>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</si>
  <si>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</si>
  <si>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</si>
  <si>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</si>
  <si>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</si>
  <si>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</si>
  <si>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</si>
  <si>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</si>
  <si>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</si>
  <si>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</si>
  <si>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</si>
  <si>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</si>
  <si>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</si>
  <si>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</si>
  <si>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</si>
  <si>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</si>
  <si>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</si>
  <si>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</si>
  <si>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</si>
  <si>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</si>
  <si>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</si>
  <si>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</si>
  <si>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</si>
  <si>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</si>
  <si>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</si>
  <si>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</si>
  <si>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</si>
  <si>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</si>
  <si>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</si>
  <si>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</si>
  <si>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</si>
  <si>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</si>
  <si>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</si>
  <si>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</si>
  <si>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</si>
  <si>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</si>
  <si>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</si>
  <si>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</si>
  <si>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</si>
  <si>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</si>
  <si>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</si>
  <si>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</si>
  <si>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</si>
  <si>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</si>
  <si>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</si>
  <si>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</si>
  <si>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</si>
  <si>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</si>
  <si>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</si>
  <si>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</si>
  <si>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</si>
  <si>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</si>
  <si>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</si>
  <si>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</si>
  <si>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</si>
  <si>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</si>
  <si>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</si>
  <si>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</si>
  <si>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</si>
  <si>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</si>
  <si>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</si>
  <si>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</si>
  <si>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</si>
  <si>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</si>
  <si>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</si>
  <si>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</si>
  <si>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</si>
  <si>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</si>
  <si>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</si>
  <si>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</si>
  <si>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</si>
  <si>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</si>
  <si>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</si>
  <si>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</si>
  <si>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</si>
  <si>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</si>
  <si>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</si>
  <si>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</si>
  <si>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</si>
  <si>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</si>
  <si>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</si>
  <si>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</si>
  <si>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</si>
  <si>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</si>
  <si>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</si>
  <si>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</si>
  <si>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</si>
  <si>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</si>
  <si>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</si>
  <si>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</si>
  <si>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</si>
  <si>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</si>
  <si>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</si>
  <si>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</si>
  <si>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</si>
  <si>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</si>
  <si>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</si>
  <si>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</si>
  <si>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</si>
  <si>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</si>
  <si>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</si>
  <si>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</si>
  <si>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</si>
  <si>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</si>
  <si>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</si>
  <si>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</si>
  <si>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</si>
  <si>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</si>
  <si>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</si>
  <si>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</si>
  <si>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</si>
  <si>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</si>
  <si>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</si>
  <si>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</si>
  <si>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</si>
  <si>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</si>
  <si>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</si>
  <si>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</si>
  <si>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</si>
  <si>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</si>
  <si>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</si>
  <si>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</si>
  <si>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</si>
  <si>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</si>
  <si>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</si>
  <si>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</si>
  <si>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</si>
  <si>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</si>
  <si>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</si>
  <si>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</si>
  <si>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</si>
  <si>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</si>
  <si>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</si>
  <si>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</si>
  <si>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</si>
  <si>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</si>
  <si>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</si>
  <si>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</si>
  <si>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</si>
  <si>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</si>
  <si>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</si>
  <si>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</si>
  <si>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</si>
  <si>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</si>
  <si>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</si>
  <si>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</si>
  <si>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</si>
  <si>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</si>
  <si>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</si>
  <si>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</si>
  <si>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</si>
  <si>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</si>
  <si>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</si>
  <si>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</si>
  <si>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</si>
  <si>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</si>
  <si>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</si>
  <si>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</si>
  <si>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</si>
  <si>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</si>
  <si>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</si>
  <si>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</si>
  <si>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</si>
  <si>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</si>
  <si>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</si>
  <si>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</si>
  <si>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</si>
  <si>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</si>
  <si>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</si>
  <si>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</si>
  <si>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</si>
  <si>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</si>
  <si>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</si>
  <si>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</si>
  <si>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</si>
  <si>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</si>
  <si>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</si>
  <si>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</si>
  <si>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</si>
  <si>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</si>
  <si>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</si>
  <si>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</si>
  <si>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</si>
  <si>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</si>
  <si>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</si>
  <si>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</si>
  <si>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</si>
  <si>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</si>
  <si>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</si>
  <si>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</si>
  <si>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</si>
  <si>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</si>
  <si>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</si>
  <si>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</si>
  <si>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</si>
  <si>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</si>
  <si>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</si>
  <si>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</si>
  <si>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</si>
  <si>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</si>
  <si>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</si>
  <si>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</si>
  <si>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</si>
  <si>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</si>
  <si>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</si>
  <si>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</si>
  <si>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</si>
  <si>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</si>
  <si>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</si>
  <si>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</si>
  <si>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</si>
  <si>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</si>
  <si>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</si>
  <si>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</si>
  <si>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</si>
  <si>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</si>
  <si>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</si>
  <si>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</si>
  <si>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</si>
  <si>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</si>
  <si>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</si>
  <si>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</si>
  <si>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</si>
  <si>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</si>
  <si>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</si>
  <si>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</si>
  <si>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</si>
  <si>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</si>
  <si>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</si>
  <si>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</si>
  <si>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</si>
  <si>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</si>
  <si>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</si>
  <si>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</si>
  <si>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</si>
  <si>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</si>
  <si>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</si>
  <si>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</si>
  <si>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</si>
  <si>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</si>
  <si>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</si>
  <si>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</si>
  <si>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</si>
  <si>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</si>
  <si>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</si>
  <si>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</si>
  <si>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</si>
  <si>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</si>
  <si>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</si>
  <si>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</si>
  <si>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</si>
  <si>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</si>
  <si>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</si>
  <si>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</si>
  <si>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</si>
  <si>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</si>
  <si>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</si>
  <si>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</si>
  <si>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</si>
  <si>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</si>
  <si>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</si>
  <si>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</si>
  <si>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</si>
  <si>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</si>
  <si>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</si>
  <si>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</si>
  <si>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</si>
  <si>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</si>
  <si>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</si>
  <si>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</si>
  <si>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</si>
  <si>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</si>
  <si>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</si>
  <si>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</si>
  <si>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</si>
  <si>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</si>
  <si>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</si>
  <si>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</si>
  <si>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</si>
  <si>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</si>
  <si>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</si>
  <si>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</si>
  <si>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</si>
  <si>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</si>
  <si>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</si>
  <si>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</si>
  <si>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</si>
  <si>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</si>
  <si>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</si>
  <si>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</si>
  <si>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</si>
  <si>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</si>
  <si>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</si>
  <si>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</si>
  <si>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</si>
  <si>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</si>
  <si>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</si>
  <si>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</si>
  <si>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</si>
  <si>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</si>
  <si>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</si>
  <si>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</si>
  <si>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</si>
  <si>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</si>
  <si>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</si>
  <si>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</si>
  <si>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</si>
  <si>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</si>
  <si>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</si>
  <si>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</si>
  <si>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</si>
  <si>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</si>
  <si>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</si>
  <si>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</si>
  <si>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</si>
  <si>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</si>
  <si>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</si>
  <si>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</si>
  <si>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</si>
  <si>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</si>
  <si>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</si>
  <si>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</si>
  <si>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</si>
  <si>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</si>
  <si>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</si>
  <si>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</si>
  <si>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</si>
  <si>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</si>
  <si>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</si>
  <si>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</si>
  <si>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</si>
  <si>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</si>
  <si>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</si>
  <si>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</si>
  <si>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</si>
  <si>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</si>
  <si>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</si>
  <si>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</si>
  <si>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</si>
  <si>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</si>
  <si>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</si>
  <si>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</si>
  <si>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</si>
  <si>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</si>
  <si>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</si>
  <si>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</si>
  <si>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</si>
  <si>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</si>
  <si>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</si>
  <si>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</si>
  <si>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</si>
  <si>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</si>
  <si>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</si>
  <si>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</si>
  <si>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</si>
  <si>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</si>
  <si>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</si>
  <si>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</si>
  <si>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</si>
  <si>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</si>
  <si>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</si>
  <si>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</si>
  <si>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</si>
  <si>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</si>
  <si>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</si>
  <si>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</si>
  <si>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</si>
  <si>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</si>
  <si>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</si>
  <si>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</si>
  <si>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</si>
  <si>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</si>
  <si>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</si>
  <si>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</si>
  <si>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</si>
  <si>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</si>
  <si>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</si>
  <si>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</si>
  <si>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</si>
  <si>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</si>
  <si>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</si>
  <si>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</si>
  <si>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</si>
  <si>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</si>
  <si>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</si>
  <si>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</si>
  <si>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</si>
  <si>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</si>
  <si>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</si>
  <si>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</si>
  <si>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</si>
  <si>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</si>
  <si>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</si>
  <si>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</si>
  <si>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</si>
  <si>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</si>
  <si>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</si>
  <si>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</si>
  <si>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</si>
  <si>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</si>
  <si>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</si>
  <si>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</si>
  <si>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</si>
  <si>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</si>
  <si>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</si>
  <si>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</si>
  <si>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</si>
  <si>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</si>
  <si>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</si>
  <si>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</si>
  <si>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</si>
  <si>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</si>
  <si>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</si>
  <si>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</si>
  <si>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</si>
  <si>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</si>
  <si>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</si>
  <si>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</si>
  <si>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</si>
  <si>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</si>
  <si>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</si>
  <si>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</si>
  <si>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</si>
  <si>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</si>
  <si>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</si>
  <si>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</si>
  <si>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</si>
  <si>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</si>
  <si>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</si>
  <si>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</si>
  <si>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</si>
  <si>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</si>
  <si>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</si>
  <si>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</si>
  <si>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</si>
  <si>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</si>
  <si>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</si>
  <si>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</si>
  <si>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</si>
  <si>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</si>
  <si>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</si>
  <si>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</si>
  <si>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</si>
  <si>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</si>
  <si>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</si>
  <si>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</si>
  <si>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</si>
  <si>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</si>
  <si>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</si>
  <si>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</si>
  <si>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</si>
  <si>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</si>
  <si>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</si>
  <si>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</si>
  <si>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</si>
  <si>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</si>
  <si>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</si>
  <si>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</si>
  <si>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</si>
  <si>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</si>
  <si>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</si>
  <si>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</si>
  <si>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</si>
  <si>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</si>
  <si>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</si>
  <si>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</si>
  <si>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</si>
  <si>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</si>
  <si>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</si>
  <si>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</si>
  <si>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</si>
  <si>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</si>
  <si>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</si>
  <si>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</si>
  <si>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</si>
  <si>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</si>
  <si>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</si>
  <si>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</si>
  <si>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</si>
  <si>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</si>
  <si>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</si>
  <si>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</si>
  <si>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</si>
  <si>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</si>
  <si>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</si>
  <si>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</si>
  <si>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</si>
  <si>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</si>
  <si>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</si>
  <si>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</si>
  <si>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</si>
  <si>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</si>
  <si>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</si>
  <si>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</si>
  <si>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</si>
  <si>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</si>
  <si>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</si>
  <si>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</si>
  <si>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</si>
  <si>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</si>
  <si>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</si>
  <si>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</si>
  <si>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</si>
  <si>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</si>
  <si>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</si>
  <si>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</si>
  <si>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</si>
  <si>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</si>
  <si>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</si>
  <si>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</si>
  <si>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</si>
  <si>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</si>
  <si>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</si>
  <si>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</si>
  <si>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</si>
  <si>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</si>
  <si>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</si>
  <si>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</si>
  <si>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</si>
  <si>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</si>
  <si>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</si>
  <si>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</si>
  <si>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</si>
  <si>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</si>
  <si>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</si>
  <si>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</si>
  <si>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</si>
  <si>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</si>
  <si>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</si>
  <si>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</si>
  <si>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</si>
  <si>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</si>
  <si>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</si>
  <si>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</si>
  <si>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</si>
  <si>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</si>
  <si>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</si>
  <si>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</si>
  <si>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11057</t>
  </si>
  <si>
    <t>MALLE</t>
  </si>
  <si>
    <t>Cultuurgrond (ha)</t>
  </si>
  <si>
    <t>Paarden&amp;pony's 200 - 600 kg</t>
  </si>
  <si>
    <t>Paarden&amp;pony's &lt; 200 kg</t>
  </si>
  <si>
    <t>op basis van VEA (maart 2018) en Inventaris Hernieuwbare Energiebronnen (juni 2018)</t>
  </si>
  <si>
    <t>VEA (juni 2018)</t>
  </si>
  <si>
    <t>Agri-Power bvba</t>
  </si>
  <si>
    <t>Gemeentebos 8, 2390 Malle</t>
  </si>
  <si>
    <t>WKK-0042 Agri-Power</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</si>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</sst>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134325.76745650196</c:v>
                </c:pt>
                <c:pt idx="1">
                  <c:v>109634.96049470123</c:v>
                </c:pt>
                <c:pt idx="2">
                  <c:v>742.67200000000003</c:v>
                </c:pt>
                <c:pt idx="3">
                  <c:v>15004.182943641044</c:v>
                </c:pt>
                <c:pt idx="4">
                  <c:v>154942.71780223254</c:v>
                </c:pt>
                <c:pt idx="5">
                  <c:v>90438.889188264846</c:v>
                </c:pt>
                <c:pt idx="6">
                  <c:v>2989.7346436028233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134325.76745650196</c:v>
                </c:pt>
                <c:pt idx="1">
                  <c:v>109634.96049470123</c:v>
                </c:pt>
                <c:pt idx="2">
                  <c:v>742.67200000000003</c:v>
                </c:pt>
                <c:pt idx="3">
                  <c:v>15004.182943641044</c:v>
                </c:pt>
                <c:pt idx="4">
                  <c:v>154942.71780223254</c:v>
                </c:pt>
                <c:pt idx="5">
                  <c:v>90438.889188264846</c:v>
                </c:pt>
                <c:pt idx="6">
                  <c:v>2989.7346436028233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22388.080979816448</c:v>
                </c:pt>
                <c:pt idx="1">
                  <c:v>17022.594801941021</c:v>
                </c:pt>
                <c:pt idx="2">
                  <c:v>134.03498995023281</c:v>
                </c:pt>
                <c:pt idx="3">
                  <c:v>3348.6271226832491</c:v>
                </c:pt>
                <c:pt idx="4">
                  <c:v>29955.037966954133</c:v>
                </c:pt>
                <c:pt idx="5">
                  <c:v>22865.306640794552</c:v>
                </c:pt>
                <c:pt idx="6">
                  <c:v>764.27018535811465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22388.080979816448</c:v>
                </c:pt>
                <c:pt idx="1">
                  <c:v>17022.594801941021</c:v>
                </c:pt>
                <c:pt idx="2">
                  <c:v>134.03498995023281</c:v>
                </c:pt>
                <c:pt idx="3">
                  <c:v>3348.6271226832491</c:v>
                </c:pt>
                <c:pt idx="4">
                  <c:v>29955.037966954133</c:v>
                </c:pt>
                <c:pt idx="5">
                  <c:v>22865.306640794552</c:v>
                </c:pt>
                <c:pt idx="6">
                  <c:v>764.27018535811465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11057</v>
      </c>
      <c r="B6" s="398"/>
      <c r="C6" s="399"/>
    </row>
    <row r="7" spans="1:7" s="396" customFormat="1" ht="15.75" customHeight="1">
      <c r="A7" s="400" t="str">
        <f>txtMunicipality</f>
        <v>MALLE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5857</v>
      </c>
      <c r="C9" s="338">
        <v>5930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2390</v>
      </c>
    </row>
    <row r="15" spans="1:6">
      <c r="A15" s="1212" t="s">
        <v>184</v>
      </c>
      <c r="B15" s="335">
        <v>759</v>
      </c>
    </row>
    <row r="16" spans="1:6">
      <c r="A16" s="1212" t="s">
        <v>6</v>
      </c>
      <c r="B16" s="335">
        <v>1794</v>
      </c>
    </row>
    <row r="17" spans="1:6">
      <c r="A17" s="1212" t="s">
        <v>7</v>
      </c>
      <c r="B17" s="335">
        <v>622</v>
      </c>
    </row>
    <row r="18" spans="1:6">
      <c r="A18" s="1212" t="s">
        <v>8</v>
      </c>
      <c r="B18" s="335">
        <v>1336</v>
      </c>
    </row>
    <row r="19" spans="1:6">
      <c r="A19" s="1212" t="s">
        <v>9</v>
      </c>
      <c r="B19" s="335">
        <v>1241</v>
      </c>
    </row>
    <row r="20" spans="1:6">
      <c r="A20" s="1212" t="s">
        <v>10</v>
      </c>
      <c r="B20" s="335">
        <v>1029</v>
      </c>
    </row>
    <row r="21" spans="1:6">
      <c r="A21" s="1212" t="s">
        <v>11</v>
      </c>
      <c r="B21" s="335">
        <v>1083</v>
      </c>
    </row>
    <row r="22" spans="1:6">
      <c r="A22" s="1212" t="s">
        <v>12</v>
      </c>
      <c r="B22" s="335">
        <v>8589</v>
      </c>
    </row>
    <row r="23" spans="1:6">
      <c r="A23" s="1212" t="s">
        <v>13</v>
      </c>
      <c r="B23" s="335">
        <v>125</v>
      </c>
    </row>
    <row r="24" spans="1:6">
      <c r="A24" s="1212" t="s">
        <v>14</v>
      </c>
      <c r="B24" s="335">
        <v>4</v>
      </c>
    </row>
    <row r="25" spans="1:6">
      <c r="A25" s="1212" t="s">
        <v>15</v>
      </c>
      <c r="B25" s="335">
        <v>473</v>
      </c>
    </row>
    <row r="26" spans="1:6">
      <c r="A26" s="1212" t="s">
        <v>16</v>
      </c>
      <c r="B26" s="335">
        <v>165</v>
      </c>
    </row>
    <row r="27" spans="1:6">
      <c r="A27" s="1212" t="s">
        <v>17</v>
      </c>
      <c r="B27" s="335">
        <v>0</v>
      </c>
    </row>
    <row r="28" spans="1:6" s="341" customFormat="1">
      <c r="A28" s="1213" t="s">
        <v>18</v>
      </c>
      <c r="B28" s="1213">
        <v>111143</v>
      </c>
    </row>
    <row r="29" spans="1:6">
      <c r="A29" s="1213" t="s">
        <v>836</v>
      </c>
      <c r="B29" s="1213">
        <v>221</v>
      </c>
      <c r="C29" s="341"/>
      <c r="D29" s="341"/>
      <c r="E29" s="341"/>
      <c r="F29" s="341"/>
    </row>
    <row r="30" spans="1:6">
      <c r="A30" s="1208" t="s">
        <v>837</v>
      </c>
      <c r="B30" s="1208">
        <v>56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44073.468444483602</v>
      </c>
      <c r="E38" s="335">
        <v>5</v>
      </c>
      <c r="F38" s="335">
        <v>27328.0833934277</v>
      </c>
    </row>
    <row r="39" spans="1:6">
      <c r="A39" s="1212" t="s">
        <v>30</v>
      </c>
      <c r="B39" s="1212" t="s">
        <v>31</v>
      </c>
      <c r="C39" s="335">
        <v>4289</v>
      </c>
      <c r="D39" s="335">
        <v>91751410.965700597</v>
      </c>
      <c r="E39" s="335">
        <v>5657</v>
      </c>
      <c r="F39" s="335">
        <v>25295073.487244099</v>
      </c>
    </row>
    <row r="40" spans="1:6">
      <c r="A40" s="1212" t="s">
        <v>30</v>
      </c>
      <c r="B40" s="1212" t="s">
        <v>29</v>
      </c>
      <c r="C40" s="335">
        <v>0</v>
      </c>
      <c r="D40" s="335">
        <v>0</v>
      </c>
      <c r="E40" s="335">
        <v>0</v>
      </c>
      <c r="F40" s="335">
        <v>0</v>
      </c>
    </row>
    <row r="41" spans="1:6">
      <c r="A41" s="1212" t="s">
        <v>32</v>
      </c>
      <c r="B41" s="1212" t="s">
        <v>33</v>
      </c>
      <c r="C41" s="335">
        <v>50</v>
      </c>
      <c r="D41" s="335">
        <v>2305256.3711522198</v>
      </c>
      <c r="E41" s="335">
        <v>142</v>
      </c>
      <c r="F41" s="335">
        <v>10107625.4974805</v>
      </c>
    </row>
    <row r="42" spans="1:6">
      <c r="A42" s="1212" t="s">
        <v>32</v>
      </c>
      <c r="B42" s="1212" t="s">
        <v>34</v>
      </c>
      <c r="C42" s="335">
        <v>0</v>
      </c>
      <c r="D42" s="335">
        <v>0</v>
      </c>
      <c r="E42" s="335">
        <v>3</v>
      </c>
      <c r="F42" s="335">
        <v>855444.56711865799</v>
      </c>
    </row>
    <row r="43" spans="1:6">
      <c r="A43" s="1212" t="s">
        <v>32</v>
      </c>
      <c r="B43" s="1212" t="s">
        <v>35</v>
      </c>
      <c r="C43" s="335">
        <v>0</v>
      </c>
      <c r="D43" s="335">
        <v>0</v>
      </c>
      <c r="E43" s="335">
        <v>0</v>
      </c>
      <c r="F43" s="335">
        <v>0</v>
      </c>
    </row>
    <row r="44" spans="1:6">
      <c r="A44" s="1212" t="s">
        <v>32</v>
      </c>
      <c r="B44" s="1212" t="s">
        <v>36</v>
      </c>
      <c r="C44" s="335">
        <v>3</v>
      </c>
      <c r="D44" s="335">
        <v>833924.14847757202</v>
      </c>
      <c r="E44" s="335">
        <v>24</v>
      </c>
      <c r="F44" s="335">
        <v>5717477.1678972002</v>
      </c>
    </row>
    <row r="45" spans="1:6">
      <c r="A45" s="1212" t="s">
        <v>32</v>
      </c>
      <c r="B45" s="1212" t="s">
        <v>37</v>
      </c>
      <c r="C45" s="335">
        <v>0</v>
      </c>
      <c r="D45" s="335">
        <v>0</v>
      </c>
      <c r="E45" s="335">
        <v>3</v>
      </c>
      <c r="F45" s="335">
        <v>1028891.75336192</v>
      </c>
    </row>
    <row r="46" spans="1:6">
      <c r="A46" s="1212" t="s">
        <v>32</v>
      </c>
      <c r="B46" s="1212" t="s">
        <v>38</v>
      </c>
      <c r="C46" s="335">
        <v>0</v>
      </c>
      <c r="D46" s="335">
        <v>0</v>
      </c>
      <c r="E46" s="335">
        <v>0</v>
      </c>
      <c r="F46" s="335">
        <v>0</v>
      </c>
    </row>
    <row r="47" spans="1:6">
      <c r="A47" s="1212" t="s">
        <v>32</v>
      </c>
      <c r="B47" s="1212" t="s">
        <v>39</v>
      </c>
      <c r="C47" s="335">
        <v>4</v>
      </c>
      <c r="D47" s="335">
        <v>149864.34167386399</v>
      </c>
      <c r="E47" s="335">
        <v>4</v>
      </c>
      <c r="F47" s="335">
        <v>46895.566697574097</v>
      </c>
    </row>
    <row r="48" spans="1:6">
      <c r="A48" s="1212" t="s">
        <v>32</v>
      </c>
      <c r="B48" s="1212" t="s">
        <v>29</v>
      </c>
      <c r="C48" s="335">
        <v>33</v>
      </c>
      <c r="D48" s="335">
        <v>34106970.0573752</v>
      </c>
      <c r="E48" s="335">
        <v>39</v>
      </c>
      <c r="F48" s="335">
        <v>25537959.7458634</v>
      </c>
    </row>
    <row r="49" spans="1:6">
      <c r="A49" s="1212" t="s">
        <v>32</v>
      </c>
      <c r="B49" s="1212" t="s">
        <v>40</v>
      </c>
      <c r="C49" s="335">
        <v>0</v>
      </c>
      <c r="D49" s="335">
        <v>0</v>
      </c>
      <c r="E49" s="335">
        <v>0</v>
      </c>
      <c r="F49" s="335">
        <v>0</v>
      </c>
    </row>
    <row r="50" spans="1:6">
      <c r="A50" s="1212" t="s">
        <v>32</v>
      </c>
      <c r="B50" s="1212" t="s">
        <v>41</v>
      </c>
      <c r="C50" s="335">
        <v>22</v>
      </c>
      <c r="D50" s="335">
        <v>11118529.324421201</v>
      </c>
      <c r="E50" s="335">
        <v>21</v>
      </c>
      <c r="F50" s="335">
        <v>14052794.5768853</v>
      </c>
    </row>
    <row r="51" spans="1:6">
      <c r="A51" s="1212" t="s">
        <v>42</v>
      </c>
      <c r="B51" s="1212" t="s">
        <v>43</v>
      </c>
      <c r="C51" s="335">
        <v>3</v>
      </c>
      <c r="D51" s="335">
        <v>30999.5351462283</v>
      </c>
      <c r="E51" s="335">
        <v>60</v>
      </c>
      <c r="F51" s="335">
        <v>1121932.12125074</v>
      </c>
    </row>
    <row r="52" spans="1:6">
      <c r="A52" s="1212" t="s">
        <v>42</v>
      </c>
      <c r="B52" s="1212" t="s">
        <v>29</v>
      </c>
      <c r="C52" s="335">
        <v>3</v>
      </c>
      <c r="D52" s="335">
        <v>5610867.4851354202</v>
      </c>
      <c r="E52" s="335">
        <v>12</v>
      </c>
      <c r="F52" s="335">
        <v>284699.73006426502</v>
      </c>
    </row>
    <row r="53" spans="1:6">
      <c r="A53" s="1212" t="s">
        <v>44</v>
      </c>
      <c r="B53" s="1212" t="s">
        <v>45</v>
      </c>
      <c r="C53" s="335">
        <v>90</v>
      </c>
      <c r="D53" s="335">
        <v>3798323.67717594</v>
      </c>
      <c r="E53" s="335">
        <v>174</v>
      </c>
      <c r="F53" s="335">
        <v>888721.61718605994</v>
      </c>
    </row>
    <row r="54" spans="1:6">
      <c r="A54" s="1212" t="s">
        <v>46</v>
      </c>
      <c r="B54" s="1212" t="s">
        <v>47</v>
      </c>
      <c r="C54" s="335">
        <v>0</v>
      </c>
      <c r="D54" s="335">
        <v>0</v>
      </c>
      <c r="E54" s="335">
        <v>1</v>
      </c>
      <c r="F54" s="335">
        <v>742672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43</v>
      </c>
      <c r="D57" s="335">
        <v>2490500.3728041002</v>
      </c>
      <c r="E57" s="335">
        <v>83</v>
      </c>
      <c r="F57" s="335">
        <v>2410171.8759755101</v>
      </c>
    </row>
    <row r="58" spans="1:6">
      <c r="A58" s="1212" t="s">
        <v>49</v>
      </c>
      <c r="B58" s="1212" t="s">
        <v>51</v>
      </c>
      <c r="C58" s="335">
        <v>22</v>
      </c>
      <c r="D58" s="335">
        <v>12705589.492022499</v>
      </c>
      <c r="E58" s="335">
        <v>31</v>
      </c>
      <c r="F58" s="335">
        <v>1458516.5248789301</v>
      </c>
    </row>
    <row r="59" spans="1:6">
      <c r="A59" s="1212" t="s">
        <v>49</v>
      </c>
      <c r="B59" s="1212" t="s">
        <v>52</v>
      </c>
      <c r="C59" s="335">
        <v>101</v>
      </c>
      <c r="D59" s="335">
        <v>4670217.8117987197</v>
      </c>
      <c r="E59" s="335">
        <v>187</v>
      </c>
      <c r="F59" s="335">
        <v>7165920.691261</v>
      </c>
    </row>
    <row r="60" spans="1:6">
      <c r="A60" s="1212" t="s">
        <v>49</v>
      </c>
      <c r="B60" s="1212" t="s">
        <v>53</v>
      </c>
      <c r="C60" s="335">
        <v>61</v>
      </c>
      <c r="D60" s="335">
        <v>4376522.7629316105</v>
      </c>
      <c r="E60" s="335">
        <v>78</v>
      </c>
      <c r="F60" s="335">
        <v>3085323.5279599898</v>
      </c>
    </row>
    <row r="61" spans="1:6">
      <c r="A61" s="1212" t="s">
        <v>49</v>
      </c>
      <c r="B61" s="1212" t="s">
        <v>54</v>
      </c>
      <c r="C61" s="335">
        <v>131</v>
      </c>
      <c r="D61" s="335">
        <v>6934126.2735283496</v>
      </c>
      <c r="E61" s="335">
        <v>249</v>
      </c>
      <c r="F61" s="335">
        <v>4732319.6684254203</v>
      </c>
    </row>
    <row r="62" spans="1:6">
      <c r="A62" s="1212" t="s">
        <v>49</v>
      </c>
      <c r="B62" s="1212" t="s">
        <v>55</v>
      </c>
      <c r="C62" s="335">
        <v>18</v>
      </c>
      <c r="D62" s="335">
        <v>3607232.6782777901</v>
      </c>
      <c r="E62" s="335">
        <v>22</v>
      </c>
      <c r="F62" s="335">
        <v>1694000.29167224</v>
      </c>
    </row>
    <row r="63" spans="1:6">
      <c r="A63" s="1212" t="s">
        <v>49</v>
      </c>
      <c r="B63" s="1212" t="s">
        <v>29</v>
      </c>
      <c r="C63" s="335">
        <v>111</v>
      </c>
      <c r="D63" s="335">
        <v>12906372.509291001</v>
      </c>
      <c r="E63" s="335">
        <v>112</v>
      </c>
      <c r="F63" s="335">
        <v>2104133.2445286298</v>
      </c>
    </row>
    <row r="64" spans="1:6">
      <c r="A64" s="1212" t="s">
        <v>56</v>
      </c>
      <c r="B64" s="1212" t="s">
        <v>57</v>
      </c>
      <c r="C64" s="335">
        <v>0</v>
      </c>
      <c r="D64" s="335">
        <v>0</v>
      </c>
      <c r="E64" s="335">
        <v>0</v>
      </c>
      <c r="F64" s="335">
        <v>0</v>
      </c>
    </row>
    <row r="65" spans="1:6">
      <c r="A65" s="1212" t="s">
        <v>56</v>
      </c>
      <c r="B65" s="1212" t="s">
        <v>29</v>
      </c>
      <c r="C65" s="335">
        <v>1</v>
      </c>
      <c r="D65" s="335">
        <v>6472.9031153220003</v>
      </c>
      <c r="E65" s="335">
        <v>3</v>
      </c>
      <c r="F65" s="335">
        <v>135797.73434273101</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203265.60804140699</v>
      </c>
      <c r="E68" s="335">
        <v>15</v>
      </c>
      <c r="F68" s="335">
        <v>212327.97849490601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88973770</v>
      </c>
      <c r="E73" s="335">
        <v>92638240.079691842</v>
      </c>
    </row>
    <row r="74" spans="1:6">
      <c r="A74" s="1212" t="s">
        <v>64</v>
      </c>
      <c r="B74" s="1212" t="s">
        <v>727</v>
      </c>
      <c r="C74" s="1212" t="s">
        <v>728</v>
      </c>
      <c r="D74" s="335">
        <v>7854808.8796946835</v>
      </c>
      <c r="E74" s="335">
        <v>8363323.5372042321</v>
      </c>
    </row>
    <row r="75" spans="1:6">
      <c r="A75" s="1212" t="s">
        <v>65</v>
      </c>
      <c r="B75" s="1212" t="s">
        <v>725</v>
      </c>
      <c r="C75" s="1212" t="s">
        <v>729</v>
      </c>
      <c r="D75" s="335">
        <v>10656707</v>
      </c>
      <c r="E75" s="335">
        <v>11083963.166266575</v>
      </c>
    </row>
    <row r="76" spans="1:6">
      <c r="A76" s="1212" t="s">
        <v>65</v>
      </c>
      <c r="B76" s="1212" t="s">
        <v>727</v>
      </c>
      <c r="C76" s="1212" t="s">
        <v>730</v>
      </c>
      <c r="D76" s="335">
        <v>175931.87969468394</v>
      </c>
      <c r="E76" s="335">
        <v>218635.43613237061</v>
      </c>
    </row>
    <row r="77" spans="1:6">
      <c r="A77" s="1212" t="s">
        <v>66</v>
      </c>
      <c r="B77" s="1212" t="s">
        <v>725</v>
      </c>
      <c r="C77" s="1212" t="s">
        <v>731</v>
      </c>
      <c r="D77" s="335">
        <v>5208057</v>
      </c>
      <c r="E77" s="335">
        <v>5268255.3740212806</v>
      </c>
    </row>
    <row r="78" spans="1:6">
      <c r="A78" s="1208" t="s">
        <v>66</v>
      </c>
      <c r="B78" s="1208" t="s">
        <v>727</v>
      </c>
      <c r="C78" s="1208" t="s">
        <v>732</v>
      </c>
      <c r="D78" s="1208">
        <v>1248116</v>
      </c>
      <c r="E78" s="1208">
        <v>1236116.9943560921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789852.24061063211</v>
      </c>
      <c r="C83" s="335">
        <v>780322.59186142008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2796.9727659033933</v>
      </c>
    </row>
    <row r="92" spans="1:6">
      <c r="A92" s="1208" t="s">
        <v>69</v>
      </c>
      <c r="B92" s="338">
        <v>4383.0924209244777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3064</v>
      </c>
    </row>
    <row r="98" spans="1:6">
      <c r="A98" s="1212" t="s">
        <v>72</v>
      </c>
      <c r="B98" s="335">
        <v>2</v>
      </c>
    </row>
    <row r="99" spans="1:6">
      <c r="A99" s="1212" t="s">
        <v>73</v>
      </c>
      <c r="B99" s="335">
        <v>56</v>
      </c>
    </row>
    <row r="100" spans="1:6">
      <c r="A100" s="1212" t="s">
        <v>74</v>
      </c>
      <c r="B100" s="335">
        <v>513</v>
      </c>
    </row>
    <row r="101" spans="1:6">
      <c r="A101" s="1212" t="s">
        <v>75</v>
      </c>
      <c r="B101" s="335">
        <v>115</v>
      </c>
    </row>
    <row r="102" spans="1:6">
      <c r="A102" s="1212" t="s">
        <v>76</v>
      </c>
      <c r="B102" s="335">
        <v>55</v>
      </c>
    </row>
    <row r="103" spans="1:6">
      <c r="A103" s="1212" t="s">
        <v>77</v>
      </c>
      <c r="B103" s="335">
        <v>102</v>
      </c>
    </row>
    <row r="104" spans="1:6">
      <c r="A104" s="1212" t="s">
        <v>78</v>
      </c>
      <c r="B104" s="335">
        <v>1072</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2</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9</v>
      </c>
      <c r="C123" s="335">
        <v>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76</v>
      </c>
    </row>
    <row r="130" spans="1:6">
      <c r="A130" s="1212" t="s">
        <v>295</v>
      </c>
      <c r="B130" s="335">
        <v>3</v>
      </c>
    </row>
    <row r="131" spans="1:6">
      <c r="A131" s="1212" t="s">
        <v>296</v>
      </c>
      <c r="B131" s="335">
        <v>2</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126206.04940211737</v>
      </c>
      <c r="C3" s="43" t="s">
        <v>170</v>
      </c>
      <c r="D3" s="43"/>
      <c r="E3" s="156"/>
      <c r="F3" s="43"/>
      <c r="G3" s="43"/>
      <c r="H3" s="43"/>
      <c r="I3" s="43"/>
      <c r="J3" s="43"/>
      <c r="K3" s="96"/>
    </row>
    <row r="4" spans="1:11">
      <c r="A4" s="366" t="s">
        <v>171</v>
      </c>
      <c r="B4" s="49">
        <f>IF(ISERROR('SEAP template'!B69),0,'SEAP template'!B69)</f>
        <v>23141.565186827873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0.1804766975868658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22802.142857142859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742.67200000000003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742.67200000000003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0.1804766975868658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134.03498995023281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25295.073487244099</v>
      </c>
      <c r="C5" s="17">
        <f>IF(ISERROR('Eigen informatie GS &amp; warmtenet'!B57),0,'Eigen informatie GS &amp; warmtenet'!B57)</f>
        <v>0</v>
      </c>
      <c r="D5" s="30">
        <f>(SUM(HH_hh_gas_kWh,HH_rest_gas_kWh)/1000)*0.902</f>
        <v>82759.772691061939</v>
      </c>
      <c r="E5" s="17">
        <f>B46*B57</f>
        <v>2646.0227312616348</v>
      </c>
      <c r="F5" s="17">
        <f>B51*B62</f>
        <v>0</v>
      </c>
      <c r="G5" s="18"/>
      <c r="H5" s="17"/>
      <c r="I5" s="17"/>
      <c r="J5" s="17">
        <f>B50*B61+C50*C61</f>
        <v>0</v>
      </c>
      <c r="K5" s="17"/>
      <c r="L5" s="17"/>
      <c r="M5" s="17"/>
      <c r="N5" s="17">
        <f>B48*B59+C48*C59</f>
        <v>20370.909114364214</v>
      </c>
      <c r="O5" s="17">
        <f>B69*B70*B71</f>
        <v>132.88333333333333</v>
      </c>
      <c r="P5" s="17">
        <f>B77*B78*B79/1000-B77*B78*B79/1000/B80</f>
        <v>324.13333333333333</v>
      </c>
    </row>
    <row r="6" spans="1:16">
      <c r="A6" s="16" t="s">
        <v>634</v>
      </c>
      <c r="B6" s="831">
        <f>kWh_PV_kleiner_dan_10kW</f>
        <v>2796.9727659033933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28092.046253147491</v>
      </c>
      <c r="C8" s="21">
        <f>C5</f>
        <v>0</v>
      </c>
      <c r="D8" s="21">
        <f>D5</f>
        <v>82759.772691061939</v>
      </c>
      <c r="E8" s="21">
        <f>E5</f>
        <v>2646.0227312616348</v>
      </c>
      <c r="F8" s="21">
        <f>F5</f>
        <v>0</v>
      </c>
      <c r="G8" s="21"/>
      <c r="H8" s="21"/>
      <c r="I8" s="21"/>
      <c r="J8" s="21">
        <f>J5</f>
        <v>0</v>
      </c>
      <c r="K8" s="21"/>
      <c r="L8" s="21">
        <f>L5</f>
        <v>0</v>
      </c>
      <c r="M8" s="21">
        <f>M5</f>
        <v>0</v>
      </c>
      <c r="N8" s="21">
        <f>N5</f>
        <v>20370.909114364214</v>
      </c>
      <c r="O8" s="21">
        <f>O5</f>
        <v>132.88333333333333</v>
      </c>
      <c r="P8" s="21">
        <f>P5</f>
        <v>324.13333333333333</v>
      </c>
    </row>
    <row r="9" spans="1:16">
      <c r="B9" s="19"/>
      <c r="C9" s="19"/>
      <c r="D9" s="261"/>
      <c r="E9" s="19"/>
      <c r="F9" s="19"/>
      <c r="G9" s="19"/>
      <c r="H9" s="19"/>
      <c r="I9" s="19"/>
      <c r="J9" s="19"/>
      <c r="K9" s="19"/>
      <c r="L9" s="19"/>
      <c r="M9" s="19"/>
      <c r="N9" s="19"/>
      <c r="O9" s="19"/>
      <c r="P9" s="19"/>
    </row>
    <row r="10" spans="1:16">
      <c r="A10" s="24" t="s">
        <v>214</v>
      </c>
      <c r="B10" s="25">
        <f ca="1">'EF ele_warmte'!B12</f>
        <v>0.1804766975868658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5069.9597362255463</v>
      </c>
      <c r="C12" s="23">
        <f ca="1">C10*C8</f>
        <v>0</v>
      </c>
      <c r="D12" s="23">
        <f>D8*D10</f>
        <v>16717.474083594512</v>
      </c>
      <c r="E12" s="23">
        <f>E10*E8</f>
        <v>600.64715999639111</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3064</v>
      </c>
      <c r="C18" s="168" t="s">
        <v>111</v>
      </c>
      <c r="D18" s="230"/>
      <c r="E18" s="15"/>
    </row>
    <row r="19" spans="1:7">
      <c r="A19" s="173" t="s">
        <v>72</v>
      </c>
      <c r="B19" s="37">
        <f>aantalw2001_ander</f>
        <v>2</v>
      </c>
      <c r="C19" s="168" t="s">
        <v>111</v>
      </c>
      <c r="D19" s="231"/>
      <c r="E19" s="15"/>
    </row>
    <row r="20" spans="1:7">
      <c r="A20" s="173" t="s">
        <v>73</v>
      </c>
      <c r="B20" s="37">
        <f>aantalw2001_propaan</f>
        <v>56</v>
      </c>
      <c r="C20" s="169">
        <f>IF(ISERROR(B20/SUM($B$20,$B$21,$B$22)*100),0,B20/SUM($B$20,$B$21,$B$22)*100)</f>
        <v>8.1871345029239766</v>
      </c>
      <c r="D20" s="231"/>
      <c r="E20" s="15"/>
    </row>
    <row r="21" spans="1:7">
      <c r="A21" s="173" t="s">
        <v>74</v>
      </c>
      <c r="B21" s="37">
        <f>aantalw2001_elektriciteit</f>
        <v>513</v>
      </c>
      <c r="C21" s="169">
        <f>IF(ISERROR(B21/SUM($B$20,$B$21,$B$22)*100),0,B21/SUM($B$20,$B$21,$B$22)*100)</f>
        <v>75</v>
      </c>
      <c r="D21" s="231"/>
      <c r="E21" s="15"/>
    </row>
    <row r="22" spans="1:7">
      <c r="A22" s="173" t="s">
        <v>75</v>
      </c>
      <c r="B22" s="37">
        <f>aantalw2001_hout</f>
        <v>115</v>
      </c>
      <c r="C22" s="169">
        <f>IF(ISERROR(B22/SUM($B$20,$B$21,$B$22)*100),0,B22/SUM($B$20,$B$21,$B$22)*100)</f>
        <v>16.812865497076025</v>
      </c>
      <c r="D22" s="231"/>
      <c r="E22" s="15"/>
    </row>
    <row r="23" spans="1:7">
      <c r="A23" s="173" t="s">
        <v>76</v>
      </c>
      <c r="B23" s="37">
        <f>aantalw2001_niet_gespec</f>
        <v>55</v>
      </c>
      <c r="C23" s="168" t="s">
        <v>111</v>
      </c>
      <c r="D23" s="230"/>
      <c r="E23" s="15"/>
    </row>
    <row r="24" spans="1:7">
      <c r="A24" s="173" t="s">
        <v>77</v>
      </c>
      <c r="B24" s="37">
        <f>aantalw2001_steenkool</f>
        <v>102</v>
      </c>
      <c r="C24" s="168" t="s">
        <v>111</v>
      </c>
      <c r="D24" s="231"/>
      <c r="E24" s="15"/>
    </row>
    <row r="25" spans="1:7">
      <c r="A25" s="173" t="s">
        <v>78</v>
      </c>
      <c r="B25" s="37">
        <f>aantalw2001_stookolie</f>
        <v>1072</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5857</v>
      </c>
      <c r="C28" s="36"/>
      <c r="D28" s="230"/>
    </row>
    <row r="29" spans="1:7" s="15" customFormat="1">
      <c r="A29" s="232" t="s">
        <v>746</v>
      </c>
      <c r="B29" s="37">
        <f>SUM(HH_hh_gas_aantal,HH_rest_gas_aantal)</f>
        <v>4289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4289</v>
      </c>
      <c r="C32" s="169">
        <f>IF(ISERROR(B32/SUM($B$32,$B$34,$B$35,$B$36,$B$38,$B$39)*100),0,B32/SUM($B$32,$B$34,$B$35,$B$36,$B$38,$B$39)*100)</f>
        <v>73.441780821917817</v>
      </c>
      <c r="D32" s="235"/>
      <c r="G32" s="15"/>
    </row>
    <row r="33" spans="1:7">
      <c r="A33" s="173" t="s">
        <v>72</v>
      </c>
      <c r="B33" s="34" t="s">
        <v>111</v>
      </c>
      <c r="C33" s="169"/>
      <c r="D33" s="235"/>
      <c r="G33" s="15"/>
    </row>
    <row r="34" spans="1:7">
      <c r="A34" s="173" t="s">
        <v>73</v>
      </c>
      <c r="B34" s="33">
        <f>IF((($B$28-$B$32-$B$39-$B$77-$B$38)*C20/100)&lt;0,0,($B$28-$B$32-$B$39-$B$77-$B$38)*C20/100)</f>
        <v>126.98245614035088</v>
      </c>
      <c r="C34" s="169">
        <f>IF(ISERROR(B34/SUM($B$32,$B$34,$B$35,$B$36,$B$38,$B$39)*100),0,B34/SUM($B$32,$B$34,$B$35,$B$36,$B$38,$B$39)*100)</f>
        <v>2.1743571256909395</v>
      </c>
      <c r="D34" s="235"/>
      <c r="G34" s="15"/>
    </row>
    <row r="35" spans="1:7">
      <c r="A35" s="173" t="s">
        <v>74</v>
      </c>
      <c r="B35" s="33">
        <f>IF((($B$28-$B$32-$B$39-$B$77-$B$38)*C21/100)&lt;0,0,($B$28-$B$32-$B$39-$B$77-$B$38)*C21/100)</f>
        <v>1163.25</v>
      </c>
      <c r="C35" s="169">
        <f>IF(ISERROR(B35/SUM($B$32,$B$34,$B$35,$B$36,$B$38,$B$39)*100),0,B35/SUM($B$32,$B$34,$B$35,$B$36,$B$38,$B$39)*100)</f>
        <v>19.918664383561644</v>
      </c>
      <c r="D35" s="235"/>
      <c r="G35" s="15"/>
    </row>
    <row r="36" spans="1:7">
      <c r="A36" s="173" t="s">
        <v>75</v>
      </c>
      <c r="B36" s="33">
        <f>IF((($B$28-$B$32-$B$39-$B$77-$B$38)*C22/100)&lt;0,0,($B$28-$B$32-$B$39-$B$77-$B$38)*C22/100)</f>
        <v>260.76754385964915</v>
      </c>
      <c r="C36" s="169">
        <f>IF(ISERROR(B36/SUM($B$32,$B$34,$B$35,$B$36,$B$38,$B$39)*100),0,B36/SUM($B$32,$B$34,$B$35,$B$36,$B$38,$B$39)*100)</f>
        <v>4.4651976688296093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4289</v>
      </c>
      <c r="C44" s="34" t="s">
        <v>111</v>
      </c>
      <c r="D44" s="176"/>
    </row>
    <row r="45" spans="1:7">
      <c r="A45" s="173" t="s">
        <v>72</v>
      </c>
      <c r="B45" s="33" t="str">
        <f t="shared" si="0"/>
        <v>-</v>
      </c>
      <c r="C45" s="34" t="s">
        <v>111</v>
      </c>
      <c r="D45" s="176"/>
    </row>
    <row r="46" spans="1:7">
      <c r="A46" s="173" t="s">
        <v>73</v>
      </c>
      <c r="B46" s="33">
        <f t="shared" si="0"/>
        <v>126.98245614035088</v>
      </c>
      <c r="C46" s="34" t="s">
        <v>111</v>
      </c>
      <c r="D46" s="176"/>
    </row>
    <row r="47" spans="1:7">
      <c r="A47" s="173" t="s">
        <v>74</v>
      </c>
      <c r="B47" s="33">
        <f t="shared" si="0"/>
        <v>1163.25</v>
      </c>
      <c r="C47" s="34" t="s">
        <v>111</v>
      </c>
      <c r="D47" s="176"/>
    </row>
    <row r="48" spans="1:7">
      <c r="A48" s="173" t="s">
        <v>75</v>
      </c>
      <c r="B48" s="33">
        <f t="shared" si="0"/>
        <v>260.76754385964915</v>
      </c>
      <c r="C48" s="33">
        <f>B48*10</f>
        <v>2607.6754385964914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22650.38582470172</v>
      </c>
      <c r="C5" s="17">
        <f>IF(ISERROR('Eigen informatie GS &amp; warmtenet'!B58),0,'Eigen informatie GS &amp; warmtenet'!B58)</f>
        <v>0</v>
      </c>
      <c r="D5" s="30">
        <f>SUM(D6:D12)</f>
        <v>43016.886834389974</v>
      </c>
      <c r="E5" s="17">
        <f>SUM(E6:E12)</f>
        <v>335.20397749095019</v>
      </c>
      <c r="F5" s="17">
        <f>SUM(F6:F12)</f>
        <v>4826.0176676423907</v>
      </c>
      <c r="G5" s="18"/>
      <c r="H5" s="17"/>
      <c r="I5" s="17"/>
      <c r="J5" s="17">
        <f>SUM(J6:J12)</f>
        <v>0</v>
      </c>
      <c r="K5" s="17"/>
      <c r="L5" s="17"/>
      <c r="M5" s="17"/>
      <c r="N5" s="17">
        <f>SUM(N6:N12)</f>
        <v>1884.6097324655057</v>
      </c>
      <c r="O5" s="17">
        <f>B38*B39*B40</f>
        <v>4.6900000000000004</v>
      </c>
      <c r="P5" s="17">
        <f>B46*B47*B48/1000-B46*B47*B48/1000/B49</f>
        <v>38.133333333333333</v>
      </c>
      <c r="R5" s="32"/>
    </row>
    <row r="6" spans="1:18">
      <c r="A6" s="32" t="s">
        <v>54</v>
      </c>
      <c r="B6" s="37">
        <f>B26</f>
        <v>4732.3196684254199</v>
      </c>
      <c r="C6" s="33"/>
      <c r="D6" s="37">
        <f>IF(ISERROR(TER_kantoor_gas_kWh/1000),0,TER_kantoor_gas_kWh/1000)*0.902</f>
        <v>6254.5818987225721</v>
      </c>
      <c r="E6" s="33">
        <f>$C$26*'E Balans VL '!I12/100/3.6*1000000</f>
        <v>18.386063802281551</v>
      </c>
      <c r="F6" s="33">
        <f>$C$26*('E Balans VL '!L12+'E Balans VL '!N12)/100/3.6*1000000</f>
        <v>719.74276089161879</v>
      </c>
      <c r="G6" s="34"/>
      <c r="H6" s="33"/>
      <c r="I6" s="33"/>
      <c r="J6" s="33">
        <f>$C$26*('E Balans VL '!D12+'E Balans VL '!E12)/100/3.6*1000000</f>
        <v>0</v>
      </c>
      <c r="K6" s="33"/>
      <c r="L6" s="33"/>
      <c r="M6" s="33"/>
      <c r="N6" s="33">
        <f>$C$26*'E Balans VL '!Y12/100/3.6*1000000</f>
        <v>2.608075055237228</v>
      </c>
      <c r="O6" s="33"/>
      <c r="P6" s="33"/>
      <c r="R6" s="32"/>
    </row>
    <row r="7" spans="1:18">
      <c r="A7" s="32" t="s">
        <v>53</v>
      </c>
      <c r="B7" s="37">
        <f t="shared" ref="B7:B12" si="0">B27</f>
        <v>3085.3235279599899</v>
      </c>
      <c r="C7" s="33"/>
      <c r="D7" s="37">
        <f>IF(ISERROR(TER_horeca_gas_kWh/1000),0,TER_horeca_gas_kWh/1000)*0.902</f>
        <v>3947.6235321643126</v>
      </c>
      <c r="E7" s="33">
        <f>$C$27*'E Balans VL '!I9/100/3.6*1000000</f>
        <v>173.79709920882962</v>
      </c>
      <c r="F7" s="33">
        <f>$C$27*('E Balans VL '!L9+'E Balans VL '!N9)/100/3.6*1000000</f>
        <v>889.62259091480439</v>
      </c>
      <c r="G7" s="34"/>
      <c r="H7" s="33"/>
      <c r="I7" s="33"/>
      <c r="J7" s="33">
        <f>$C$27*('E Balans VL '!D9+'E Balans VL '!E9)/100/3.6*1000000</f>
        <v>0</v>
      </c>
      <c r="K7" s="33"/>
      <c r="L7" s="33"/>
      <c r="M7" s="33"/>
      <c r="N7" s="33">
        <f>$C$27*'E Balans VL '!Y9/100/3.6*1000000</f>
        <v>0.85184179322022024</v>
      </c>
      <c r="O7" s="33"/>
      <c r="P7" s="33"/>
      <c r="R7" s="32"/>
    </row>
    <row r="8" spans="1:18">
      <c r="A8" s="6" t="s">
        <v>52</v>
      </c>
      <c r="B8" s="37">
        <f t="shared" si="0"/>
        <v>7165.9206912609998</v>
      </c>
      <c r="C8" s="33"/>
      <c r="D8" s="37">
        <f>IF(ISERROR(TER_handel_gas_kWh/1000),0,TER_handel_gas_kWh/1000)*0.902</f>
        <v>4212.5364662424454</v>
      </c>
      <c r="E8" s="33">
        <f>$C$28*'E Balans VL '!I13/100/3.6*1000000</f>
        <v>103.28522871156854</v>
      </c>
      <c r="F8" s="33">
        <f>$C$28*('E Balans VL '!L13+'E Balans VL '!N13)/100/3.6*1000000</f>
        <v>1244.8873071038595</v>
      </c>
      <c r="G8" s="34"/>
      <c r="H8" s="33"/>
      <c r="I8" s="33"/>
      <c r="J8" s="33">
        <f>$C$28*('E Balans VL '!D13+'E Balans VL '!E13)/100/3.6*1000000</f>
        <v>0</v>
      </c>
      <c r="K8" s="33"/>
      <c r="L8" s="33"/>
      <c r="M8" s="33"/>
      <c r="N8" s="33">
        <f>$C$28*'E Balans VL '!Y13/100/3.6*1000000</f>
        <v>21.469896117742604</v>
      </c>
      <c r="O8" s="33"/>
      <c r="P8" s="33"/>
      <c r="R8" s="32"/>
    </row>
    <row r="9" spans="1:18">
      <c r="A9" s="32" t="s">
        <v>51</v>
      </c>
      <c r="B9" s="37">
        <f t="shared" si="0"/>
        <v>1458.5165248789301</v>
      </c>
      <c r="C9" s="33"/>
      <c r="D9" s="37">
        <f>IF(ISERROR(TER_gezond_gas_kWh/1000),0,TER_gezond_gas_kWh/1000)*0.902</f>
        <v>11460.441721804295</v>
      </c>
      <c r="E9" s="33">
        <f>$C$29*'E Balans VL '!I10/100/3.6*1000000</f>
        <v>1.5580736821711019</v>
      </c>
      <c r="F9" s="33">
        <f>$C$29*('E Balans VL '!L10+'E Balans VL '!N10)/100/3.6*1000000</f>
        <v>237.92837118828763</v>
      </c>
      <c r="G9" s="34"/>
      <c r="H9" s="33"/>
      <c r="I9" s="33"/>
      <c r="J9" s="33">
        <f>$C$29*('E Balans VL '!D10+'E Balans VL '!E10)/100/3.6*1000000</f>
        <v>0</v>
      </c>
      <c r="K9" s="33"/>
      <c r="L9" s="33"/>
      <c r="M9" s="33"/>
      <c r="N9" s="33">
        <f>$C$29*'E Balans VL '!Y10/100/3.6*1000000</f>
        <v>15.014595410702391</v>
      </c>
      <c r="O9" s="33"/>
      <c r="P9" s="33"/>
      <c r="R9" s="32"/>
    </row>
    <row r="10" spans="1:18">
      <c r="A10" s="32" t="s">
        <v>50</v>
      </c>
      <c r="B10" s="37">
        <f t="shared" si="0"/>
        <v>2410.1718759755099</v>
      </c>
      <c r="C10" s="33"/>
      <c r="D10" s="37">
        <f>IF(ISERROR(TER_ander_gas_kWh/1000),0,TER_ander_gas_kWh/1000)*0.902</f>
        <v>2246.4313362692983</v>
      </c>
      <c r="E10" s="33">
        <f>$C$30*'E Balans VL '!I14/100/3.6*1000000</f>
        <v>11.084013843253915</v>
      </c>
      <c r="F10" s="33">
        <f>$C$30*('E Balans VL '!L14+'E Balans VL '!N14)/100/3.6*1000000</f>
        <v>722.40453488370497</v>
      </c>
      <c r="G10" s="34"/>
      <c r="H10" s="33"/>
      <c r="I10" s="33"/>
      <c r="J10" s="33">
        <f>$C$30*('E Balans VL '!D14+'E Balans VL '!E14)/100/3.6*1000000</f>
        <v>0</v>
      </c>
      <c r="K10" s="33"/>
      <c r="L10" s="33"/>
      <c r="M10" s="33"/>
      <c r="N10" s="33">
        <f>$C$30*'E Balans VL '!Y14/100/3.6*1000000</f>
        <v>1677.6387229771522</v>
      </c>
      <c r="O10" s="33"/>
      <c r="P10" s="33"/>
      <c r="R10" s="32"/>
    </row>
    <row r="11" spans="1:18">
      <c r="A11" s="32" t="s">
        <v>55</v>
      </c>
      <c r="B11" s="37">
        <f t="shared" si="0"/>
        <v>1694.0002916722401</v>
      </c>
      <c r="C11" s="33"/>
      <c r="D11" s="37">
        <f>IF(ISERROR(TER_onderwijs_gas_kWh/1000),0,TER_onderwijs_gas_kWh/1000)*0.902</f>
        <v>3253.7238758065669</v>
      </c>
      <c r="E11" s="33">
        <f>$C$31*'E Balans VL '!I11/100/3.6*1000000</f>
        <v>1.5714080464346707</v>
      </c>
      <c r="F11" s="33">
        <f>$C$31*('E Balans VL '!L11+'E Balans VL '!N11)/100/3.6*1000000</f>
        <v>595.06336866694642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2104.1332445286298</v>
      </c>
      <c r="C12" s="33"/>
      <c r="D12" s="37">
        <f>IF(ISERROR(TER_rest_gas_kWh/1000),0,TER_rest_gas_kWh/1000)*0.902</f>
        <v>11641.548003380483</v>
      </c>
      <c r="E12" s="33">
        <f>$C$32*'E Balans VL '!I8/100/3.6*1000000</f>
        <v>25.522090196410854</v>
      </c>
      <c r="F12" s="33">
        <f>$C$32*('E Balans VL '!L8+'E Balans VL '!N8)/100/3.6*1000000</f>
        <v>416.36873399316983</v>
      </c>
      <c r="G12" s="34"/>
      <c r="H12" s="33"/>
      <c r="I12" s="33"/>
      <c r="J12" s="33">
        <f>$C$32*('E Balans VL '!D8+'E Balans VL '!E8)/100/3.6*1000000</f>
        <v>0</v>
      </c>
      <c r="K12" s="33"/>
      <c r="L12" s="33"/>
      <c r="M12" s="33"/>
      <c r="N12" s="33">
        <f>$C$32*'E Balans VL '!Y8/100/3.6*1000000</f>
        <v>167.02660111145121</v>
      </c>
      <c r="O12" s="33"/>
      <c r="P12" s="33"/>
      <c r="R12" s="32"/>
    </row>
    <row r="13" spans="1:18">
      <c r="A13" s="16" t="s">
        <v>497</v>
      </c>
      <c r="B13" s="249">
        <f ca="1">'lokale energieproductie'!N90+'lokale energieproductie'!N59</f>
        <v>15961.5</v>
      </c>
      <c r="C13" s="249">
        <f ca="1">'lokale energieproductie'!O90+'lokale energieproductie'!O59</f>
        <v>22802.142857142859</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-45604.285714285717</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38611.88582470172</v>
      </c>
      <c r="C16" s="21">
        <f t="shared" ca="1" si="1"/>
        <v>22802.142857142859</v>
      </c>
      <c r="D16" s="21">
        <f t="shared" ca="1" si="1"/>
        <v>43016.886834389974</v>
      </c>
      <c r="E16" s="21">
        <f t="shared" si="1"/>
        <v>335.20397749095019</v>
      </c>
      <c r="F16" s="21">
        <f t="shared" ca="1" si="1"/>
        <v>4826.0176676423907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0.1804766975868658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6968.5456412432823</v>
      </c>
      <c r="C20" s="23">
        <f t="shared" ref="C20:P20" ca="1" si="2">C16*C18</f>
        <v>0</v>
      </c>
      <c r="D20" s="23">
        <f t="shared" ca="1" si="2"/>
        <v>8689.4111405467756</v>
      </c>
      <c r="E20" s="23">
        <f t="shared" si="2"/>
        <v>76.091302890445704</v>
      </c>
      <c r="F20" s="23">
        <f t="shared" ca="1" si="2"/>
        <v>1288.5467172605183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4732.3196684254199</v>
      </c>
      <c r="C26" s="39">
        <f>IF(ISERROR(B26*3.6/1000000/'E Balans VL '!Z12*100),0,B26*3.6/1000000/'E Balans VL '!Z12*100)</f>
        <v>0.10051681384379259</v>
      </c>
      <c r="D26" s="239" t="s">
        <v>692</v>
      </c>
      <c r="F26" s="6"/>
    </row>
    <row r="27" spans="1:18">
      <c r="A27" s="233" t="s">
        <v>53</v>
      </c>
      <c r="B27" s="33">
        <f>IF(ISERROR(TER_horeca_ele_kWh/1000),0,TER_horeca_ele_kWh/1000)</f>
        <v>3085.3235279599899</v>
      </c>
      <c r="C27" s="39">
        <f>IF(ISERROR(B27*3.6/1000000/'E Balans VL '!Z9*100),0,B27*3.6/1000000/'E Balans VL '!Z9*100)</f>
        <v>0.23990269416074231</v>
      </c>
      <c r="D27" s="239" t="s">
        <v>692</v>
      </c>
      <c r="F27" s="6"/>
    </row>
    <row r="28" spans="1:18">
      <c r="A28" s="173" t="s">
        <v>52</v>
      </c>
      <c r="B28" s="33">
        <f>IF(ISERROR(TER_handel_ele_kWh/1000),0,TER_handel_ele_kWh/1000)</f>
        <v>7165.9206912609998</v>
      </c>
      <c r="C28" s="39">
        <f>IF(ISERROR(B28*3.6/1000000/'E Balans VL '!Z13*100),0,B28*3.6/1000000/'E Balans VL '!Z13*100)</f>
        <v>0.20502542442199048</v>
      </c>
      <c r="D28" s="239" t="s">
        <v>692</v>
      </c>
      <c r="F28" s="6"/>
    </row>
    <row r="29" spans="1:18">
      <c r="A29" s="233" t="s">
        <v>51</v>
      </c>
      <c r="B29" s="33">
        <f>IF(ISERROR(TER_gezond_ele_kWh/1000),0,TER_gezond_ele_kWh/1000)</f>
        <v>1458.5165248789301</v>
      </c>
      <c r="C29" s="39">
        <f>IF(ISERROR(B29*3.6/1000000/'E Balans VL '!Z10*100),0,B29*3.6/1000000/'E Balans VL '!Z10*100)</f>
        <v>0.15901219307112899</v>
      </c>
      <c r="D29" s="239" t="s">
        <v>692</v>
      </c>
      <c r="F29" s="6"/>
    </row>
    <row r="30" spans="1:18">
      <c r="A30" s="233" t="s">
        <v>50</v>
      </c>
      <c r="B30" s="33">
        <f>IF(ISERROR(TER_ander_ele_kWh/1000),0,TER_ander_ele_kWh/1000)</f>
        <v>2410.1718759755099</v>
      </c>
      <c r="C30" s="39">
        <f>IF(ISERROR(B30*3.6/1000000/'E Balans VL '!Z14*100),0,B30*3.6/1000000/'E Balans VL '!Z14*100)</f>
        <v>0.176370910538593</v>
      </c>
      <c r="D30" s="239" t="s">
        <v>692</v>
      </c>
      <c r="F30" s="6"/>
    </row>
    <row r="31" spans="1:18">
      <c r="A31" s="233" t="s">
        <v>55</v>
      </c>
      <c r="B31" s="33">
        <f>IF(ISERROR(TER_onderwijs_ele_kWh/1000),0,TER_onderwijs_ele_kWh/1000)</f>
        <v>1694.0002916722401</v>
      </c>
      <c r="C31" s="39">
        <f>IF(ISERROR(B31*3.6/1000000/'E Balans VL '!Z11*100),0,B31*3.6/1000000/'E Balans VL '!Z11*100)</f>
        <v>0.34024121651229872</v>
      </c>
      <c r="D31" s="239" t="s">
        <v>692</v>
      </c>
    </row>
    <row r="32" spans="1:18">
      <c r="A32" s="233" t="s">
        <v>260</v>
      </c>
      <c r="B32" s="33">
        <f>IF(ISERROR(TER_rest_ele_kWh/1000),0,TER_rest_ele_kWh/1000)</f>
        <v>2104.1332445286298</v>
      </c>
      <c r="C32" s="39">
        <f>IF(ISERROR(B32*3.6/1000000/'E Balans VL '!Z8*100),0,B32*3.6/1000000/'E Balans VL '!Z8*100)</f>
        <v>1.7147409009322195E-2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57347.088875304558</v>
      </c>
      <c r="C5" s="17">
        <f>IF(ISERROR('Eigen informatie GS &amp; warmtenet'!B59),0,'Eigen informatie GS &amp; warmtenet'!B59)</f>
        <v>0</v>
      </c>
      <c r="D5" s="30">
        <f>SUM(D6:D15)</f>
        <v>43760.11890727625</v>
      </c>
      <c r="E5" s="17">
        <f>SUM(E6:E15)</f>
        <v>5483.5572826493135</v>
      </c>
      <c r="F5" s="17">
        <f>SUM(F6:F15)</f>
        <v>35564.318307550879</v>
      </c>
      <c r="G5" s="18"/>
      <c r="H5" s="17"/>
      <c r="I5" s="17"/>
      <c r="J5" s="17">
        <f>SUM(J6:J15)</f>
        <v>71.30011291353874</v>
      </c>
      <c r="K5" s="17"/>
      <c r="L5" s="17"/>
      <c r="M5" s="17"/>
      <c r="N5" s="17">
        <f>SUM(N6:N15)</f>
        <v>12716.334316538021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5717.4771678972002</v>
      </c>
      <c r="C8" s="33"/>
      <c r="D8" s="37">
        <f>IF( ISERROR(IND_metaal_Gas_kWH/1000),0,IND_metaal_Gas_kWH/1000)*0.902</f>
        <v>752.19958192676995</v>
      </c>
      <c r="E8" s="33">
        <f>C30*'E Balans VL '!I18/100/3.6*1000000</f>
        <v>164.22740503851881</v>
      </c>
      <c r="F8" s="33">
        <f>C30*'E Balans VL '!L18/100/3.6*1000000+C30*'E Balans VL '!N18/100/3.6*1000000</f>
        <v>1466.4229306767857</v>
      </c>
      <c r="G8" s="34"/>
      <c r="H8" s="33"/>
      <c r="I8" s="33"/>
      <c r="J8" s="40">
        <f>C30*'E Balans VL '!D18/100/3.6*1000000+C30*'E Balans VL '!E18/100/3.6*1000000</f>
        <v>0</v>
      </c>
      <c r="K8" s="33"/>
      <c r="L8" s="33"/>
      <c r="M8" s="33"/>
      <c r="N8" s="33">
        <f>C30*'E Balans VL '!Y18/100/3.6*1000000</f>
        <v>155.24117613283283</v>
      </c>
      <c r="O8" s="33"/>
      <c r="P8" s="33"/>
      <c r="R8" s="32"/>
    </row>
    <row r="9" spans="1:18">
      <c r="A9" s="6" t="s">
        <v>33</v>
      </c>
      <c r="B9" s="37">
        <f t="shared" si="0"/>
        <v>10107.6254974805</v>
      </c>
      <c r="C9" s="33"/>
      <c r="D9" s="37">
        <f>IF( ISERROR(IND_andere_gas_kWh/1000),0,IND_andere_gas_kWh/1000)*0.902</f>
        <v>2079.3412467793023</v>
      </c>
      <c r="E9" s="33">
        <f>C31*'E Balans VL '!I19/100/3.6*1000000</f>
        <v>2735.8857055710541</v>
      </c>
      <c r="F9" s="33">
        <f>C31*'E Balans VL '!L19/100/3.6*1000000+C31*'E Balans VL '!N19/100/3.6*1000000</f>
        <v>6732.7481915307917</v>
      </c>
      <c r="G9" s="34"/>
      <c r="H9" s="33"/>
      <c r="I9" s="33"/>
      <c r="J9" s="40">
        <f>C31*'E Balans VL '!D19/100/3.6*1000000+C31*'E Balans VL '!E19/100/3.6*1000000</f>
        <v>0</v>
      </c>
      <c r="K9" s="33"/>
      <c r="L9" s="33"/>
      <c r="M9" s="33"/>
      <c r="N9" s="33">
        <f>C31*'E Balans VL '!Y19/100/3.6*1000000</f>
        <v>3299.971822893609</v>
      </c>
      <c r="O9" s="33"/>
      <c r="P9" s="33"/>
      <c r="R9" s="32"/>
    </row>
    <row r="10" spans="1:18">
      <c r="A10" s="6" t="s">
        <v>41</v>
      </c>
      <c r="B10" s="37">
        <f t="shared" si="0"/>
        <v>14052.794576885301</v>
      </c>
      <c r="C10" s="33"/>
      <c r="D10" s="37">
        <f>IF( ISERROR(IND_voed_gas_kWh/1000),0,IND_voed_gas_kWh/1000)*0.902</f>
        <v>10028.913450627922</v>
      </c>
      <c r="E10" s="33">
        <f>C32*'E Balans VL '!I20/100/3.6*1000000</f>
        <v>1146.1782111461944</v>
      </c>
      <c r="F10" s="33">
        <f>C32*'E Balans VL '!L20/100/3.6*1000000+C32*'E Balans VL '!N20/100/3.6*1000000</f>
        <v>20953.991695375498</v>
      </c>
      <c r="G10" s="34"/>
      <c r="H10" s="33"/>
      <c r="I10" s="33"/>
      <c r="J10" s="40">
        <f>C32*'E Balans VL '!D20/100/3.6*1000000+C32*'E Balans VL '!E20/100/3.6*1000000</f>
        <v>0.18590141444789104</v>
      </c>
      <c r="K10" s="33"/>
      <c r="L10" s="33"/>
      <c r="M10" s="33"/>
      <c r="N10" s="33">
        <f>C32*'E Balans VL '!Y20/100/3.6*1000000</f>
        <v>4128.2151770368464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1028.8917533619201</v>
      </c>
      <c r="C12" s="33"/>
      <c r="D12" s="37">
        <f>IF( ISERROR(IND_min_gas_kWh/1000),0,IND_min_gas_kWh/1000)*0.902</f>
        <v>0</v>
      </c>
      <c r="E12" s="33">
        <f>C34*'E Balans VL '!I22/100/3.6*1000000</f>
        <v>8.0148425727188979</v>
      </c>
      <c r="F12" s="33">
        <f>C34*'E Balans VL '!L22/100/3.6*1000000+C34*'E Balans VL '!N22/100/3.6*1000000</f>
        <v>388.0347420387676</v>
      </c>
      <c r="G12" s="34"/>
      <c r="H12" s="33"/>
      <c r="I12" s="33"/>
      <c r="J12" s="40">
        <f>C34*'E Balans VL '!D22/100/3.6*1000000+C34*'E Balans VL '!E22/100/3.6*1000000</f>
        <v>5.6588146844725502</v>
      </c>
      <c r="K12" s="33"/>
      <c r="L12" s="33"/>
      <c r="M12" s="33"/>
      <c r="N12" s="33">
        <f>C34*'E Balans VL '!Y22/100/3.6*1000000</f>
        <v>0</v>
      </c>
      <c r="O12" s="33"/>
      <c r="P12" s="33"/>
      <c r="R12" s="32"/>
    </row>
    <row r="13" spans="1:18">
      <c r="A13" s="6" t="s">
        <v>39</v>
      </c>
      <c r="B13" s="37">
        <f t="shared" si="0"/>
        <v>46.895566697574097</v>
      </c>
      <c r="C13" s="33"/>
      <c r="D13" s="37">
        <f>IF( ISERROR(IND_papier_gas_kWh/1000),0,IND_papier_gas_kWh/1000)*0.902</f>
        <v>135.17763618982534</v>
      </c>
      <c r="E13" s="33">
        <f>C35*'E Balans VL '!I23/100/3.6*1000000</f>
        <v>0.49131649445331049</v>
      </c>
      <c r="F13" s="33">
        <f>C35*'E Balans VL '!L23/100/3.6*1000000+C35*'E Balans VL '!N23/100/3.6*1000000</f>
        <v>3.4993554990261413</v>
      </c>
      <c r="G13" s="34"/>
      <c r="H13" s="33"/>
      <c r="I13" s="33"/>
      <c r="J13" s="40">
        <f>C35*'E Balans VL '!D23/100/3.6*1000000+C35*'E Balans VL '!E23/100/3.6*1000000</f>
        <v>0</v>
      </c>
      <c r="K13" s="33"/>
      <c r="L13" s="33"/>
      <c r="M13" s="33"/>
      <c r="N13" s="33">
        <f>C35*'E Balans VL '!Y23/100/3.6*1000000</f>
        <v>100.23437900553643</v>
      </c>
      <c r="O13" s="33"/>
      <c r="P13" s="33"/>
      <c r="R13" s="32"/>
    </row>
    <row r="14" spans="1:18">
      <c r="A14" s="6" t="s">
        <v>34</v>
      </c>
      <c r="B14" s="37">
        <f t="shared" si="0"/>
        <v>855.44456711865803</v>
      </c>
      <c r="C14" s="33"/>
      <c r="D14" s="37">
        <f>IF( ISERROR(IND_chemie_gas_kWh/1000),0,IND_chemie_gas_kWh/1000)*0.902</f>
        <v>0</v>
      </c>
      <c r="E14" s="33">
        <f>C36*'E Balans VL '!I24/100/3.6*1000000</f>
        <v>4.0438873530130239</v>
      </c>
      <c r="F14" s="33">
        <f>C36*'E Balans VL '!L24/100/3.6*1000000+C36*'E Balans VL '!N24/100/3.6*1000000</f>
        <v>16.167443149214861</v>
      </c>
      <c r="G14" s="34"/>
      <c r="H14" s="33"/>
      <c r="I14" s="33"/>
      <c r="J14" s="40">
        <f>C36*'E Balans VL '!D24/100/3.6*1000000+C36*'E Balans VL '!E24/100/3.6*1000000</f>
        <v>0</v>
      </c>
      <c r="K14" s="33"/>
      <c r="L14" s="33"/>
      <c r="M14" s="33"/>
      <c r="N14" s="33">
        <f>C36*'E Balans VL '!Y24/100/3.6*1000000</f>
        <v>20.767300094018324</v>
      </c>
      <c r="O14" s="33"/>
      <c r="P14" s="33"/>
      <c r="R14" s="32"/>
    </row>
    <row r="15" spans="1:18">
      <c r="A15" s="6" t="s">
        <v>270</v>
      </c>
      <c r="B15" s="37">
        <f t="shared" si="0"/>
        <v>25537.959745863402</v>
      </c>
      <c r="C15" s="33"/>
      <c r="D15" s="37">
        <f>IF( ISERROR(IND_rest_gas_kWh/1000),0,IND_rest_gas_kWh/1000)*0.902</f>
        <v>30764.48699175243</v>
      </c>
      <c r="E15" s="33">
        <f>C37*'E Balans VL '!I15/100/3.6*1000000</f>
        <v>1424.7159144733605</v>
      </c>
      <c r="F15" s="33">
        <f>C37*'E Balans VL '!L15/100/3.6*1000000+C37*'E Balans VL '!N15/100/3.6*1000000</f>
        <v>6003.453949280798</v>
      </c>
      <c r="G15" s="34"/>
      <c r="H15" s="33"/>
      <c r="I15" s="33"/>
      <c r="J15" s="40">
        <f>C37*'E Balans VL '!D15/100/3.6*1000000+C37*'E Balans VL '!E15/100/3.6*1000000</f>
        <v>65.455396814618297</v>
      </c>
      <c r="K15" s="33"/>
      <c r="L15" s="33"/>
      <c r="M15" s="33"/>
      <c r="N15" s="33">
        <f>C37*'E Balans VL '!Y15/100/3.6*1000000</f>
        <v>5011.9044613751776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57347.088875304558</v>
      </c>
      <c r="C18" s="21">
        <f>C5+C16</f>
        <v>0</v>
      </c>
      <c r="D18" s="21">
        <f>MAX((D5+D16),0)</f>
        <v>43760.11890727625</v>
      </c>
      <c r="E18" s="21">
        <f>MAX((E5+E16),0)</f>
        <v>5483.5572826493135</v>
      </c>
      <c r="F18" s="21">
        <f>MAX((F5+F16),0)</f>
        <v>35564.318307550879</v>
      </c>
      <c r="G18" s="21"/>
      <c r="H18" s="21"/>
      <c r="I18" s="21"/>
      <c r="J18" s="21">
        <f>MAX((J5+J16),0)</f>
        <v>71.30011291353874</v>
      </c>
      <c r="K18" s="21"/>
      <c r="L18" s="21">
        <f>MAX((L5+L16),0)</f>
        <v>0</v>
      </c>
      <c r="M18" s="21"/>
      <c r="N18" s="21">
        <f>MAX((N5+N16),0)</f>
        <v>12716.334316538021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0.1804766975868658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10349.813216435457</v>
      </c>
      <c r="C22" s="23">
        <f ca="1">C18*C20</f>
        <v>0</v>
      </c>
      <c r="D22" s="23">
        <f>D18*D20</f>
        <v>8839.5440192698024</v>
      </c>
      <c r="E22" s="23">
        <f>E18*E20</f>
        <v>1244.7675031613942</v>
      </c>
      <c r="F22" s="23">
        <f>F18*F20</f>
        <v>9495.6729881160845</v>
      </c>
      <c r="G22" s="23"/>
      <c r="H22" s="23"/>
      <c r="I22" s="23"/>
      <c r="J22" s="23">
        <f>J18*J20</f>
        <v>25.240239971392711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5717.4771678972002</v>
      </c>
      <c r="C30" s="39">
        <f>IF(ISERROR(B30*3.6/1000000/'E Balans VL '!Z18*100),0,B30*3.6/1000000/'E Balans VL '!Z18*100)</f>
        <v>0.56258515815662569</v>
      </c>
      <c r="D30" s="239" t="s">
        <v>692</v>
      </c>
    </row>
    <row r="31" spans="1:18">
      <c r="A31" s="6" t="s">
        <v>33</v>
      </c>
      <c r="B31" s="37">
        <f>IF( ISERROR(IND_ander_ele_kWh/1000),0,IND_ander_ele_kWh/1000)</f>
        <v>10107.6254974805</v>
      </c>
      <c r="C31" s="39">
        <f>IF(ISERROR(B31*3.6/1000000/'E Balans VL '!Z19*100),0,B31*3.6/1000000/'E Balans VL '!Z19*100)</f>
        <v>0.44017902764184003</v>
      </c>
      <c r="D31" s="239" t="s">
        <v>692</v>
      </c>
    </row>
    <row r="32" spans="1:18">
      <c r="A32" s="173" t="s">
        <v>41</v>
      </c>
      <c r="B32" s="37">
        <f>IF( ISERROR(IND_voed_ele_kWh/1000),0,IND_voed_ele_kWh/1000)</f>
        <v>14052.794576885301</v>
      </c>
      <c r="C32" s="39">
        <f>IF(ISERROR(B32*3.6/1000000/'E Balans VL '!Z20*100),0,B32*3.6/1000000/'E Balans VL '!Z20*100)</f>
        <v>2.6663151076190497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1028.8917533619201</v>
      </c>
      <c r="C34" s="39">
        <f>IF(ISERROR(B34*3.6/1000000/'E Balans VL '!Z22*100),0,B34*3.6/1000000/'E Balans VL '!Z22*100)</f>
        <v>0.14467251233163456</v>
      </c>
      <c r="D34" s="239" t="s">
        <v>692</v>
      </c>
    </row>
    <row r="35" spans="1:5">
      <c r="A35" s="173" t="s">
        <v>39</v>
      </c>
      <c r="B35" s="37">
        <f>IF( ISERROR(IND_papier_ele_kWh/1000),0,IND_papier_ele_kWh/1000)</f>
        <v>46.895566697574097</v>
      </c>
      <c r="C35" s="39">
        <f>IF(ISERROR(B35*3.6/1000000/'E Balans VL '!Z22*100),0,B35*3.6/1000000/'E Balans VL '!Z22*100)</f>
        <v>6.5939875882815857E-3</v>
      </c>
      <c r="D35" s="239" t="s">
        <v>692</v>
      </c>
    </row>
    <row r="36" spans="1:5">
      <c r="A36" s="173" t="s">
        <v>34</v>
      </c>
      <c r="B36" s="37">
        <f>IF( ISERROR(IND_chemie_ele_kWh/1000),0,IND_chemie_ele_kWh/1000)</f>
        <v>855.44456711865803</v>
      </c>
      <c r="C36" s="39">
        <f>IF(ISERROR(B36*3.6/1000000/'E Balans VL '!Z24*100),0,B36*3.6/1000000/'E Balans VL '!Z24*100)</f>
        <v>2.4930182475288529E-2</v>
      </c>
      <c r="D36" s="239" t="s">
        <v>692</v>
      </c>
    </row>
    <row r="37" spans="1:5">
      <c r="A37" s="173" t="s">
        <v>270</v>
      </c>
      <c r="B37" s="37">
        <f>IF( ISERROR(IND_rest_ele_kWh/1000),0,IND_rest_ele_kWh/1000)</f>
        <v>25537.959745863402</v>
      </c>
      <c r="C37" s="39">
        <f>IF(ISERROR(B37*3.6/1000000/'E Balans VL '!Z15*100),0,B37*3.6/1000000/'E Balans VL '!Z15*100)</f>
        <v>0.19680134692209608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1406.631851315005</v>
      </c>
      <c r="C5" s="17">
        <f>'Eigen informatie GS &amp; warmtenet'!B60</f>
        <v>0</v>
      </c>
      <c r="D5" s="30">
        <f>IF(ISERROR(SUM(LB_lb_gas_kWh,LB_rest_gas_kWh,onbekend_gas_kWh)/1000),0,SUM(LB_lb_gas_kWh,LB_rest_gas_kWh,onbekend_gas_kWh)/1000)*0.902</f>
        <v>8515.0520091067447</v>
      </c>
      <c r="E5" s="17">
        <f>B17*'E Balans VL '!I25/3.6*1000000/100</f>
        <v>17.725373436832857</v>
      </c>
      <c r="F5" s="17">
        <f>B17*('E Balans VL '!L25/3.6*1000000+'E Balans VL '!N25/3.6*1000000)/100</f>
        <v>4853.2322693712294</v>
      </c>
      <c r="G5" s="18"/>
      <c r="H5" s="17"/>
      <c r="I5" s="17"/>
      <c r="J5" s="17">
        <f>('E Balans VL '!D25+'E Balans VL '!E25)/3.6*1000000*landbouw!B17/100</f>
        <v>211.54144041123152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1406.631851315005</v>
      </c>
      <c r="C8" s="21">
        <f>C5+C6</f>
        <v>0</v>
      </c>
      <c r="D8" s="21">
        <f>MAX((D5+D6),0)</f>
        <v>8515.0520091067447</v>
      </c>
      <c r="E8" s="21">
        <f>MAX((E5+E6),0)</f>
        <v>17.725373436832857</v>
      </c>
      <c r="F8" s="21">
        <f>MAX((F5+F6),0)</f>
        <v>4853.2322693712294</v>
      </c>
      <c r="G8" s="21"/>
      <c r="H8" s="21"/>
      <c r="I8" s="21"/>
      <c r="J8" s="21">
        <f>MAX((J5+J6),0)</f>
        <v>211.54144041123152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0.1804766975868658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253.86427124583133</v>
      </c>
      <c r="C12" s="23">
        <f ca="1">C8*C10</f>
        <v>0</v>
      </c>
      <c r="D12" s="23">
        <f>D8*D10</f>
        <v>1720.0405058395625</v>
      </c>
      <c r="E12" s="23">
        <f>E8*E10</f>
        <v>4.0236597701610588</v>
      </c>
      <c r="F12" s="23">
        <f>F8*F10</f>
        <v>1295.8130159221184</v>
      </c>
      <c r="G12" s="23"/>
      <c r="H12" s="23"/>
      <c r="I12" s="23"/>
      <c r="J12" s="23">
        <f>J8*J10</f>
        <v>74.885669905575952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0.19618080879594124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490.84001958010134</v>
      </c>
      <c r="C26" s="249">
        <f>B26*'GWP N2O_CH4'!B5</f>
        <v>10307.640411182128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140.78937310819458</v>
      </c>
      <c r="C27" s="249">
        <f>B27*'GWP N2O_CH4'!B5</f>
        <v>2956.5768352720861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6.6843490725499146</v>
      </c>
      <c r="C28" s="249">
        <f>B28*'GWP N2O_CH4'!B4</f>
        <v>2072.1482124904737</v>
      </c>
      <c r="D28" s="50"/>
    </row>
    <row r="29" spans="1:4">
      <c r="A29" s="41" t="s">
        <v>277</v>
      </c>
      <c r="B29" s="249">
        <f>B34*'ha_N2O bodem landbouw'!B4</f>
        <v>14.236331732071587</v>
      </c>
      <c r="C29" s="249">
        <f>B29*'GWP N2O_CH4'!B4</f>
        <v>4413.2628369421918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3.554669780101286E-3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2.060855153489163E-5</v>
      </c>
      <c r="C5" s="448" t="s">
        <v>211</v>
      </c>
      <c r="D5" s="433">
        <f>SUM(D6:D11)</f>
        <v>3.1568258793986525E-5</v>
      </c>
      <c r="E5" s="433">
        <f>SUM(E6:E11)</f>
        <v>9.9019006744168153E-4</v>
      </c>
      <c r="F5" s="446" t="s">
        <v>211</v>
      </c>
      <c r="G5" s="433">
        <f>SUM(G6:G11)</f>
        <v>0.26290528368792326</v>
      </c>
      <c r="H5" s="433">
        <f>SUM(H6:H11)</f>
        <v>4.7729011507133226E-2</v>
      </c>
      <c r="I5" s="448" t="s">
        <v>211</v>
      </c>
      <c r="J5" s="448" t="s">
        <v>211</v>
      </c>
      <c r="K5" s="448" t="s">
        <v>211</v>
      </c>
      <c r="L5" s="448" t="s">
        <v>211</v>
      </c>
      <c r="M5" s="433">
        <f>SUM(M6:M11)</f>
        <v>1.3903339004926478E-2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1.7489948154927413E-5</v>
      </c>
      <c r="C6" s="949"/>
      <c r="D6" s="949">
        <f>vkm_2011_GW_PW*SUMIFS(TableVerdeelsleutelVkm[CNG],TableVerdeelsleutelVkm[Voertuigtype],"Lichte voertuigen")*SUMIFS(TableECFTransport[EnergieConsumptieFactor (PJ per km)],TableECFTransport[Index],CONCATENATE($A6,"_CNG_CNG"))</f>
        <v>2.4769187282183983E-5</v>
      </c>
      <c r="E6" s="949">
        <f>vkm_2011_GW_PW*SUMIFS(TableVerdeelsleutelVkm[LPG],TableVerdeelsleutelVkm[Voertuigtype],"Lichte voertuigen")*SUMIFS(TableECFTransport[EnergieConsumptieFactor (PJ per km)],TableECFTransport[Index],CONCATENATE($A6,"_LPG_LPG"))</f>
        <v>7.7791863021613216E-4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0.13981327884829411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3.7569099974485702E-2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7.9155878711438862E-3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7.4147419292018762E-2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2.6417647610353586E-5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3.3459645340476701E-3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2.0948337125902614E-6</v>
      </c>
      <c r="C8" s="949"/>
      <c r="D8" s="436">
        <f>vkm_2011_NGW_PW*SUMIFS(TableVerdeelsleutelVkm[CNG],TableVerdeelsleutelVkm[Voertuigtype],"Lichte voertuigen")*SUMIFS(TableECFTransport[EnergieConsumptieFactor (PJ per km)],TableECFTransport[Index],CONCATENATE($A8,"_CNG_CNG"))</f>
        <v>5.2852163845135653E-6</v>
      </c>
      <c r="E8" s="436">
        <f>vkm_2011_NGW_PW*SUMIFS(TableVerdeelsleutelVkm[LPG],TableVerdeelsleutelVkm[Voertuigtype],"Lichte voertuigen")*SUMIFS(TableECFTransport[EnergieConsumptieFactor (PJ per km)],TableECFTransport[Index],CONCATENATE($A8,"_LPG_LPG"))</f>
        <v>1.5288942625056026E-4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2.591624031771601E-2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7.735080692159761E-3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1.5002759003813935E-3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2.118513734760599E-3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7.1425631440698505E-7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9.5597974837043201E-5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1.0237696673739553E-6</v>
      </c>
      <c r="C10" s="949"/>
      <c r="D10" s="436">
        <f>vkm_2011_SW_PW*SUMIFS(TableVerdeelsleutelVkm[CNG],TableVerdeelsleutelVkm[Voertuigtype],"Lichte voertuigen")*SUMIFS(TableECFTransport[EnergieConsumptieFactor (PJ per km)],TableECFTransport[Index],CONCATENATE($A10,"_CNG_CNG"))</f>
        <v>1.5138551272889748E-6</v>
      </c>
      <c r="E10" s="436">
        <f>vkm_2011_SW_PW*SUMIFS(TableVerdeelsleutelVkm[LPG],TableVerdeelsleutelVkm[Voertuigtype],"Lichte voertuigen")*SUMIFS(TableECFTransport[EnergieConsumptieFactor (PJ per km)],TableECFTransport[Index],CONCATENATE($A10,"_LPG_LPG"))</f>
        <v>5.9382010974989203E-5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9.6656456625947764E-3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2.3933787197405296E-3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5.3849595331374874E-4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1.1244185832539007E-2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4.3202168224744985E-6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5.0741677120273547E-4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5.7245976485810086</v>
      </c>
      <c r="C14" s="21"/>
      <c r="D14" s="21">
        <f t="shared" ref="D14:M14" si="0">((D5)*10^9/3600)+D12</f>
        <v>8.7689607761073685</v>
      </c>
      <c r="E14" s="21">
        <f t="shared" si="0"/>
        <v>275.05279651157821</v>
      </c>
      <c r="F14" s="21"/>
      <c r="G14" s="21">
        <f t="shared" si="0"/>
        <v>73029.245468867564</v>
      </c>
      <c r="H14" s="21">
        <f t="shared" si="0"/>
        <v>13258.058751981451</v>
      </c>
      <c r="I14" s="21"/>
      <c r="J14" s="21"/>
      <c r="K14" s="21"/>
      <c r="L14" s="21"/>
      <c r="M14" s="21">
        <f t="shared" si="0"/>
        <v>3862.0386124795773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0.1804766975868658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1.0331564786294378</v>
      </c>
      <c r="C18" s="23"/>
      <c r="D18" s="23">
        <f t="shared" ref="D18:M18" si="1">D14*D16</f>
        <v>1.7713300767736886</v>
      </c>
      <c r="E18" s="23">
        <f t="shared" si="1"/>
        <v>62.436984808128258</v>
      </c>
      <c r="F18" s="23"/>
      <c r="G18" s="23">
        <f t="shared" si="1"/>
        <v>19498.808540187641</v>
      </c>
      <c r="H18" s="23">
        <f t="shared" si="1"/>
        <v>3301.2566292433812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1.0304766544154353E-2</v>
      </c>
      <c r="H50" s="323">
        <f t="shared" si="2"/>
        <v>0</v>
      </c>
      <c r="I50" s="323">
        <f t="shared" si="2"/>
        <v>0</v>
      </c>
      <c r="J50" s="323">
        <f t="shared" si="2"/>
        <v>0</v>
      </c>
      <c r="K50" s="323">
        <f t="shared" si="2"/>
        <v>0</v>
      </c>
      <c r="L50" s="323">
        <f t="shared" si="2"/>
        <v>0</v>
      </c>
      <c r="M50" s="323">
        <f t="shared" si="2"/>
        <v>4.5827817281580985E-4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1.0304766544154353E-2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4.5827817281580985E-4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2862.4351511539871</v>
      </c>
      <c r="H54" s="21">
        <f t="shared" si="3"/>
        <v>0</v>
      </c>
      <c r="I54" s="21">
        <f t="shared" si="3"/>
        <v>0</v>
      </c>
      <c r="J54" s="21">
        <f t="shared" si="3"/>
        <v>0</v>
      </c>
      <c r="K54" s="21">
        <f t="shared" si="3"/>
        <v>0</v>
      </c>
      <c r="L54" s="21">
        <f t="shared" si="3"/>
        <v>0</v>
      </c>
      <c r="M54" s="21">
        <f t="shared" si="3"/>
        <v>127.29949244883606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0.1804766975868658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764.27018535811465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7180.065186827871</v>
      </c>
      <c r="C6" s="1142"/>
      <c r="D6" s="1145"/>
      <c r="E6" s="1145"/>
      <c r="F6" s="1148"/>
      <c r="G6" s="1151"/>
      <c r="H6" s="1139"/>
      <c r="I6" s="1145"/>
      <c r="J6" s="1145"/>
      <c r="K6" s="1145"/>
      <c r="L6" s="1175"/>
      <c r="M6" s="561"/>
      <c r="N6" s="1187"/>
      <c r="O6" s="1188"/>
      <c r="Q6" s="559"/>
      <c r="R6" s="1172"/>
      <c r="S6" s="1172"/>
    </row>
    <row r="7" spans="1:19" s="549" customFormat="1">
      <c r="A7" s="562" t="s">
        <v>252</v>
      </c>
      <c r="B7" s="563">
        <f>N57</f>
        <v>15961.5</v>
      </c>
      <c r="C7" s="564">
        <f>B100</f>
        <v>0</v>
      </c>
      <c r="D7" s="565"/>
      <c r="E7" s="565">
        <f>E100</f>
        <v>0</v>
      </c>
      <c r="F7" s="566"/>
      <c r="G7" s="567"/>
      <c r="H7" s="565">
        <f>I100</f>
        <v>0</v>
      </c>
      <c r="I7" s="565">
        <f>G100+F100</f>
        <v>0</v>
      </c>
      <c r="J7" s="565">
        <f>H100+D100+C100</f>
        <v>18778.23529411765</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23141.565186827873</v>
      </c>
      <c r="C9" s="580">
        <f t="shared" ref="C9:L9" si="0">SUM(C7:C8)</f>
        <v>0</v>
      </c>
      <c r="D9" s="580">
        <f t="shared" si="0"/>
        <v>0</v>
      </c>
      <c r="E9" s="580">
        <f t="shared" si="0"/>
        <v>0</v>
      </c>
      <c r="F9" s="580">
        <f t="shared" si="0"/>
        <v>0</v>
      </c>
      <c r="G9" s="580">
        <f t="shared" si="0"/>
        <v>0</v>
      </c>
      <c r="H9" s="580">
        <f t="shared" si="0"/>
        <v>0</v>
      </c>
      <c r="I9" s="580">
        <f t="shared" si="0"/>
        <v>0</v>
      </c>
      <c r="J9" s="580">
        <f t="shared" si="0"/>
        <v>18778.23529411765</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22802.142857142859</v>
      </c>
      <c r="C16" s="596">
        <f>B101</f>
        <v>0</v>
      </c>
      <c r="D16" s="597"/>
      <c r="E16" s="597">
        <f>E101</f>
        <v>0</v>
      </c>
      <c r="F16" s="598"/>
      <c r="G16" s="599"/>
      <c r="H16" s="596">
        <f>I101</f>
        <v>0</v>
      </c>
      <c r="I16" s="597">
        <f>G101+F101</f>
        <v>0</v>
      </c>
      <c r="J16" s="597">
        <f>H101+D101+C101</f>
        <v>26826.050420168071</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22802.142857142859</v>
      </c>
      <c r="C19" s="579">
        <f>SUM(C16:C18)</f>
        <v>0</v>
      </c>
      <c r="D19" s="579">
        <f t="shared" ref="D19:M19" si="1">SUM(D16:D18)</f>
        <v>0</v>
      </c>
      <c r="E19" s="579">
        <f t="shared" si="1"/>
        <v>0</v>
      </c>
      <c r="F19" s="579">
        <f t="shared" si="1"/>
        <v>0</v>
      </c>
      <c r="G19" s="579">
        <f t="shared" si="1"/>
        <v>0</v>
      </c>
      <c r="H19" s="579">
        <f t="shared" si="1"/>
        <v>0</v>
      </c>
      <c r="I19" s="579">
        <f t="shared" si="1"/>
        <v>0</v>
      </c>
      <c r="J19" s="579">
        <f t="shared" si="1"/>
        <v>26826.050420168071</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11057</v>
      </c>
      <c r="C27" s="839">
        <v>2390</v>
      </c>
      <c r="D27" s="658" t="s">
        <v>840</v>
      </c>
      <c r="E27" s="657" t="s">
        <v>841</v>
      </c>
      <c r="F27" s="657" t="s">
        <v>842</v>
      </c>
      <c r="G27" s="657" t="s">
        <v>843</v>
      </c>
      <c r="H27" s="657" t="s">
        <v>844</v>
      </c>
      <c r="I27" s="657" t="s">
        <v>841</v>
      </c>
      <c r="J27" s="838">
        <v>40029</v>
      </c>
      <c r="K27" s="838">
        <v>39022</v>
      </c>
      <c r="L27" s="657" t="s">
        <v>845</v>
      </c>
      <c r="M27" s="657">
        <v>3547</v>
      </c>
      <c r="N27" s="657">
        <v>15961.5</v>
      </c>
      <c r="O27" s="657">
        <v>22802.142857142859</v>
      </c>
      <c r="P27" s="657">
        <v>0</v>
      </c>
      <c r="Q27" s="657">
        <v>45604.285714285717</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3547</v>
      </c>
      <c r="N57" s="615">
        <f>SUM(N27:N56)</f>
        <v>15961.5</v>
      </c>
      <c r="O57" s="615">
        <f t="shared" ref="O57:W57" si="2">SUM(O27:O56)</f>
        <v>22802.142857142859</v>
      </c>
      <c r="P57" s="615">
        <f t="shared" si="2"/>
        <v>0</v>
      </c>
      <c r="Q57" s="615">
        <f t="shared" si="2"/>
        <v>45604.285714285717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3547</v>
      </c>
      <c r="N59" s="615">
        <f ca="1">SUMIF($Z$27:AB56,"tertiair",N27:N56)</f>
        <v>15961.5</v>
      </c>
      <c r="O59" s="615">
        <f ca="1">SUMIF($Z$27:AC56,"tertiair",O27:O56)</f>
        <v>22802.142857142859</v>
      </c>
      <c r="P59" s="615">
        <f ca="1">SUMIF($Z$27:AD56,"tertiair",P27:P56)</f>
        <v>0</v>
      </c>
      <c r="Q59" s="615">
        <f ca="1">SUMIF($Z$27:AE56,"tertiair",Q27:Q56)</f>
        <v>45604.285714285717</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18778.23529411765</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26826.050420168071</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39354.557824701718</v>
      </c>
      <c r="D10" s="704">
        <f ca="1">tertiair!C16</f>
        <v>22802.142857142859</v>
      </c>
      <c r="E10" s="704">
        <f ca="1">tertiair!D16</f>
        <v>43016.886834389974</v>
      </c>
      <c r="F10" s="704">
        <f>tertiair!E16</f>
        <v>335.20397749095019</v>
      </c>
      <c r="G10" s="704">
        <f ca="1">tertiair!F16</f>
        <v>4826.0176676423907</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4.6900000000000004</v>
      </c>
      <c r="Q10" s="705">
        <f>tertiair!P16</f>
        <v>38.133333333333333</v>
      </c>
      <c r="R10" s="707">
        <f ca="1">SUM(C10:Q10)</f>
        <v>110377.63249470122</v>
      </c>
      <c r="S10" s="67"/>
    </row>
    <row r="11" spans="1:19" s="459" customFormat="1">
      <c r="A11" s="858" t="s">
        <v>225</v>
      </c>
      <c r="B11" s="863"/>
      <c r="C11" s="704">
        <f>huishoudens!B8</f>
        <v>28092.046253147491</v>
      </c>
      <c r="D11" s="704">
        <f>huishoudens!C8</f>
        <v>0</v>
      </c>
      <c r="E11" s="704">
        <f>huishoudens!D8</f>
        <v>82759.772691061939</v>
      </c>
      <c r="F11" s="704">
        <f>huishoudens!E8</f>
        <v>2646.0227312616348</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20370.909114364214</v>
      </c>
      <c r="P11" s="704">
        <f>huishoudens!O8</f>
        <v>132.88333333333333</v>
      </c>
      <c r="Q11" s="705">
        <f>huishoudens!P8</f>
        <v>324.13333333333333</v>
      </c>
      <c r="R11" s="707">
        <f>SUM(C11:Q11)</f>
        <v>134325.76745650196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57347.088875304558</v>
      </c>
      <c r="D13" s="704">
        <f>industrie!C18</f>
        <v>0</v>
      </c>
      <c r="E13" s="704">
        <f>industrie!D18</f>
        <v>43760.11890727625</v>
      </c>
      <c r="F13" s="704">
        <f>industrie!E18</f>
        <v>5483.5572826493135</v>
      </c>
      <c r="G13" s="704">
        <f>industrie!F18</f>
        <v>35564.318307550879</v>
      </c>
      <c r="H13" s="704">
        <f>industrie!G18</f>
        <v>0</v>
      </c>
      <c r="I13" s="704">
        <f>industrie!H18</f>
        <v>0</v>
      </c>
      <c r="J13" s="704">
        <f>industrie!I18</f>
        <v>0</v>
      </c>
      <c r="K13" s="704">
        <f>industrie!J18</f>
        <v>71.30011291353874</v>
      </c>
      <c r="L13" s="704">
        <f>industrie!K18</f>
        <v>0</v>
      </c>
      <c r="M13" s="704">
        <f>industrie!L18</f>
        <v>0</v>
      </c>
      <c r="N13" s="704">
        <f>industrie!M18</f>
        <v>0</v>
      </c>
      <c r="O13" s="704">
        <f>industrie!N18</f>
        <v>12716.334316538021</v>
      </c>
      <c r="P13" s="704">
        <f>industrie!O18</f>
        <v>0</v>
      </c>
      <c r="Q13" s="705">
        <f>industrie!P18</f>
        <v>0</v>
      </c>
      <c r="R13" s="707">
        <f>SUM(C13:Q13)</f>
        <v>154942.71780223254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124793.69295315378</v>
      </c>
      <c r="D15" s="709">
        <f t="shared" ref="D15:Q15" ca="1" si="0">SUM(D9:D14)</f>
        <v>22802.142857142859</v>
      </c>
      <c r="E15" s="709">
        <f t="shared" ca="1" si="0"/>
        <v>169536.77843272817</v>
      </c>
      <c r="F15" s="709">
        <f t="shared" si="0"/>
        <v>8464.7839914018987</v>
      </c>
      <c r="G15" s="709">
        <f t="shared" ca="1" si="0"/>
        <v>40390.335975193273</v>
      </c>
      <c r="H15" s="709">
        <f t="shared" si="0"/>
        <v>0</v>
      </c>
      <c r="I15" s="709">
        <f t="shared" si="0"/>
        <v>0</v>
      </c>
      <c r="J15" s="709">
        <f t="shared" si="0"/>
        <v>0</v>
      </c>
      <c r="K15" s="709">
        <f t="shared" si="0"/>
        <v>71.30011291353874</v>
      </c>
      <c r="L15" s="709">
        <f t="shared" si="0"/>
        <v>0</v>
      </c>
      <c r="M15" s="709">
        <f t="shared" ca="1" si="0"/>
        <v>0</v>
      </c>
      <c r="N15" s="709">
        <f t="shared" si="0"/>
        <v>0</v>
      </c>
      <c r="O15" s="709">
        <f t="shared" ca="1" si="0"/>
        <v>33087.243430902236</v>
      </c>
      <c r="P15" s="709">
        <f t="shared" si="0"/>
        <v>137.57333333333332</v>
      </c>
      <c r="Q15" s="710">
        <f t="shared" si="0"/>
        <v>362.26666666666665</v>
      </c>
      <c r="R15" s="711">
        <f ca="1">SUM(R9:R14)</f>
        <v>399646.11775343574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2862.4351511539871</v>
      </c>
      <c r="I18" s="704">
        <f>transport!H54</f>
        <v>0</v>
      </c>
      <c r="J18" s="704">
        <f>transport!I54</f>
        <v>0</v>
      </c>
      <c r="K18" s="704">
        <f>transport!J54</f>
        <v>0</v>
      </c>
      <c r="L18" s="704">
        <f>transport!K54</f>
        <v>0</v>
      </c>
      <c r="M18" s="704">
        <f>transport!L54</f>
        <v>0</v>
      </c>
      <c r="N18" s="704">
        <f>transport!M54</f>
        <v>127.29949244883606</v>
      </c>
      <c r="O18" s="704">
        <f>transport!N54</f>
        <v>0</v>
      </c>
      <c r="P18" s="704">
        <f>transport!O54</f>
        <v>0</v>
      </c>
      <c r="Q18" s="705">
        <f>transport!P54</f>
        <v>0</v>
      </c>
      <c r="R18" s="707">
        <f>SUM(C18:Q18)</f>
        <v>2989.7346436028233</v>
      </c>
      <c r="S18" s="67"/>
    </row>
    <row r="19" spans="1:19" s="459" customFormat="1" ht="15" thickBot="1">
      <c r="A19" s="858" t="s">
        <v>307</v>
      </c>
      <c r="B19" s="863"/>
      <c r="C19" s="713">
        <f>transport!B14</f>
        <v>5.7245976485810086</v>
      </c>
      <c r="D19" s="713">
        <f>transport!C14</f>
        <v>0</v>
      </c>
      <c r="E19" s="713">
        <f>transport!D14</f>
        <v>8.7689607761073685</v>
      </c>
      <c r="F19" s="713">
        <f>transport!E14</f>
        <v>275.05279651157821</v>
      </c>
      <c r="G19" s="713">
        <f>transport!F14</f>
        <v>0</v>
      </c>
      <c r="H19" s="713">
        <f>transport!G14</f>
        <v>73029.245468867564</v>
      </c>
      <c r="I19" s="713">
        <f>transport!H14</f>
        <v>13258.058751981451</v>
      </c>
      <c r="J19" s="713">
        <f>transport!I14</f>
        <v>0</v>
      </c>
      <c r="K19" s="713">
        <f>transport!J14</f>
        <v>0</v>
      </c>
      <c r="L19" s="713">
        <f>transport!K14</f>
        <v>0</v>
      </c>
      <c r="M19" s="713">
        <f>transport!L14</f>
        <v>0</v>
      </c>
      <c r="N19" s="713">
        <f>transport!M14</f>
        <v>3862.0386124795773</v>
      </c>
      <c r="O19" s="713">
        <f>transport!N14</f>
        <v>0</v>
      </c>
      <c r="P19" s="713">
        <f>transport!O14</f>
        <v>0</v>
      </c>
      <c r="Q19" s="714">
        <f>transport!P14</f>
        <v>0</v>
      </c>
      <c r="R19" s="715">
        <f>SUM(C19:Q19)</f>
        <v>90438.889188264846</v>
      </c>
      <c r="S19" s="67"/>
    </row>
    <row r="20" spans="1:19" s="459" customFormat="1" ht="15.75" thickBot="1">
      <c r="A20" s="716" t="s">
        <v>230</v>
      </c>
      <c r="B20" s="866"/>
      <c r="C20" s="861">
        <f>SUM(C17:C19)</f>
        <v>5.7245976485810086</v>
      </c>
      <c r="D20" s="717">
        <f t="shared" ref="D20:R20" si="1">SUM(D17:D19)</f>
        <v>0</v>
      </c>
      <c r="E20" s="717">
        <f t="shared" si="1"/>
        <v>8.7689607761073685</v>
      </c>
      <c r="F20" s="717">
        <f t="shared" si="1"/>
        <v>275.05279651157821</v>
      </c>
      <c r="G20" s="717">
        <f t="shared" si="1"/>
        <v>0</v>
      </c>
      <c r="H20" s="717">
        <f t="shared" si="1"/>
        <v>75891.680620021551</v>
      </c>
      <c r="I20" s="717">
        <f t="shared" si="1"/>
        <v>13258.058751981451</v>
      </c>
      <c r="J20" s="717">
        <f t="shared" si="1"/>
        <v>0</v>
      </c>
      <c r="K20" s="717">
        <f t="shared" si="1"/>
        <v>0</v>
      </c>
      <c r="L20" s="717">
        <f t="shared" si="1"/>
        <v>0</v>
      </c>
      <c r="M20" s="717">
        <f t="shared" si="1"/>
        <v>0</v>
      </c>
      <c r="N20" s="717">
        <f t="shared" si="1"/>
        <v>3989.3381049284135</v>
      </c>
      <c r="O20" s="717">
        <f t="shared" si="1"/>
        <v>0</v>
      </c>
      <c r="P20" s="717">
        <f t="shared" si="1"/>
        <v>0</v>
      </c>
      <c r="Q20" s="718">
        <f t="shared" si="1"/>
        <v>0</v>
      </c>
      <c r="R20" s="719">
        <f t="shared" si="1"/>
        <v>93428.623831867662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1406.631851315005</v>
      </c>
      <c r="D22" s="713">
        <f>+landbouw!C8</f>
        <v>0</v>
      </c>
      <c r="E22" s="713">
        <f>+landbouw!D8</f>
        <v>8515.0520091067447</v>
      </c>
      <c r="F22" s="713">
        <f>+landbouw!E8</f>
        <v>17.725373436832857</v>
      </c>
      <c r="G22" s="713">
        <f>+landbouw!F8</f>
        <v>4853.2322693712294</v>
      </c>
      <c r="H22" s="713">
        <f>+landbouw!G8</f>
        <v>0</v>
      </c>
      <c r="I22" s="713">
        <f>+landbouw!H8</f>
        <v>0</v>
      </c>
      <c r="J22" s="713">
        <f>+landbouw!I8</f>
        <v>0</v>
      </c>
      <c r="K22" s="713">
        <f>+landbouw!J8</f>
        <v>211.54144041123152</v>
      </c>
      <c r="L22" s="713">
        <f>+landbouw!K8</f>
        <v>0</v>
      </c>
      <c r="M22" s="713">
        <f>+landbouw!L8</f>
        <v>0</v>
      </c>
      <c r="N22" s="713">
        <f>+landbouw!M8</f>
        <v>0</v>
      </c>
      <c r="O22" s="713">
        <f>+landbouw!N8</f>
        <v>0</v>
      </c>
      <c r="P22" s="713">
        <f>+landbouw!O8</f>
        <v>0</v>
      </c>
      <c r="Q22" s="714">
        <f>+landbouw!P8</f>
        <v>0</v>
      </c>
      <c r="R22" s="715">
        <f>SUM(C22:Q22)</f>
        <v>15004.182943641044</v>
      </c>
      <c r="S22" s="67"/>
    </row>
    <row r="23" spans="1:19" s="459" customFormat="1" ht="17.25" thickTop="1" thickBot="1">
      <c r="A23" s="720" t="s">
        <v>116</v>
      </c>
      <c r="B23" s="852"/>
      <c r="C23" s="721">
        <f ca="1">C20+C15+C22</f>
        <v>126206.04940211737</v>
      </c>
      <c r="D23" s="721">
        <f t="shared" ref="D23:Q23" ca="1" si="2">D20+D15+D22</f>
        <v>22802.142857142859</v>
      </c>
      <c r="E23" s="721">
        <f t="shared" ca="1" si="2"/>
        <v>178060.59940261103</v>
      </c>
      <c r="F23" s="721">
        <f t="shared" si="2"/>
        <v>8757.5621613503099</v>
      </c>
      <c r="G23" s="721">
        <f t="shared" ca="1" si="2"/>
        <v>45243.5682445645</v>
      </c>
      <c r="H23" s="721">
        <f t="shared" si="2"/>
        <v>75891.680620021551</v>
      </c>
      <c r="I23" s="721">
        <f t="shared" si="2"/>
        <v>13258.058751981451</v>
      </c>
      <c r="J23" s="721">
        <f t="shared" si="2"/>
        <v>0</v>
      </c>
      <c r="K23" s="721">
        <f t="shared" si="2"/>
        <v>282.84155332477025</v>
      </c>
      <c r="L23" s="721">
        <f t="shared" si="2"/>
        <v>0</v>
      </c>
      <c r="M23" s="721">
        <f t="shared" ca="1" si="2"/>
        <v>0</v>
      </c>
      <c r="N23" s="721">
        <f t="shared" si="2"/>
        <v>3989.3381049284135</v>
      </c>
      <c r="O23" s="721">
        <f t="shared" ca="1" si="2"/>
        <v>33087.243430902236</v>
      </c>
      <c r="P23" s="721">
        <f t="shared" si="2"/>
        <v>137.57333333333332</v>
      </c>
      <c r="Q23" s="722">
        <f t="shared" si="2"/>
        <v>362.26666666666665</v>
      </c>
      <c r="R23" s="723">
        <f ca="1">R20+R15+R22</f>
        <v>508078.92452894442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7102.5806311935148</v>
      </c>
      <c r="D36" s="704">
        <f ca="1">tertiair!C20</f>
        <v>0</v>
      </c>
      <c r="E36" s="704">
        <f ca="1">tertiair!D20</f>
        <v>8689.4111405467756</v>
      </c>
      <c r="F36" s="704">
        <f>tertiair!E20</f>
        <v>76.091302890445704</v>
      </c>
      <c r="G36" s="704">
        <f ca="1">tertiair!F20</f>
        <v>1288.5467172605183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17156.629791891253</v>
      </c>
    </row>
    <row r="37" spans="1:18">
      <c r="A37" s="873" t="s">
        <v>225</v>
      </c>
      <c r="B37" s="880"/>
      <c r="C37" s="704">
        <f ca="1">huishoudens!B12</f>
        <v>5069.9597362255463</v>
      </c>
      <c r="D37" s="704">
        <f ca="1">huishoudens!C12</f>
        <v>0</v>
      </c>
      <c r="E37" s="704">
        <f>huishoudens!D12</f>
        <v>16717.474083594512</v>
      </c>
      <c r="F37" s="704">
        <f>huishoudens!E12</f>
        <v>600.64715999639111</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22388.080979816448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10349.813216435457</v>
      </c>
      <c r="D39" s="704">
        <f ca="1">industrie!C22</f>
        <v>0</v>
      </c>
      <c r="E39" s="704">
        <f>industrie!D22</f>
        <v>8839.5440192698024</v>
      </c>
      <c r="F39" s="704">
        <f>industrie!E22</f>
        <v>1244.7675031613942</v>
      </c>
      <c r="G39" s="704">
        <f>industrie!F22</f>
        <v>9495.6729881160845</v>
      </c>
      <c r="H39" s="704">
        <f>industrie!G22</f>
        <v>0</v>
      </c>
      <c r="I39" s="704">
        <f>industrie!H22</f>
        <v>0</v>
      </c>
      <c r="J39" s="704">
        <f>industrie!I22</f>
        <v>0</v>
      </c>
      <c r="K39" s="704">
        <f>industrie!J22</f>
        <v>25.240239971392711</v>
      </c>
      <c r="L39" s="704">
        <f>industrie!K22</f>
        <v>0</v>
      </c>
      <c r="M39" s="704">
        <f>industrie!L22</f>
        <v>0</v>
      </c>
      <c r="N39" s="704">
        <f>industrie!M22</f>
        <v>0</v>
      </c>
      <c r="O39" s="704">
        <f>industrie!N22</f>
        <v>0</v>
      </c>
      <c r="P39" s="704">
        <f>industrie!O22</f>
        <v>0</v>
      </c>
      <c r="Q39" s="814">
        <f>industrie!P22</f>
        <v>0</v>
      </c>
      <c r="R39" s="906">
        <f ca="1">SUM(C39:Q39)</f>
        <v>29955.037966954133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22522.353583854518</v>
      </c>
      <c r="D41" s="749">
        <f t="shared" ref="D41:R41" ca="1" si="4">SUM(D35:D40)</f>
        <v>0</v>
      </c>
      <c r="E41" s="749">
        <f t="shared" ca="1" si="4"/>
        <v>34246.42924341109</v>
      </c>
      <c r="F41" s="749">
        <f t="shared" si="4"/>
        <v>1921.5059660482311</v>
      </c>
      <c r="G41" s="749">
        <f t="shared" ca="1" si="4"/>
        <v>10784.219705376603</v>
      </c>
      <c r="H41" s="749">
        <f t="shared" si="4"/>
        <v>0</v>
      </c>
      <c r="I41" s="749">
        <f t="shared" si="4"/>
        <v>0</v>
      </c>
      <c r="J41" s="749">
        <f t="shared" si="4"/>
        <v>0</v>
      </c>
      <c r="K41" s="749">
        <f t="shared" si="4"/>
        <v>25.240239971392711</v>
      </c>
      <c r="L41" s="749">
        <f t="shared" si="4"/>
        <v>0</v>
      </c>
      <c r="M41" s="749">
        <f t="shared" ca="1" si="4"/>
        <v>0</v>
      </c>
      <c r="N41" s="749">
        <f t="shared" si="4"/>
        <v>0</v>
      </c>
      <c r="O41" s="749">
        <f t="shared" ca="1" si="4"/>
        <v>0</v>
      </c>
      <c r="P41" s="749">
        <f t="shared" si="4"/>
        <v>0</v>
      </c>
      <c r="Q41" s="750">
        <f t="shared" si="4"/>
        <v>0</v>
      </c>
      <c r="R41" s="751">
        <f t="shared" ca="1" si="4"/>
        <v>69499.74873866183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764.27018535811465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764.27018535811465</v>
      </c>
    </row>
    <row r="45" spans="1:18" ht="15" thickBot="1">
      <c r="A45" s="876" t="s">
        <v>307</v>
      </c>
      <c r="B45" s="886"/>
      <c r="C45" s="713">
        <f ca="1">transport!B18</f>
        <v>1.0331564786294378</v>
      </c>
      <c r="D45" s="713">
        <f>transport!C18</f>
        <v>0</v>
      </c>
      <c r="E45" s="713">
        <f>transport!D18</f>
        <v>1.7713300767736886</v>
      </c>
      <c r="F45" s="713">
        <f>transport!E18</f>
        <v>62.436984808128258</v>
      </c>
      <c r="G45" s="713">
        <f>transport!F18</f>
        <v>0</v>
      </c>
      <c r="H45" s="713">
        <f>transport!G18</f>
        <v>19498.808540187641</v>
      </c>
      <c r="I45" s="713">
        <f>transport!H18</f>
        <v>3301.2566292433812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22865.306640794552</v>
      </c>
    </row>
    <row r="46" spans="1:18" ht="15.75" thickBot="1">
      <c r="A46" s="874" t="s">
        <v>230</v>
      </c>
      <c r="B46" s="887"/>
      <c r="C46" s="749">
        <f t="shared" ref="C46:R46" ca="1" si="5">SUM(C43:C45)</f>
        <v>1.0331564786294378</v>
      </c>
      <c r="D46" s="749">
        <f t="shared" ca="1" si="5"/>
        <v>0</v>
      </c>
      <c r="E46" s="749">
        <f t="shared" si="5"/>
        <v>1.7713300767736886</v>
      </c>
      <c r="F46" s="749">
        <f t="shared" si="5"/>
        <v>62.436984808128258</v>
      </c>
      <c r="G46" s="749">
        <f t="shared" si="5"/>
        <v>0</v>
      </c>
      <c r="H46" s="749">
        <f t="shared" si="5"/>
        <v>20263.078725545754</v>
      </c>
      <c r="I46" s="749">
        <f t="shared" si="5"/>
        <v>3301.2566292433812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23629.576826152665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253.86427124583133</v>
      </c>
      <c r="D48" s="704">
        <f ca="1">+landbouw!C12</f>
        <v>0</v>
      </c>
      <c r="E48" s="704">
        <f>+landbouw!D12</f>
        <v>1720.0405058395625</v>
      </c>
      <c r="F48" s="704">
        <f>+landbouw!E12</f>
        <v>4.0236597701610588</v>
      </c>
      <c r="G48" s="704">
        <f>+landbouw!F12</f>
        <v>1295.8130159221184</v>
      </c>
      <c r="H48" s="704">
        <f>+landbouw!G12</f>
        <v>0</v>
      </c>
      <c r="I48" s="704">
        <f>+landbouw!H12</f>
        <v>0</v>
      </c>
      <c r="J48" s="704">
        <f>+landbouw!I12</f>
        <v>0</v>
      </c>
      <c r="K48" s="704">
        <f>+landbouw!J12</f>
        <v>74.885669905575952</v>
      </c>
      <c r="L48" s="704">
        <f>+landbouw!K12</f>
        <v>0</v>
      </c>
      <c r="M48" s="704">
        <f>+landbouw!L12</f>
        <v>0</v>
      </c>
      <c r="N48" s="704">
        <f>+landbouw!M12</f>
        <v>0</v>
      </c>
      <c r="O48" s="704">
        <f>+landbouw!N12</f>
        <v>0</v>
      </c>
      <c r="P48" s="704">
        <f>+landbouw!O12</f>
        <v>0</v>
      </c>
      <c r="Q48" s="705">
        <f>+landbouw!P12</f>
        <v>0</v>
      </c>
      <c r="R48" s="747">
        <f ca="1">SUM(C48:Q48)</f>
        <v>3348.6271226832491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22777.251011578977</v>
      </c>
      <c r="D53" s="759">
        <f t="shared" ref="D53:Q53" ca="1" si="6">D41+D46+D48</f>
        <v>0</v>
      </c>
      <c r="E53" s="759">
        <f t="shared" ca="1" si="6"/>
        <v>35968.241079327425</v>
      </c>
      <c r="F53" s="759">
        <f t="shared" si="6"/>
        <v>1987.9666106265204</v>
      </c>
      <c r="G53" s="759">
        <f t="shared" ca="1" si="6"/>
        <v>12080.032721298721</v>
      </c>
      <c r="H53" s="759">
        <f t="shared" si="6"/>
        <v>20263.078725545754</v>
      </c>
      <c r="I53" s="759">
        <f t="shared" si="6"/>
        <v>3301.2566292433812</v>
      </c>
      <c r="J53" s="759">
        <f t="shared" si="6"/>
        <v>0</v>
      </c>
      <c r="K53" s="759">
        <f t="shared" si="6"/>
        <v>100.12590987696866</v>
      </c>
      <c r="L53" s="759">
        <f t="shared" si="6"/>
        <v>0</v>
      </c>
      <c r="M53" s="759">
        <f t="shared" ca="1" si="6"/>
        <v>0</v>
      </c>
      <c r="N53" s="759">
        <f t="shared" si="6"/>
        <v>0</v>
      </c>
      <c r="O53" s="759">
        <f t="shared" ca="1" si="6"/>
        <v>0</v>
      </c>
      <c r="P53" s="759">
        <f>P41+P46+P48</f>
        <v>0</v>
      </c>
      <c r="Q53" s="760">
        <f t="shared" si="6"/>
        <v>0</v>
      </c>
      <c r="R53" s="761">
        <f ca="1">R41+R46+R48</f>
        <v>96477.952687497746</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0.18047669758686577</v>
      </c>
      <c r="D55" s="824">
        <f t="shared" ca="1" si="7"/>
        <v>0</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7180.065186827871</v>
      </c>
      <c r="C66" s="781">
        <f>'lokale energieproductie'!B6</f>
        <v>7180.065186827871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15961.5</v>
      </c>
      <c r="C67" s="780">
        <f>B67*IFERROR(SUM(J67:L67)/SUM(D67:M67),0)</f>
        <v>15961.5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18778.23529411765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23141.565186827873</v>
      </c>
      <c r="C69" s="789">
        <f>SUM(C64:C68)</f>
        <v>23141.565186827873</v>
      </c>
      <c r="D69" s="790">
        <f t="shared" ref="D69:M69" si="8">SUM(D67:D68)</f>
        <v>0</v>
      </c>
      <c r="E69" s="790">
        <f t="shared" si="8"/>
        <v>0</v>
      </c>
      <c r="F69" s="790">
        <f t="shared" si="8"/>
        <v>0</v>
      </c>
      <c r="G69" s="790">
        <f t="shared" si="8"/>
        <v>0</v>
      </c>
      <c r="H69" s="790">
        <f t="shared" si="8"/>
        <v>0</v>
      </c>
      <c r="I69" s="790">
        <f t="shared" si="8"/>
        <v>0</v>
      </c>
      <c r="J69" s="790">
        <f t="shared" si="8"/>
        <v>0</v>
      </c>
      <c r="K69" s="790">
        <f t="shared" si="8"/>
        <v>18778.23529411765</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22802.142857142859</v>
      </c>
      <c r="C78" s="803">
        <f>B78*IFERROR(SUM(I78:L78)/SUM(D78:M78),0)</f>
        <v>22802.142857142859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26826.050420168071</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22802.142857142859</v>
      </c>
      <c r="C81" s="789">
        <f>SUM(C78:C80)</f>
        <v>22802.142857142859</v>
      </c>
      <c r="D81" s="789">
        <f t="shared" ref="D81:P81" si="9">SUM(D78:D80)</f>
        <v>0</v>
      </c>
      <c r="E81" s="789">
        <f t="shared" si="9"/>
        <v>0</v>
      </c>
      <c r="F81" s="789">
        <f t="shared" si="9"/>
        <v>0</v>
      </c>
      <c r="G81" s="789">
        <f t="shared" si="9"/>
        <v>0</v>
      </c>
      <c r="H81" s="789">
        <f t="shared" si="9"/>
        <v>0</v>
      </c>
      <c r="I81" s="789">
        <f t="shared" si="9"/>
        <v>0</v>
      </c>
      <c r="J81" s="789">
        <f t="shared" si="9"/>
        <v>0</v>
      </c>
      <c r="K81" s="789">
        <f t="shared" si="9"/>
        <v>26826.050420168071</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28092.046253147491</v>
      </c>
      <c r="C4" s="463">
        <f>huishoudens!C8</f>
        <v>0</v>
      </c>
      <c r="D4" s="463">
        <f>huishoudens!D8</f>
        <v>82759.772691061939</v>
      </c>
      <c r="E4" s="463">
        <f>huishoudens!E8</f>
        <v>2646.0227312616348</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20370.909114364214</v>
      </c>
      <c r="O4" s="463">
        <f>huishoudens!O8</f>
        <v>132.88333333333333</v>
      </c>
      <c r="P4" s="464">
        <f>huishoudens!P8</f>
        <v>324.13333333333333</v>
      </c>
      <c r="Q4" s="465">
        <f>SUM(B4:P4)</f>
        <v>134325.76745650196</v>
      </c>
    </row>
    <row r="5" spans="1:17">
      <c r="A5" s="462" t="s">
        <v>156</v>
      </c>
      <c r="B5" s="463">
        <f ca="1">tertiair!B16</f>
        <v>38611.88582470172</v>
      </c>
      <c r="C5" s="463">
        <f ca="1">tertiair!C16</f>
        <v>22802.142857142859</v>
      </c>
      <c r="D5" s="463">
        <f ca="1">tertiair!D16</f>
        <v>43016.886834389974</v>
      </c>
      <c r="E5" s="463">
        <f>tertiair!E16</f>
        <v>335.20397749095019</v>
      </c>
      <c r="F5" s="463">
        <f ca="1">tertiair!F16</f>
        <v>4826.0176676423907</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4.6900000000000004</v>
      </c>
      <c r="P5" s="464">
        <f>tertiair!P16</f>
        <v>38.133333333333333</v>
      </c>
      <c r="Q5" s="462">
        <f t="shared" ref="Q5:Q13" ca="1" si="0">SUM(B5:P5)</f>
        <v>109634.96049470123</v>
      </c>
    </row>
    <row r="6" spans="1:17">
      <c r="A6" s="462" t="s">
        <v>194</v>
      </c>
      <c r="B6" s="463">
        <f>'openbare verlichting'!B8</f>
        <v>742.67200000000003</v>
      </c>
      <c r="C6" s="463"/>
      <c r="D6" s="463"/>
      <c r="E6" s="463"/>
      <c r="F6" s="463"/>
      <c r="G6" s="463"/>
      <c r="H6" s="463"/>
      <c r="I6" s="463"/>
      <c r="J6" s="463"/>
      <c r="K6" s="463"/>
      <c r="L6" s="463"/>
      <c r="M6" s="463"/>
      <c r="N6" s="463"/>
      <c r="O6" s="463"/>
      <c r="P6" s="464"/>
      <c r="Q6" s="462">
        <f t="shared" si="0"/>
        <v>742.67200000000003</v>
      </c>
    </row>
    <row r="7" spans="1:17">
      <c r="A7" s="462" t="s">
        <v>112</v>
      </c>
      <c r="B7" s="463">
        <f>landbouw!B8</f>
        <v>1406.631851315005</v>
      </c>
      <c r="C7" s="463">
        <f>landbouw!C8</f>
        <v>0</v>
      </c>
      <c r="D7" s="463">
        <f>landbouw!D8</f>
        <v>8515.0520091067447</v>
      </c>
      <c r="E7" s="463">
        <f>landbouw!E8</f>
        <v>17.725373436832857</v>
      </c>
      <c r="F7" s="463">
        <f>landbouw!F8</f>
        <v>4853.2322693712294</v>
      </c>
      <c r="G7" s="463">
        <f>landbouw!G8</f>
        <v>0</v>
      </c>
      <c r="H7" s="463">
        <f>landbouw!H8</f>
        <v>0</v>
      </c>
      <c r="I7" s="463">
        <f>landbouw!I8</f>
        <v>0</v>
      </c>
      <c r="J7" s="463">
        <f>landbouw!J8</f>
        <v>211.54144041123152</v>
      </c>
      <c r="K7" s="463">
        <f>landbouw!K8</f>
        <v>0</v>
      </c>
      <c r="L7" s="463">
        <f>landbouw!L8</f>
        <v>0</v>
      </c>
      <c r="M7" s="463">
        <f>landbouw!M8</f>
        <v>0</v>
      </c>
      <c r="N7" s="463">
        <f>landbouw!N8</f>
        <v>0</v>
      </c>
      <c r="O7" s="463">
        <f>landbouw!O8</f>
        <v>0</v>
      </c>
      <c r="P7" s="464">
        <f>landbouw!P8</f>
        <v>0</v>
      </c>
      <c r="Q7" s="462">
        <f t="shared" si="0"/>
        <v>15004.182943641044</v>
      </c>
    </row>
    <row r="8" spans="1:17">
      <c r="A8" s="462" t="s">
        <v>657</v>
      </c>
      <c r="B8" s="463">
        <f>industrie!B18</f>
        <v>57347.088875304558</v>
      </c>
      <c r="C8" s="463">
        <f>industrie!C18</f>
        <v>0</v>
      </c>
      <c r="D8" s="463">
        <f>industrie!D18</f>
        <v>43760.11890727625</v>
      </c>
      <c r="E8" s="463">
        <f>industrie!E18</f>
        <v>5483.5572826493135</v>
      </c>
      <c r="F8" s="463">
        <f>industrie!F18</f>
        <v>35564.318307550879</v>
      </c>
      <c r="G8" s="463">
        <f>industrie!G18</f>
        <v>0</v>
      </c>
      <c r="H8" s="463">
        <f>industrie!H18</f>
        <v>0</v>
      </c>
      <c r="I8" s="463">
        <f>industrie!I18</f>
        <v>0</v>
      </c>
      <c r="J8" s="463">
        <f>industrie!J18</f>
        <v>71.30011291353874</v>
      </c>
      <c r="K8" s="463">
        <f>industrie!K18</f>
        <v>0</v>
      </c>
      <c r="L8" s="463">
        <f>industrie!L18</f>
        <v>0</v>
      </c>
      <c r="M8" s="463">
        <f>industrie!M18</f>
        <v>0</v>
      </c>
      <c r="N8" s="463">
        <f>industrie!N18</f>
        <v>12716.334316538021</v>
      </c>
      <c r="O8" s="463">
        <f>industrie!O18</f>
        <v>0</v>
      </c>
      <c r="P8" s="464">
        <f>industrie!P18</f>
        <v>0</v>
      </c>
      <c r="Q8" s="462">
        <f t="shared" si="0"/>
        <v>154942.71780223254</v>
      </c>
    </row>
    <row r="9" spans="1:17" s="468" customFormat="1">
      <c r="A9" s="466" t="s">
        <v>574</v>
      </c>
      <c r="B9" s="467">
        <f>transport!B14</f>
        <v>5.7245976485810086</v>
      </c>
      <c r="C9" s="467">
        <f>transport!C14</f>
        <v>0</v>
      </c>
      <c r="D9" s="467">
        <f>transport!D14</f>
        <v>8.7689607761073685</v>
      </c>
      <c r="E9" s="467">
        <f>transport!E14</f>
        <v>275.05279651157821</v>
      </c>
      <c r="F9" s="467">
        <f>transport!F14</f>
        <v>0</v>
      </c>
      <c r="G9" s="467">
        <f>transport!G14</f>
        <v>73029.245468867564</v>
      </c>
      <c r="H9" s="467">
        <f>transport!H14</f>
        <v>13258.058751981451</v>
      </c>
      <c r="I9" s="467">
        <f>transport!I14</f>
        <v>0</v>
      </c>
      <c r="J9" s="467">
        <f>transport!J14</f>
        <v>0</v>
      </c>
      <c r="K9" s="467">
        <f>transport!K14</f>
        <v>0</v>
      </c>
      <c r="L9" s="467">
        <f>transport!L14</f>
        <v>0</v>
      </c>
      <c r="M9" s="467">
        <f>transport!M14</f>
        <v>3862.0386124795773</v>
      </c>
      <c r="N9" s="467">
        <f>transport!N14</f>
        <v>0</v>
      </c>
      <c r="O9" s="467">
        <f>transport!O14</f>
        <v>0</v>
      </c>
      <c r="P9" s="467">
        <f>transport!P14</f>
        <v>0</v>
      </c>
      <c r="Q9" s="466">
        <f>SUM(B9:P9)</f>
        <v>90438.889188264846</v>
      </c>
    </row>
    <row r="10" spans="1:17">
      <c r="A10" s="462" t="s">
        <v>564</v>
      </c>
      <c r="B10" s="463">
        <f>transport!B54</f>
        <v>0</v>
      </c>
      <c r="C10" s="463">
        <f>transport!C54</f>
        <v>0</v>
      </c>
      <c r="D10" s="463">
        <f>transport!D54</f>
        <v>0</v>
      </c>
      <c r="E10" s="463">
        <f>transport!E54</f>
        <v>0</v>
      </c>
      <c r="F10" s="463">
        <f>transport!F54</f>
        <v>0</v>
      </c>
      <c r="G10" s="463">
        <f>transport!G54</f>
        <v>2862.4351511539871</v>
      </c>
      <c r="H10" s="463">
        <f>transport!H54</f>
        <v>0</v>
      </c>
      <c r="I10" s="463">
        <f>transport!I54</f>
        <v>0</v>
      </c>
      <c r="J10" s="463">
        <f>transport!J54</f>
        <v>0</v>
      </c>
      <c r="K10" s="463">
        <f>transport!K54</f>
        <v>0</v>
      </c>
      <c r="L10" s="463">
        <f>transport!L54</f>
        <v>0</v>
      </c>
      <c r="M10" s="463">
        <f>transport!M54</f>
        <v>127.29949244883606</v>
      </c>
      <c r="N10" s="463">
        <f>transport!N54</f>
        <v>0</v>
      </c>
      <c r="O10" s="463">
        <f>transport!O54</f>
        <v>0</v>
      </c>
      <c r="P10" s="464">
        <f>transport!P54</f>
        <v>0</v>
      </c>
      <c r="Q10" s="462">
        <f t="shared" si="0"/>
        <v>2989.7346436028233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126206.04940211737</v>
      </c>
      <c r="C14" s="473">
        <f t="shared" ref="C14:Q14" ca="1" si="1">SUM(C4:C13)</f>
        <v>22802.142857142859</v>
      </c>
      <c r="D14" s="473">
        <f t="shared" ca="1" si="1"/>
        <v>178060.59940261103</v>
      </c>
      <c r="E14" s="473">
        <f t="shared" si="1"/>
        <v>8757.5621613503099</v>
      </c>
      <c r="F14" s="473">
        <f t="shared" ca="1" si="1"/>
        <v>45243.5682445645</v>
      </c>
      <c r="G14" s="473">
        <f t="shared" si="1"/>
        <v>75891.680620021551</v>
      </c>
      <c r="H14" s="473">
        <f t="shared" si="1"/>
        <v>13258.058751981451</v>
      </c>
      <c r="I14" s="473">
        <f t="shared" si="1"/>
        <v>0</v>
      </c>
      <c r="J14" s="473">
        <f t="shared" si="1"/>
        <v>282.84155332477025</v>
      </c>
      <c r="K14" s="473">
        <f t="shared" si="1"/>
        <v>0</v>
      </c>
      <c r="L14" s="473">
        <f t="shared" ca="1" si="1"/>
        <v>0</v>
      </c>
      <c r="M14" s="473">
        <f t="shared" si="1"/>
        <v>3989.3381049284135</v>
      </c>
      <c r="N14" s="473">
        <f t="shared" ca="1" si="1"/>
        <v>33087.243430902236</v>
      </c>
      <c r="O14" s="473">
        <f t="shared" si="1"/>
        <v>137.57333333333332</v>
      </c>
      <c r="P14" s="474">
        <f t="shared" si="1"/>
        <v>362.26666666666665</v>
      </c>
      <c r="Q14" s="474">
        <f t="shared" ca="1" si="1"/>
        <v>508078.92452894436</v>
      </c>
    </row>
    <row r="16" spans="1:17">
      <c r="A16" s="476" t="s">
        <v>569</v>
      </c>
      <c r="B16" s="829">
        <f ca="1">huishoudens!B10</f>
        <v>0.1804766975868658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5069.9597362255463</v>
      </c>
      <c r="C21" s="463">
        <f t="shared" ref="C21:C30" ca="1" si="3">C4*$C$16</f>
        <v>0</v>
      </c>
      <c r="D21" s="463">
        <f t="shared" ref="D21:D30" si="4">D4*$D$16</f>
        <v>16717.474083594512</v>
      </c>
      <c r="E21" s="463">
        <f t="shared" ref="E21:E30" si="5">E4*$E$16</f>
        <v>600.64715999639111</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22388.080979816448</v>
      </c>
    </row>
    <row r="22" spans="1:17">
      <c r="A22" s="462" t="s">
        <v>156</v>
      </c>
      <c r="B22" s="463">
        <f t="shared" ca="1" si="2"/>
        <v>6968.5456412432823</v>
      </c>
      <c r="C22" s="463">
        <f t="shared" ca="1" si="3"/>
        <v>0</v>
      </c>
      <c r="D22" s="463">
        <f t="shared" ca="1" si="4"/>
        <v>8689.4111405467756</v>
      </c>
      <c r="E22" s="463">
        <f t="shared" si="5"/>
        <v>76.091302890445704</v>
      </c>
      <c r="F22" s="463">
        <f t="shared" ca="1" si="6"/>
        <v>1288.5467172605183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17022.594801941021</v>
      </c>
    </row>
    <row r="23" spans="1:17">
      <c r="A23" s="462" t="s">
        <v>194</v>
      </c>
      <c r="B23" s="463">
        <f t="shared" ca="1" si="2"/>
        <v>134.03498995023281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134.03498995023281</v>
      </c>
    </row>
    <row r="24" spans="1:17">
      <c r="A24" s="462" t="s">
        <v>112</v>
      </c>
      <c r="B24" s="463">
        <f t="shared" ca="1" si="2"/>
        <v>253.86427124583133</v>
      </c>
      <c r="C24" s="463">
        <f t="shared" ca="1" si="3"/>
        <v>0</v>
      </c>
      <c r="D24" s="463">
        <f t="shared" si="4"/>
        <v>1720.0405058395625</v>
      </c>
      <c r="E24" s="463">
        <f t="shared" si="5"/>
        <v>4.0236597701610588</v>
      </c>
      <c r="F24" s="463">
        <f t="shared" si="6"/>
        <v>1295.8130159221184</v>
      </c>
      <c r="G24" s="463">
        <f t="shared" si="7"/>
        <v>0</v>
      </c>
      <c r="H24" s="463">
        <f t="shared" si="8"/>
        <v>0</v>
      </c>
      <c r="I24" s="463">
        <f t="shared" si="9"/>
        <v>0</v>
      </c>
      <c r="J24" s="463">
        <f t="shared" si="10"/>
        <v>74.885669905575952</v>
      </c>
      <c r="K24" s="463">
        <f t="shared" si="11"/>
        <v>0</v>
      </c>
      <c r="L24" s="463">
        <f t="shared" si="12"/>
        <v>0</v>
      </c>
      <c r="M24" s="463">
        <f t="shared" si="13"/>
        <v>0</v>
      </c>
      <c r="N24" s="463">
        <f t="shared" si="14"/>
        <v>0</v>
      </c>
      <c r="O24" s="463">
        <f t="shared" si="15"/>
        <v>0</v>
      </c>
      <c r="P24" s="464">
        <f t="shared" si="16"/>
        <v>0</v>
      </c>
      <c r="Q24" s="462">
        <f t="shared" ca="1" si="17"/>
        <v>3348.6271226832491</v>
      </c>
    </row>
    <row r="25" spans="1:17">
      <c r="A25" s="462" t="s">
        <v>657</v>
      </c>
      <c r="B25" s="463">
        <f t="shared" ca="1" si="2"/>
        <v>10349.813216435457</v>
      </c>
      <c r="C25" s="463">
        <f t="shared" ca="1" si="3"/>
        <v>0</v>
      </c>
      <c r="D25" s="463">
        <f t="shared" si="4"/>
        <v>8839.5440192698024</v>
      </c>
      <c r="E25" s="463">
        <f t="shared" si="5"/>
        <v>1244.7675031613942</v>
      </c>
      <c r="F25" s="463">
        <f t="shared" si="6"/>
        <v>9495.6729881160845</v>
      </c>
      <c r="G25" s="463">
        <f t="shared" si="7"/>
        <v>0</v>
      </c>
      <c r="H25" s="463">
        <f t="shared" si="8"/>
        <v>0</v>
      </c>
      <c r="I25" s="463">
        <f t="shared" si="9"/>
        <v>0</v>
      </c>
      <c r="J25" s="463">
        <f t="shared" si="10"/>
        <v>25.240239971392711</v>
      </c>
      <c r="K25" s="463">
        <f t="shared" si="11"/>
        <v>0</v>
      </c>
      <c r="L25" s="463">
        <f t="shared" si="12"/>
        <v>0</v>
      </c>
      <c r="M25" s="463">
        <f t="shared" si="13"/>
        <v>0</v>
      </c>
      <c r="N25" s="463">
        <f t="shared" si="14"/>
        <v>0</v>
      </c>
      <c r="O25" s="463">
        <f t="shared" si="15"/>
        <v>0</v>
      </c>
      <c r="P25" s="464">
        <f t="shared" si="16"/>
        <v>0</v>
      </c>
      <c r="Q25" s="462">
        <f t="shared" ca="1" si="17"/>
        <v>29955.037966954133</v>
      </c>
    </row>
    <row r="26" spans="1:17" s="468" customFormat="1">
      <c r="A26" s="466" t="s">
        <v>574</v>
      </c>
      <c r="B26" s="823">
        <f t="shared" ca="1" si="2"/>
        <v>1.0331564786294378</v>
      </c>
      <c r="C26" s="467">
        <f t="shared" ca="1" si="3"/>
        <v>0</v>
      </c>
      <c r="D26" s="467">
        <f t="shared" si="4"/>
        <v>1.7713300767736886</v>
      </c>
      <c r="E26" s="467">
        <f t="shared" si="5"/>
        <v>62.436984808128258</v>
      </c>
      <c r="F26" s="467">
        <f t="shared" si="6"/>
        <v>0</v>
      </c>
      <c r="G26" s="467">
        <f t="shared" si="7"/>
        <v>19498.808540187641</v>
      </c>
      <c r="H26" s="467">
        <f t="shared" si="8"/>
        <v>3301.2566292433812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22865.306640794552</v>
      </c>
    </row>
    <row r="27" spans="1:17">
      <c r="A27" s="462" t="s">
        <v>564</v>
      </c>
      <c r="B27" s="463">
        <f t="shared" ca="1" si="2"/>
        <v>0</v>
      </c>
      <c r="C27" s="463">
        <f t="shared" ca="1" si="3"/>
        <v>0</v>
      </c>
      <c r="D27" s="463">
        <f t="shared" si="4"/>
        <v>0</v>
      </c>
      <c r="E27" s="463">
        <f t="shared" si="5"/>
        <v>0</v>
      </c>
      <c r="F27" s="463">
        <f t="shared" si="6"/>
        <v>0</v>
      </c>
      <c r="G27" s="463">
        <f t="shared" si="7"/>
        <v>764.27018535811465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764.27018535811465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22777.251011578977</v>
      </c>
      <c r="C31" s="473">
        <f t="shared" ca="1" si="18"/>
        <v>0</v>
      </c>
      <c r="D31" s="473">
        <f t="shared" ca="1" si="18"/>
        <v>35968.241079327425</v>
      </c>
      <c r="E31" s="473">
        <f t="shared" si="18"/>
        <v>1987.9666106265204</v>
      </c>
      <c r="F31" s="473">
        <f t="shared" ca="1" si="18"/>
        <v>12080.032721298721</v>
      </c>
      <c r="G31" s="473">
        <f t="shared" si="18"/>
        <v>20263.078725545754</v>
      </c>
      <c r="H31" s="473">
        <f t="shared" si="18"/>
        <v>3301.2566292433812</v>
      </c>
      <c r="I31" s="473">
        <f t="shared" si="18"/>
        <v>0</v>
      </c>
      <c r="J31" s="473">
        <f t="shared" si="18"/>
        <v>100.12590987696866</v>
      </c>
      <c r="K31" s="473">
        <f t="shared" si="18"/>
        <v>0</v>
      </c>
      <c r="L31" s="473">
        <f t="shared" ca="1" si="18"/>
        <v>0</v>
      </c>
      <c r="M31" s="473">
        <f t="shared" si="18"/>
        <v>0</v>
      </c>
      <c r="N31" s="473">
        <f t="shared" ca="1" si="18"/>
        <v>0</v>
      </c>
      <c r="O31" s="473">
        <f t="shared" si="18"/>
        <v>0</v>
      </c>
      <c r="P31" s="474">
        <f t="shared" si="18"/>
        <v>0</v>
      </c>
      <c r="Q31" s="474">
        <f t="shared" ca="1" si="18"/>
        <v>96477.952687497731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0.1804766975868658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0.1804766975868658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0.1804766975868658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2018-06-27T09:29:00Z</dcterms:modified>
</cp:coreProperties>
</file>