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C13" i="15"/>
  <c r="L6" i="17"/>
  <c r="L5" s="1"/>
  <c r="B8" i="9"/>
  <c r="C16" i="15"/>
  <c r="D10" i="14" s="1"/>
  <c r="I14" i="15"/>
  <c r="I16" s="1"/>
  <c r="J10" i="14" s="1"/>
  <c r="B13" i="16"/>
  <c r="C35"/>
  <c r="E9" i="14"/>
  <c r="D14" i="15"/>
  <c r="P22" i="16"/>
  <c r="Q39" i="14" s="1"/>
  <c r="P18" i="16"/>
  <c r="L16"/>
  <c r="L18" s="1"/>
  <c r="L8" i="48" s="1"/>
  <c r="N6" i="17"/>
  <c r="N5" s="1"/>
  <c r="J8"/>
  <c r="K22" i="14" s="1"/>
  <c r="N16" i="16"/>
  <c r="F8" i="17"/>
  <c r="G22" i="14" s="1"/>
  <c r="N13" i="15"/>
  <c r="L13"/>
  <c r="L16" s="1"/>
  <c r="D13"/>
  <c r="G6" i="22"/>
  <c r="G9"/>
  <c r="M6"/>
  <c r="M11"/>
  <c r="G11"/>
  <c r="G7"/>
  <c r="G8"/>
  <c r="M8"/>
  <c r="G10"/>
  <c r="M7"/>
  <c r="M10"/>
  <c r="M9"/>
  <c r="L68" i="14"/>
  <c r="L69" s="1"/>
  <c r="B12" i="48"/>
  <c r="Q12" s="1"/>
  <c r="O9" i="14"/>
  <c r="B7" i="15"/>
  <c r="O5" i="16"/>
  <c r="B38" i="13"/>
  <c r="B50" s="1"/>
  <c r="B11" i="15"/>
  <c r="B11" i="16"/>
  <c r="J9" i="14"/>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E22" i="14"/>
  <c r="J9" i="16"/>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J12" i="17" l="1"/>
  <c r="K48" i="14" s="1"/>
  <c r="J7" i="48"/>
  <c r="J24" s="1"/>
  <c r="J15" i="14"/>
  <c r="H13" i="48"/>
  <c r="H30" s="1"/>
  <c r="H12" i="22"/>
  <c r="O18" i="16"/>
  <c r="P13" i="14" s="1"/>
  <c r="B36" i="13"/>
  <c r="N8" i="17"/>
  <c r="N12" s="1"/>
  <c r="O48" i="14" s="1"/>
  <c r="E8" i="17"/>
  <c r="F22" i="14" s="1"/>
  <c r="G31" i="20"/>
  <c r="H43" i="14" s="1"/>
  <c r="G12" i="22"/>
  <c r="L8" i="17"/>
  <c r="L12" s="1"/>
  <c r="M48" i="14" s="1"/>
  <c r="D16" i="15"/>
  <c r="D20" s="1"/>
  <c r="B34" i="13"/>
  <c r="B35"/>
  <c r="D18" i="16"/>
  <c r="D22" s="1"/>
  <c r="E39" i="14" s="1"/>
  <c r="M51" i="22"/>
  <c r="M50" s="1"/>
  <c r="M54" s="1"/>
  <c r="G51"/>
  <c r="G50" s="1"/>
  <c r="G54" s="1"/>
  <c r="H18" i="14" s="1"/>
  <c r="B9" i="48"/>
  <c r="E100" i="18"/>
  <c r="E7" s="1"/>
  <c r="F67" i="14" s="1"/>
  <c r="F69" s="1"/>
  <c r="N7" i="48"/>
  <c r="N24" s="1"/>
  <c r="F7"/>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L26"/>
  <c r="B48" i="13"/>
  <c r="C48" s="1"/>
  <c r="N5" s="1"/>
  <c r="N8" s="1"/>
  <c r="N4" i="48" s="1"/>
  <c r="N21" s="1"/>
  <c r="M29"/>
  <c r="M25"/>
  <c r="M24"/>
  <c r="I31"/>
  <c r="C50" i="13"/>
  <c r="J5" s="1"/>
  <c r="J8" s="1"/>
  <c r="C5" i="48"/>
  <c r="P15" i="14" l="1"/>
  <c r="P23" s="1"/>
  <c r="E7" i="48"/>
  <c r="E24" s="1"/>
  <c r="E12" i="17"/>
  <c r="F48" i="14" s="1"/>
  <c r="G14" i="22"/>
  <c r="G9" i="48" s="1"/>
  <c r="M22" i="14"/>
  <c r="E16" i="15"/>
  <c r="E20" s="1"/>
  <c r="F36" i="14" s="1"/>
  <c r="D8" i="48"/>
  <c r="D25" s="1"/>
  <c r="O22" i="14"/>
  <c r="O22" i="16"/>
  <c r="P39" i="14" s="1"/>
  <c r="P41" s="1"/>
  <c r="P53" s="1"/>
  <c r="P55" s="1"/>
  <c r="J16" i="15"/>
  <c r="K10" i="14" s="1"/>
  <c r="R22"/>
  <c r="O8" i="48"/>
  <c r="O25" s="1"/>
  <c r="M10"/>
  <c r="M27" s="1"/>
  <c r="M58" i="22"/>
  <c r="N44" i="14" s="1"/>
  <c r="N1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D31" s="1"/>
  <c r="J67" i="14"/>
  <c r="I9" i="18"/>
  <c r="G58" i="22"/>
  <c r="H44" i="14" s="1"/>
  <c r="G10" i="48"/>
  <c r="R18" i="14"/>
  <c r="R17"/>
  <c r="Q13" i="48"/>
  <c r="I19" i="14"/>
  <c r="I20" s="1"/>
  <c r="I23" s="1"/>
  <c r="M18" i="22"/>
  <c r="N45" i="14" s="1"/>
  <c r="N46" s="1"/>
  <c r="N53" s="1"/>
  <c r="M9" i="48"/>
  <c r="N19" i="14"/>
  <c r="P14" i="48"/>
  <c r="F10" i="14"/>
  <c r="B8" i="4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Q7" i="48"/>
  <c r="E4"/>
  <c r="E21" s="1"/>
  <c r="F11" i="14"/>
  <c r="J4" i="48"/>
  <c r="J12" i="13"/>
  <c r="K37" i="14" s="1"/>
  <c r="K11"/>
  <c r="N5" i="48"/>
  <c r="L20" i="15"/>
  <c r="J5" i="48" l="1"/>
  <c r="J22" s="1"/>
  <c r="J20" i="15"/>
  <c r="K36" i="14" s="1"/>
  <c r="M16" i="18"/>
  <c r="M19" s="1"/>
  <c r="E5" i="48"/>
  <c r="E22" s="1"/>
  <c r="F18" i="16"/>
  <c r="G13" i="14" s="1"/>
  <c r="G15" s="1"/>
  <c r="G23" s="1"/>
  <c r="E18" i="16"/>
  <c r="E8" i="48" s="1"/>
  <c r="N18" i="16"/>
  <c r="N8" i="48" s="1"/>
  <c r="J18" i="16"/>
  <c r="J22" s="1"/>
  <c r="K39" i="14" s="1"/>
  <c r="K41" s="1"/>
  <c r="K53" s="1"/>
  <c r="O14" i="48"/>
  <c r="N20" i="14"/>
  <c r="N23" s="1"/>
  <c r="N55" s="1"/>
  <c r="G18" i="22"/>
  <c r="H45" i="14" s="1"/>
  <c r="H46" s="1"/>
  <c r="H53" s="1"/>
  <c r="I19" i="18"/>
  <c r="J19"/>
  <c r="K78" i="14"/>
  <c r="K81" s="1"/>
  <c r="I81"/>
  <c r="O78"/>
  <c r="O81" s="1"/>
  <c r="B17" i="6" s="1"/>
  <c r="B22" s="1"/>
  <c r="E23" i="14"/>
  <c r="D14" i="48"/>
  <c r="B14"/>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O13"/>
  <c r="O15" s="1"/>
  <c r="F22" i="16"/>
  <c r="G39" i="14" s="1"/>
  <c r="G41" s="1"/>
  <c r="N22" i="16"/>
  <c r="O39" i="14" s="1"/>
  <c r="O41" s="1"/>
  <c r="Q4" i="48"/>
  <c r="N22"/>
  <c r="R11" i="14"/>
  <c r="J21" i="48"/>
  <c r="R10" i="14"/>
  <c r="C29" i="20" l="1"/>
  <c r="C17" i="19"/>
  <c r="C19" s="1"/>
  <c r="D35" i="14" s="1"/>
  <c r="C20" i="16"/>
  <c r="C22" s="1"/>
  <c r="D39" i="14" s="1"/>
  <c r="C16" i="22"/>
  <c r="C10" i="17"/>
  <c r="C12" s="1"/>
  <c r="D48" i="14" s="1"/>
  <c r="C17" i="49"/>
  <c r="C18" i="15"/>
  <c r="C20" s="1"/>
  <c r="D36" i="14" s="1"/>
  <c r="C10" i="13"/>
  <c r="C16" i="48" s="1"/>
  <c r="C30" s="1"/>
  <c r="C56" i="22"/>
  <c r="C58" s="1"/>
  <c r="D44" i="14" s="1"/>
  <c r="D46" s="1"/>
  <c r="Q5" i="48"/>
  <c r="K13" i="14"/>
  <c r="K15" s="1"/>
  <c r="K23" s="1"/>
  <c r="F8" i="48"/>
  <c r="Q8" s="1"/>
  <c r="Q14" s="1"/>
  <c r="N25"/>
  <c r="N14"/>
  <c r="E25"/>
  <c r="E31" s="1"/>
  <c r="E14"/>
  <c r="N31"/>
  <c r="H55" i="14"/>
  <c r="E55"/>
  <c r="C78"/>
  <c r="C81" s="1"/>
  <c r="J14" i="48"/>
  <c r="J31"/>
  <c r="R19" i="14"/>
  <c r="R20" s="1"/>
  <c r="H14" i="48"/>
  <c r="G31"/>
  <c r="H26"/>
  <c r="H31" s="1"/>
  <c r="F55" i="14"/>
  <c r="O53"/>
  <c r="G53"/>
  <c r="G55" s="1"/>
  <c r="O69" s="1"/>
  <c r="B9" i="6" s="1"/>
  <c r="B12" s="1"/>
  <c r="M53" i="14"/>
  <c r="M55" s="1"/>
  <c r="C12" i="13"/>
  <c r="D37" i="14" s="1"/>
  <c r="C23" i="48"/>
  <c r="C24"/>
  <c r="C27"/>
  <c r="C28"/>
  <c r="C22"/>
  <c r="C25"/>
  <c r="C29"/>
  <c r="C21"/>
  <c r="C26"/>
  <c r="K55" i="14"/>
  <c r="R13"/>
  <c r="R15" s="1"/>
  <c r="F25" i="48"/>
  <c r="F31" s="1"/>
  <c r="F14" l="1"/>
  <c r="D41" i="14"/>
  <c r="D53" s="1"/>
  <c r="D55" s="1"/>
  <c r="R23"/>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<sst xmlns="http://schemas.openxmlformats.org/spreadsheetml/2006/main" count="1988" uniqueCount="853">
  <si>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</si>
  <si>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</si>
  <si>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</si>
  <si>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</si>
  <si>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</si>
  <si>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</si>
  <si>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</si>
  <si>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</si>
  <si>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</si>
  <si>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</si>
  <si>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</si>
  <si>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</si>
  <si>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</si>
  <si>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</si>
  <si>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</si>
  <si>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</si>
  <si>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</si>
  <si>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</si>
  <si>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</si>
  <si>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</si>
  <si>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</si>
  <si>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</si>
  <si>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</si>
  <si>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</si>
  <si>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</si>
  <si>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</si>
  <si>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</si>
  <si>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</si>
  <si>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</si>
  <si>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</si>
  <si>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</si>
  <si>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</si>
  <si>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</si>
  <si>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</si>
  <si>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</si>
  <si>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</si>
  <si>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</si>
  <si>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</si>
  <si>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</si>
  <si>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</si>
  <si>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</si>
  <si>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</si>
  <si>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</si>
  <si>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</si>
  <si>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</si>
  <si>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</si>
  <si>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</si>
  <si>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</si>
  <si>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</si>
  <si>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</si>
  <si>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</si>
  <si>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</si>
  <si>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</si>
  <si>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</si>
  <si>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</si>
  <si>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</si>
  <si>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</si>
  <si>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</si>
  <si>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</si>
  <si>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</si>
  <si>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</si>
  <si>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</si>
  <si>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</si>
  <si>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</si>
  <si>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</si>
  <si>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</si>
  <si>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</si>
  <si>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</si>
  <si>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</si>
  <si>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</si>
  <si>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</si>
  <si>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</si>
  <si>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</si>
  <si>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</si>
  <si>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</si>
  <si>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</si>
  <si>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</si>
  <si>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</si>
  <si>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</si>
  <si>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</si>
  <si>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</si>
  <si>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</si>
  <si>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</si>
  <si>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</si>
  <si>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</si>
  <si>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</si>
  <si>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</si>
  <si>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</si>
  <si>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</si>
  <si>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</si>
  <si>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</si>
  <si>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</si>
  <si>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</si>
  <si>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</si>
  <si>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</si>
  <si>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</si>
  <si>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</si>
  <si>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</si>
  <si>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</si>
  <si>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</si>
  <si>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</si>
  <si>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</si>
  <si>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</si>
  <si>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</si>
  <si>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</si>
  <si>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</si>
  <si>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</si>
  <si>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</si>
  <si>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</si>
  <si>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</si>
  <si>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</si>
  <si>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</si>
  <si>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</si>
  <si>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</si>
  <si>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</si>
  <si>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</si>
  <si>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</si>
  <si>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</si>
  <si>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</si>
  <si>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</si>
  <si>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</si>
  <si>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</si>
  <si>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</si>
  <si>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</si>
  <si>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</si>
  <si>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</si>
  <si>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</si>
  <si>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</si>
  <si>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</si>
  <si>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</si>
  <si>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</si>
  <si>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</si>
  <si>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</si>
  <si>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</si>
  <si>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</si>
  <si>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</si>
  <si>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</si>
  <si>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</si>
  <si>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</si>
  <si>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</si>
  <si>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</si>
  <si>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</si>
  <si>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</si>
  <si>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</si>
  <si>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</si>
  <si>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</si>
  <si>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</si>
  <si>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</si>
  <si>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</si>
  <si>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</si>
  <si>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</si>
  <si>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</si>
  <si>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</si>
  <si>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</si>
  <si>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</si>
  <si>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</si>
  <si>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</si>
  <si>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</si>
  <si>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</si>
  <si>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</si>
  <si>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</si>
  <si>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</si>
  <si>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</si>
  <si>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</si>
  <si>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</si>
  <si>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</si>
  <si>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</si>
  <si>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</si>
  <si>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</si>
  <si>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</si>
  <si>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</si>
  <si>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</si>
  <si>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</si>
  <si>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</si>
  <si>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</si>
  <si>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</si>
  <si>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</si>
  <si>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</si>
  <si>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</si>
  <si>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</si>
  <si>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</si>
  <si>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</si>
  <si>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</si>
  <si>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</si>
  <si>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</si>
  <si>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</si>
  <si>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</si>
  <si>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</si>
  <si>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</si>
  <si>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</si>
  <si>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</si>
  <si>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</si>
  <si>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</si>
  <si>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</si>
  <si>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</si>
  <si>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</si>
  <si>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</si>
  <si>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</si>
  <si>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</si>
  <si>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</si>
  <si>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</si>
  <si>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</si>
  <si>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</si>
  <si>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</si>
  <si>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</si>
  <si>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</si>
  <si>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</si>
  <si>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</si>
  <si>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</si>
  <si>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</si>
  <si>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</si>
  <si>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</si>
  <si>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</si>
  <si>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</si>
  <si>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</si>
  <si>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</si>
  <si>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</si>
  <si>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</si>
  <si>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</si>
  <si>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</si>
  <si>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</si>
  <si>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</si>
  <si>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</si>
  <si>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</si>
  <si>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</si>
  <si>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</si>
  <si>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</si>
  <si>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</si>
  <si>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</si>
  <si>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</si>
  <si>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</si>
  <si>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</si>
  <si>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</si>
  <si>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</si>
  <si>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</si>
  <si>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</si>
  <si>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</si>
  <si>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</si>
  <si>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</si>
  <si>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</si>
  <si>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</si>
  <si>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</si>
  <si>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</si>
  <si>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</si>
  <si>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</si>
  <si>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</si>
  <si>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</si>
  <si>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</si>
  <si>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</si>
  <si>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</si>
  <si>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</si>
  <si>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</si>
  <si>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</si>
  <si>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</si>
  <si>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</si>
  <si>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</si>
  <si>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</si>
  <si>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</si>
  <si>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</si>
  <si>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</si>
  <si>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</si>
  <si>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</si>
  <si>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</si>
  <si>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</si>
  <si>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</si>
  <si>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</si>
  <si>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</si>
  <si>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</si>
  <si>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</si>
  <si>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</si>
  <si>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</si>
  <si>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</si>
  <si>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</si>
  <si>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</si>
  <si>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</si>
  <si>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</si>
  <si>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</si>
  <si>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</si>
  <si>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</si>
  <si>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</si>
  <si>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</si>
  <si>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</si>
  <si>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</si>
  <si>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</si>
  <si>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</si>
  <si>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</si>
  <si>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</si>
  <si>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</si>
  <si>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</si>
  <si>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</si>
  <si>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</si>
  <si>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</si>
  <si>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</si>
  <si>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</si>
  <si>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</si>
  <si>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</si>
  <si>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</si>
  <si>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</si>
  <si>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</si>
  <si>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</si>
  <si>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</si>
  <si>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</si>
  <si>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</si>
  <si>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</si>
  <si>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</si>
  <si>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</si>
  <si>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</si>
  <si>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</si>
  <si>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</si>
  <si>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</si>
  <si>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</si>
  <si>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</si>
  <si>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</si>
  <si>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</si>
  <si>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</si>
  <si>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</si>
  <si>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</si>
  <si>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</si>
  <si>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</si>
  <si>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</si>
  <si>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</si>
  <si>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</si>
  <si>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</si>
  <si>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</si>
  <si>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</si>
  <si>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</si>
  <si>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</si>
  <si>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</si>
  <si>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</si>
  <si>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</si>
  <si>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</si>
  <si>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</si>
  <si>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</si>
  <si>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</si>
  <si>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</si>
  <si>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</si>
  <si>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</si>
  <si>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</si>
  <si>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</si>
  <si>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</si>
  <si>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</si>
  <si>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</si>
  <si>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</si>
  <si>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</si>
  <si>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</si>
  <si>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</si>
  <si>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</si>
  <si>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</si>
  <si>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</si>
  <si>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</si>
  <si>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</si>
  <si>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</si>
  <si>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</si>
  <si>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</si>
  <si>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</si>
  <si>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</si>
  <si>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</si>
  <si>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</si>
  <si>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</si>
  <si>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</si>
  <si>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</si>
  <si>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</si>
  <si>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</si>
  <si>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</si>
  <si>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</si>
  <si>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</si>
  <si>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</si>
  <si>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</si>
  <si>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</si>
  <si>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</si>
  <si>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</si>
  <si>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</si>
  <si>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</si>
  <si>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</si>
  <si>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</si>
  <si>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</si>
  <si>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</si>
  <si>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</si>
  <si>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</si>
  <si>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</si>
  <si>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</si>
  <si>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</si>
  <si>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</si>
  <si>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</si>
  <si>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</si>
  <si>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</si>
  <si>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</si>
  <si>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</si>
  <si>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</si>
  <si>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</si>
  <si>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</si>
  <si>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</si>
  <si>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</si>
  <si>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</si>
  <si>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</si>
  <si>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</si>
  <si>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</si>
  <si>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</si>
  <si>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</si>
  <si>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</si>
  <si>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</si>
  <si>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</si>
  <si>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</si>
  <si>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</si>
  <si>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</si>
  <si>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</si>
  <si>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</si>
  <si>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</si>
  <si>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</si>
  <si>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</si>
  <si>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</si>
  <si>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</si>
  <si>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</si>
  <si>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</si>
  <si>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</si>
  <si>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</si>
  <si>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</si>
  <si>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</si>
  <si>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</si>
  <si>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</si>
  <si>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</si>
  <si>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</si>
  <si>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</si>
  <si>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</si>
  <si>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</si>
  <si>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</si>
  <si>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</si>
  <si>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</si>
  <si>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</si>
  <si>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</si>
  <si>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</si>
  <si>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</si>
  <si>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</si>
  <si>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</si>
  <si>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</si>
  <si>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</si>
  <si>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</si>
  <si>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</si>
  <si>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</si>
  <si>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</si>
  <si>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</si>
  <si>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</si>
  <si>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</si>
  <si>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</si>
  <si>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</si>
  <si>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</si>
  <si>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</si>
  <si>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</si>
  <si>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</si>
  <si>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</si>
  <si>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</si>
  <si>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</si>
  <si>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</si>
  <si>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</si>
  <si>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</si>
  <si>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</si>
  <si>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</si>
  <si>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</si>
  <si>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</si>
  <si>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</si>
  <si>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</si>
  <si>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</si>
  <si>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</si>
  <si>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</si>
  <si>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</si>
  <si>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</si>
  <si>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</si>
  <si>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</si>
  <si>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</si>
  <si>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</si>
  <si>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</si>
  <si>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</si>
  <si>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</si>
  <si>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</si>
  <si>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</si>
  <si>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</si>
  <si>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</si>
  <si>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</si>
  <si>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</si>
  <si>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</si>
  <si>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</si>
  <si>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</si>
  <si>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</si>
  <si>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</si>
  <si>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</si>
  <si>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</si>
  <si>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</si>
  <si>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</si>
  <si>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</si>
  <si>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</si>
  <si>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</si>
  <si>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</si>
  <si>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</si>
  <si>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</si>
  <si>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</si>
  <si>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</si>
  <si>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</si>
  <si>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</si>
  <si>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</si>
  <si>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</si>
  <si>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</si>
  <si>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</si>
  <si>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</si>
  <si>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</si>
  <si>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</si>
  <si>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</si>
  <si>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</si>
  <si>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</si>
  <si>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</si>
  <si>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</si>
  <si>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</si>
  <si>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</si>
  <si>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</si>
  <si>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</si>
  <si>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</si>
  <si>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</si>
  <si>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</si>
  <si>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</si>
  <si>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</si>
  <si>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</si>
  <si>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</si>
  <si>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</si>
  <si>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</si>
  <si>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</si>
  <si>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</si>
  <si>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</si>
  <si>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</si>
  <si>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</si>
  <si>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</si>
  <si>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</si>
  <si>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</si>
  <si>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</si>
  <si>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</si>
  <si>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</si>
  <si>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</si>
  <si>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</si>
  <si>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</si>
  <si>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</si>
  <si>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</si>
  <si>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</si>
  <si>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</si>
  <si>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</si>
  <si>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</si>
  <si>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</si>
  <si>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</si>
  <si>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</si>
  <si>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</si>
  <si>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</si>
  <si>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</si>
  <si>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</si>
  <si>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</si>
  <si>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</si>
  <si>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</si>
  <si>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</si>
  <si>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</si>
  <si>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</si>
  <si>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</si>
  <si>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</si>
  <si>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</si>
  <si>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</si>
  <si>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</si>
  <si>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</si>
  <si>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</si>
  <si>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</si>
  <si>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</si>
  <si>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</si>
  <si>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</si>
  <si>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</si>
  <si>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</si>
  <si>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</si>
  <si>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</si>
  <si>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</si>
  <si>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</si>
  <si>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</si>
  <si>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</si>
  <si>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</si>
  <si>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</si>
  <si>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</si>
  <si>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</si>
  <si>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</si>
  <si>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</si>
  <si>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</si>
  <si>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</si>
  <si>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</si>
  <si>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</si>
  <si>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</si>
  <si>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</si>
  <si>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</si>
  <si>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</si>
  <si>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</si>
  <si>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</si>
  <si>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</si>
  <si>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</si>
  <si>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</si>
  <si>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</si>
  <si>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</si>
  <si>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</si>
  <si>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</si>
  <si>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</si>
  <si>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</si>
  <si>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</si>
  <si>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</si>
  <si>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</si>
  <si>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</si>
  <si>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</si>
  <si>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</si>
  <si>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</si>
  <si>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</si>
  <si>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</si>
  <si>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</si>
  <si>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</si>
  <si>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</si>
  <si>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</si>
  <si>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</si>
  <si>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</si>
  <si>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</si>
  <si>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</si>
  <si>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</si>
  <si>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</si>
  <si>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</si>
  <si>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</si>
  <si>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</si>
  <si>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</si>
  <si>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</si>
  <si>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</si>
  <si>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</si>
  <si>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</si>
  <si>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</si>
  <si>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</si>
  <si>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</si>
  <si>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</si>
  <si>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</si>
  <si>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</si>
  <si>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</si>
  <si>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</si>
  <si>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</si>
  <si>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</si>
  <si>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</si>
  <si>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</si>
  <si>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</si>
  <si>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</si>
  <si>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</si>
  <si>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</si>
  <si>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</si>
  <si>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</si>
  <si>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</si>
  <si>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</si>
  <si>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</si>
  <si>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</si>
  <si>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</si>
  <si>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</si>
  <si>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</si>
  <si>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</si>
  <si>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</si>
  <si>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</si>
  <si>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</si>
  <si>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</si>
  <si>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</si>
  <si>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</si>
  <si>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</si>
  <si>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</si>
  <si>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</si>
  <si>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</si>
  <si>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</si>
  <si>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</si>
  <si>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</si>
  <si>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</si>
  <si>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</si>
  <si>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</si>
  <si>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</si>
  <si>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</si>
  <si>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</si>
  <si>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</si>
  <si>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</si>
  <si>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</si>
  <si>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</si>
  <si>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</si>
  <si>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</si>
  <si>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</si>
  <si>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</si>
  <si>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</si>
  <si>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</si>
  <si>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</si>
  <si>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</si>
  <si>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</si>
  <si>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</si>
  <si>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</si>
  <si>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</si>
  <si>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</si>
  <si>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</si>
  <si>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</si>
  <si>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</si>
  <si>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</si>
  <si>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</si>
  <si>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</si>
  <si>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</si>
  <si>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</si>
  <si>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</si>
  <si>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</si>
  <si>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</si>
  <si>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</si>
  <si>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</si>
  <si>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</si>
  <si>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</si>
  <si>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</si>
  <si>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</si>
  <si>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</si>
  <si>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</si>
  <si>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</si>
  <si>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</si>
  <si>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</si>
  <si>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</si>
  <si>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</si>
  <si>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</si>
  <si>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</si>
  <si>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</si>
  <si>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</si>
  <si>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</si>
  <si>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</si>
  <si>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</si>
  <si>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</si>
  <si>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</si>
  <si>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</si>
  <si>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</si>
  <si>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</si>
  <si>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</si>
  <si>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</si>
  <si>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</si>
  <si>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</si>
  <si>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</si>
  <si>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</si>
  <si>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</si>
  <si>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</si>
  <si>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</si>
  <si>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</si>
  <si>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</si>
  <si>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</si>
  <si>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</si>
  <si>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</si>
  <si>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</si>
  <si>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</si>
  <si>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</si>
  <si>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</si>
  <si>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</si>
  <si>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</si>
  <si>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</si>
  <si>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</si>
  <si>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</si>
  <si>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</si>
  <si>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</si>
  <si>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</si>
  <si>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</si>
  <si>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</si>
  <si>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</si>
  <si>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</si>
  <si>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</si>
  <si>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</si>
  <si>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</si>
  <si>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</si>
  <si>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</si>
  <si>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</si>
  <si>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</si>
  <si>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</si>
  <si>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</si>
  <si>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</si>
  <si>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</si>
  <si>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</si>
  <si>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</si>
  <si>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</si>
  <si>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</si>
  <si>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</si>
  <si>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</si>
  <si>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</si>
  <si>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</si>
  <si>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</si>
  <si>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</si>
  <si>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</si>
  <si>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</si>
  <si>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</si>
  <si>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</si>
  <si>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</si>
  <si>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</si>
  <si>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</si>
  <si>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</si>
  <si>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</si>
  <si>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</si>
  <si>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</si>
  <si>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</si>
  <si>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</si>
  <si>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</si>
  <si>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</si>
  <si>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</si>
  <si>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</si>
  <si>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</si>
  <si>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</si>
  <si>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</si>
  <si>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</si>
  <si>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</si>
  <si>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</si>
  <si>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</si>
  <si>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</si>
  <si>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</si>
  <si>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</si>
  <si>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</si>
  <si>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</si>
  <si>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</si>
  <si>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</si>
  <si>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</si>
  <si>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</si>
  <si>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</si>
  <si>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</si>
  <si>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</si>
  <si>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</si>
  <si>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</si>
  <si>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</si>
  <si>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</si>
  <si>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</si>
  <si>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</si>
  <si>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</si>
  <si>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</si>
  <si>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</si>
  <si>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</si>
  <si>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</si>
  <si>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</si>
  <si>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</si>
  <si>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</si>
  <si>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</si>
  <si>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</si>
  <si>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</si>
  <si>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</si>
  <si>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</si>
  <si>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</si>
  <si>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</si>
  <si>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11052</t>
  </si>
  <si>
    <t>WOMMELGEM</t>
  </si>
  <si>
    <t>Cultuurgrond (ha)</t>
  </si>
  <si>
    <t>Paarden&amp;pony's 200 - 600 kg</t>
  </si>
  <si>
    <t>Paarden&amp;pony's &lt; 200 kg</t>
  </si>
  <si>
    <t>op basis van VEA (maart 2018) en Inventaris Hernieuwbare Energiebronnen (juni 2018)</t>
  </si>
  <si>
    <t>VEA (juni 2018)</t>
  </si>
  <si>
    <t>Albrecht C.V.</t>
  </si>
  <si>
    <t>Heyaardstraat 5, 2160 Wommelgem</t>
  </si>
  <si>
    <t>WKK-0143 Albrecht C.V.</t>
  </si>
  <si>
    <t>interne verbrandingsmotor</t>
  </si>
  <si>
    <t>WKK interne verbrandinsgmotor (gas)</t>
  </si>
  <si>
    <t>eilandwerking</t>
  </si>
  <si>
    <t>Pieting Power BVBA</t>
  </si>
  <si>
    <t>Pietingbaan 105, 2160 Wommelgem</t>
  </si>
  <si>
    <t>WKK-0133 Groeikracht Wommelgem</t>
  </si>
  <si>
    <t>IVEKA</t>
  </si>
  <si>
    <t>Dirk Mermans</t>
  </si>
  <si>
    <t>Vremdesteenweg 120 , 2160 Wommelgem</t>
  </si>
  <si>
    <t>WKK-0286 Dirk Mermans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</si>
</sst>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102492.88879032398</c:v>
                </c:pt>
                <c:pt idx="1">
                  <c:v>77820.087612932417</c:v>
                </c:pt>
                <c:pt idx="2">
                  <c:v>881.79</c:v>
                </c:pt>
                <c:pt idx="3">
                  <c:v>12493.44019721443</c:v>
                </c:pt>
                <c:pt idx="4">
                  <c:v>138983.87925324251</c:v>
                </c:pt>
                <c:pt idx="5">
                  <c:v>247583.1478323598</c:v>
                </c:pt>
                <c:pt idx="6">
                  <c:v>2455.2010859553288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94880"/>
        <c:axId val="182396416"/>
      </c:barChart>
      <c:catAx>
        <c:axId val="182394880"/>
        <c:scaling>
          <c:orientation val="minMax"/>
        </c:scaling>
        <c:axPos val="b"/>
        <c:numFmt formatCode="General" sourceLinked="0"/>
        <c:tickLblPos val="nextTo"/>
        <c:crossAx val="182396416"/>
        <c:crosses val="autoZero"/>
        <c:auto val="1"/>
        <c:lblAlgn val="ctr"/>
        <c:lblOffset val="100"/>
      </c:catAx>
      <c:valAx>
        <c:axId val="182396416"/>
        <c:scaling>
          <c:orientation val="minMax"/>
        </c:scaling>
        <c:axPos val="l"/>
        <c:majorGridlines/>
        <c:numFmt formatCode="#,##0" sourceLinked="1"/>
        <c:tickLblPos val="nextTo"/>
        <c:crossAx val="1823948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102492.88879032398</c:v>
                </c:pt>
                <c:pt idx="1">
                  <c:v>77820.087612932417</c:v>
                </c:pt>
                <c:pt idx="2">
                  <c:v>881.79</c:v>
                </c:pt>
                <c:pt idx="3">
                  <c:v>12493.44019721443</c:v>
                </c:pt>
                <c:pt idx="4">
                  <c:v>138983.87925324251</c:v>
                </c:pt>
                <c:pt idx="5">
                  <c:v>247583.1478323598</c:v>
                </c:pt>
                <c:pt idx="6">
                  <c:v>2455.2010859553288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19401.093063574252</c:v>
                </c:pt>
                <c:pt idx="1">
                  <c:v>16024.40454527974</c:v>
                </c:pt>
                <c:pt idx="2">
                  <c:v>189.44683222171145</c:v>
                </c:pt>
                <c:pt idx="3">
                  <c:v>3018.0977253682336</c:v>
                </c:pt>
                <c:pt idx="4">
                  <c:v>28950.83103574401</c:v>
                </c:pt>
                <c:pt idx="5">
                  <c:v>62756.47052090925</c:v>
                </c:pt>
                <c:pt idx="6">
                  <c:v>627.62659992904787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91776"/>
        <c:axId val="182501760"/>
      </c:barChart>
      <c:catAx>
        <c:axId val="182491776"/>
        <c:scaling>
          <c:orientation val="minMax"/>
        </c:scaling>
        <c:axPos val="b"/>
        <c:numFmt formatCode="General" sourceLinked="0"/>
        <c:tickLblPos val="nextTo"/>
        <c:crossAx val="182501760"/>
        <c:crosses val="autoZero"/>
        <c:auto val="1"/>
        <c:lblAlgn val="ctr"/>
        <c:lblOffset val="100"/>
      </c:catAx>
      <c:valAx>
        <c:axId val="182501760"/>
        <c:scaling>
          <c:orientation val="minMax"/>
        </c:scaling>
        <c:axPos val="l"/>
        <c:majorGridlines/>
        <c:numFmt formatCode="#,##0" sourceLinked="1"/>
        <c:tickLblPos val="nextTo"/>
        <c:crossAx val="182491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19401.093063574252</c:v>
                </c:pt>
                <c:pt idx="1">
                  <c:v>16024.40454527974</c:v>
                </c:pt>
                <c:pt idx="2">
                  <c:v>189.44683222171145</c:v>
                </c:pt>
                <c:pt idx="3">
                  <c:v>3018.0977253682336</c:v>
                </c:pt>
                <c:pt idx="4">
                  <c:v>28950.83103574401</c:v>
                </c:pt>
                <c:pt idx="5">
                  <c:v>62756.47052090925</c:v>
                </c:pt>
                <c:pt idx="6">
                  <c:v>627.62659992904787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11052</v>
      </c>
      <c r="B6" s="398"/>
      <c r="C6" s="399"/>
    </row>
    <row r="7" spans="1:7" s="396" customFormat="1" ht="15.75" customHeight="1">
      <c r="A7" s="400" t="str">
        <f>txtMunicipality</f>
        <v>WOMMELGEM</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11052</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5053</v>
      </c>
      <c r="C9" s="338">
        <v>5289</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324</v>
      </c>
    </row>
    <row r="15" spans="1:6">
      <c r="A15" s="1212" t="s">
        <v>184</v>
      </c>
      <c r="B15" s="335">
        <v>0</v>
      </c>
    </row>
    <row r="16" spans="1:6">
      <c r="A16" s="1212" t="s">
        <v>6</v>
      </c>
      <c r="B16" s="335">
        <v>0</v>
      </c>
    </row>
    <row r="17" spans="1:6">
      <c r="A17" s="1212" t="s">
        <v>7</v>
      </c>
      <c r="B17" s="335">
        <v>18</v>
      </c>
    </row>
    <row r="18" spans="1:6">
      <c r="A18" s="1212" t="s">
        <v>8</v>
      </c>
      <c r="B18" s="335">
        <v>14</v>
      </c>
    </row>
    <row r="19" spans="1:6">
      <c r="A19" s="1212" t="s">
        <v>9</v>
      </c>
      <c r="B19" s="335">
        <v>13</v>
      </c>
    </row>
    <row r="20" spans="1:6">
      <c r="A20" s="1212" t="s">
        <v>10</v>
      </c>
      <c r="B20" s="335">
        <v>33</v>
      </c>
    </row>
    <row r="21" spans="1:6">
      <c r="A21" s="1212" t="s">
        <v>11</v>
      </c>
      <c r="B21" s="335">
        <v>0</v>
      </c>
    </row>
    <row r="22" spans="1:6">
      <c r="A22" s="1212" t="s">
        <v>12</v>
      </c>
      <c r="B22" s="335">
        <v>0</v>
      </c>
    </row>
    <row r="23" spans="1:6">
      <c r="A23" s="1212" t="s">
        <v>13</v>
      </c>
      <c r="B23" s="335">
        <v>0</v>
      </c>
    </row>
    <row r="24" spans="1:6">
      <c r="A24" s="1212" t="s">
        <v>14</v>
      </c>
      <c r="B24" s="335">
        <v>0</v>
      </c>
    </row>
    <row r="25" spans="1:6">
      <c r="A25" s="1212" t="s">
        <v>15</v>
      </c>
      <c r="B25" s="335">
        <v>0</v>
      </c>
    </row>
    <row r="26" spans="1:6">
      <c r="A26" s="1212" t="s">
        <v>16</v>
      </c>
      <c r="B26" s="335">
        <v>0</v>
      </c>
    </row>
    <row r="27" spans="1:6">
      <c r="A27" s="1212" t="s">
        <v>17</v>
      </c>
      <c r="B27" s="335">
        <v>0</v>
      </c>
    </row>
    <row r="28" spans="1:6" s="341" customFormat="1">
      <c r="A28" s="1213" t="s">
        <v>18</v>
      </c>
      <c r="B28" s="1213">
        <v>5556</v>
      </c>
    </row>
    <row r="29" spans="1:6">
      <c r="A29" s="1213" t="s">
        <v>836</v>
      </c>
      <c r="B29" s="1213">
        <v>33</v>
      </c>
      <c r="C29" s="341"/>
      <c r="D29" s="341"/>
      <c r="E29" s="341"/>
      <c r="F29" s="341"/>
    </row>
    <row r="30" spans="1:6">
      <c r="A30" s="1208" t="s">
        <v>837</v>
      </c>
      <c r="B30" s="1208">
        <v>20</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0</v>
      </c>
      <c r="F36" s="335">
        <v>0</v>
      </c>
    </row>
    <row r="37" spans="1:6">
      <c r="A37" s="1212" t="s">
        <v>25</v>
      </c>
      <c r="B37" s="1212" t="s">
        <v>28</v>
      </c>
      <c r="C37" s="335">
        <v>0</v>
      </c>
      <c r="D37" s="335">
        <v>0</v>
      </c>
      <c r="E37" s="335">
        <v>0</v>
      </c>
      <c r="F37" s="335">
        <v>0</v>
      </c>
    </row>
    <row r="38" spans="1:6">
      <c r="A38" s="1212" t="s">
        <v>25</v>
      </c>
      <c r="B38" s="1212" t="s">
        <v>29</v>
      </c>
      <c r="C38" s="335">
        <v>1</v>
      </c>
      <c r="D38" s="335">
        <v>14233.613636111801</v>
      </c>
      <c r="E38" s="335">
        <v>3</v>
      </c>
      <c r="F38" s="335">
        <v>57925</v>
      </c>
    </row>
    <row r="39" spans="1:6">
      <c r="A39" s="1212" t="s">
        <v>30</v>
      </c>
      <c r="B39" s="1212" t="s">
        <v>31</v>
      </c>
      <c r="C39" s="335">
        <v>4086</v>
      </c>
      <c r="D39" s="335">
        <v>78299948.782259896</v>
      </c>
      <c r="E39" s="335">
        <v>5126</v>
      </c>
      <c r="F39" s="335">
        <v>20494013.608148601</v>
      </c>
    </row>
    <row r="40" spans="1:6">
      <c r="A40" s="1212" t="s">
        <v>30</v>
      </c>
      <c r="B40" s="1212" t="s">
        <v>29</v>
      </c>
      <c r="C40" s="335">
        <v>0</v>
      </c>
      <c r="D40" s="335">
        <v>0</v>
      </c>
      <c r="E40" s="335">
        <v>0</v>
      </c>
      <c r="F40" s="335">
        <v>0</v>
      </c>
    </row>
    <row r="41" spans="1:6">
      <c r="A41" s="1212" t="s">
        <v>32</v>
      </c>
      <c r="B41" s="1212" t="s">
        <v>33</v>
      </c>
      <c r="C41" s="335">
        <v>51</v>
      </c>
      <c r="D41" s="335">
        <v>1765984.2486634799</v>
      </c>
      <c r="E41" s="335">
        <v>122</v>
      </c>
      <c r="F41" s="335">
        <v>1306854.9178686</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14</v>
      </c>
      <c r="D44" s="335">
        <v>50990710.116660498</v>
      </c>
      <c r="E44" s="335">
        <v>24</v>
      </c>
      <c r="F44" s="335">
        <v>463799.19521643402</v>
      </c>
    </row>
    <row r="45" spans="1:6">
      <c r="A45" s="1212" t="s">
        <v>32</v>
      </c>
      <c r="B45" s="1212" t="s">
        <v>37</v>
      </c>
      <c r="C45" s="335">
        <v>0</v>
      </c>
      <c r="D45" s="335">
        <v>0</v>
      </c>
      <c r="E45" s="335">
        <v>0</v>
      </c>
      <c r="F45" s="335">
        <v>0</v>
      </c>
    </row>
    <row r="46" spans="1:6">
      <c r="A46" s="1212" t="s">
        <v>32</v>
      </c>
      <c r="B46" s="1212" t="s">
        <v>38</v>
      </c>
      <c r="C46" s="335">
        <v>0</v>
      </c>
      <c r="D46" s="335">
        <v>0</v>
      </c>
      <c r="E46" s="335">
        <v>0</v>
      </c>
      <c r="F46" s="335">
        <v>0</v>
      </c>
    </row>
    <row r="47" spans="1:6">
      <c r="A47" s="1212" t="s">
        <v>32</v>
      </c>
      <c r="B47" s="1212" t="s">
        <v>39</v>
      </c>
      <c r="C47" s="335">
        <v>5</v>
      </c>
      <c r="D47" s="335">
        <v>3610018.0694934502</v>
      </c>
      <c r="E47" s="335">
        <v>8</v>
      </c>
      <c r="F47" s="335">
        <v>3019571.2750137001</v>
      </c>
    </row>
    <row r="48" spans="1:6">
      <c r="A48" s="1212" t="s">
        <v>32</v>
      </c>
      <c r="B48" s="1212" t="s">
        <v>29</v>
      </c>
      <c r="C48" s="335">
        <v>26</v>
      </c>
      <c r="D48" s="335">
        <v>3897781.2559115598</v>
      </c>
      <c r="E48" s="335">
        <v>38</v>
      </c>
      <c r="F48" s="335">
        <v>4854005.4131522998</v>
      </c>
    </row>
    <row r="49" spans="1:6">
      <c r="A49" s="1212" t="s">
        <v>32</v>
      </c>
      <c r="B49" s="1212" t="s">
        <v>40</v>
      </c>
      <c r="C49" s="335">
        <v>0</v>
      </c>
      <c r="D49" s="335">
        <v>0</v>
      </c>
      <c r="E49" s="335">
        <v>0</v>
      </c>
      <c r="F49" s="335">
        <v>0</v>
      </c>
    </row>
    <row r="50" spans="1:6">
      <c r="A50" s="1212" t="s">
        <v>32</v>
      </c>
      <c r="B50" s="1212" t="s">
        <v>41</v>
      </c>
      <c r="C50" s="335">
        <v>9</v>
      </c>
      <c r="D50" s="335">
        <v>21846850.095394298</v>
      </c>
      <c r="E50" s="335">
        <v>10</v>
      </c>
      <c r="F50" s="335">
        <v>18311161.835305698</v>
      </c>
    </row>
    <row r="51" spans="1:6">
      <c r="A51" s="1212" t="s">
        <v>42</v>
      </c>
      <c r="B51" s="1212" t="s">
        <v>43</v>
      </c>
      <c r="C51" s="335">
        <v>4</v>
      </c>
      <c r="D51" s="335">
        <v>13350154.8622972</v>
      </c>
      <c r="E51" s="335">
        <v>16</v>
      </c>
      <c r="F51" s="335">
        <v>404969.49231623102</v>
      </c>
    </row>
    <row r="52" spans="1:6">
      <c r="A52" s="1212" t="s">
        <v>42</v>
      </c>
      <c r="B52" s="1212" t="s">
        <v>29</v>
      </c>
      <c r="C52" s="335">
        <v>6</v>
      </c>
      <c r="D52" s="335">
        <v>280860.07780393801</v>
      </c>
      <c r="E52" s="335">
        <v>8</v>
      </c>
      <c r="F52" s="335">
        <v>107037.557553101</v>
      </c>
    </row>
    <row r="53" spans="1:6">
      <c r="A53" s="1212" t="s">
        <v>44</v>
      </c>
      <c r="B53" s="1212" t="s">
        <v>45</v>
      </c>
      <c r="C53" s="335">
        <v>96</v>
      </c>
      <c r="D53" s="335">
        <v>4522065.6537813498</v>
      </c>
      <c r="E53" s="335">
        <v>178</v>
      </c>
      <c r="F53" s="335">
        <v>840911.94107375701</v>
      </c>
    </row>
    <row r="54" spans="1:6">
      <c r="A54" s="1212" t="s">
        <v>46</v>
      </c>
      <c r="B54" s="1212" t="s">
        <v>47</v>
      </c>
      <c r="C54" s="335">
        <v>0</v>
      </c>
      <c r="D54" s="335">
        <v>0</v>
      </c>
      <c r="E54" s="335">
        <v>1</v>
      </c>
      <c r="F54" s="335">
        <v>881790</v>
      </c>
    </row>
    <row r="55" spans="1:6">
      <c r="A55" s="1212" t="s">
        <v>46</v>
      </c>
      <c r="B55" s="1212" t="s">
        <v>29</v>
      </c>
      <c r="C55" s="335">
        <v>0</v>
      </c>
      <c r="D55" s="335">
        <v>0</v>
      </c>
      <c r="E55" s="335">
        <v>0</v>
      </c>
      <c r="F55" s="335">
        <v>0</v>
      </c>
    </row>
    <row r="56" spans="1:6">
      <c r="A56" s="1212" t="s">
        <v>48</v>
      </c>
      <c r="B56" s="1212" t="s">
        <v>29</v>
      </c>
      <c r="C56" s="335">
        <v>0</v>
      </c>
      <c r="D56" s="335">
        <v>0</v>
      </c>
      <c r="E56" s="335">
        <v>0</v>
      </c>
      <c r="F56" s="335">
        <v>0</v>
      </c>
    </row>
    <row r="57" spans="1:6">
      <c r="A57" s="1212" t="s">
        <v>49</v>
      </c>
      <c r="B57" s="1212" t="s">
        <v>50</v>
      </c>
      <c r="C57" s="335">
        <v>24</v>
      </c>
      <c r="D57" s="335">
        <v>1311620.3807125101</v>
      </c>
      <c r="E57" s="335">
        <v>49</v>
      </c>
      <c r="F57" s="335">
        <v>2258421.1009552502</v>
      </c>
    </row>
    <row r="58" spans="1:6">
      <c r="A58" s="1212" t="s">
        <v>49</v>
      </c>
      <c r="B58" s="1212" t="s">
        <v>51</v>
      </c>
      <c r="C58" s="335">
        <v>6</v>
      </c>
      <c r="D58" s="335">
        <v>146183.390699991</v>
      </c>
      <c r="E58" s="335">
        <v>10</v>
      </c>
      <c r="F58" s="335">
        <v>328209.34323591902</v>
      </c>
    </row>
    <row r="59" spans="1:6">
      <c r="A59" s="1212" t="s">
        <v>49</v>
      </c>
      <c r="B59" s="1212" t="s">
        <v>52</v>
      </c>
      <c r="C59" s="335">
        <v>148</v>
      </c>
      <c r="D59" s="335">
        <v>10773596.1514809</v>
      </c>
      <c r="E59" s="335">
        <v>260</v>
      </c>
      <c r="F59" s="335">
        <v>12287591.0859139</v>
      </c>
    </row>
    <row r="60" spans="1:6">
      <c r="A60" s="1212" t="s">
        <v>49</v>
      </c>
      <c r="B60" s="1212" t="s">
        <v>53</v>
      </c>
      <c r="C60" s="335">
        <v>42</v>
      </c>
      <c r="D60" s="335">
        <v>2269024.0669767498</v>
      </c>
      <c r="E60" s="335">
        <v>50</v>
      </c>
      <c r="F60" s="335">
        <v>1119424.4232282001</v>
      </c>
    </row>
    <row r="61" spans="1:6">
      <c r="A61" s="1212" t="s">
        <v>49</v>
      </c>
      <c r="B61" s="1212" t="s">
        <v>54</v>
      </c>
      <c r="C61" s="335">
        <v>123</v>
      </c>
      <c r="D61" s="335">
        <v>9244614.2376423199</v>
      </c>
      <c r="E61" s="335">
        <v>242</v>
      </c>
      <c r="F61" s="335">
        <v>5969280.39459641</v>
      </c>
    </row>
    <row r="62" spans="1:6">
      <c r="A62" s="1212" t="s">
        <v>49</v>
      </c>
      <c r="B62" s="1212" t="s">
        <v>55</v>
      </c>
      <c r="C62" s="335">
        <v>0</v>
      </c>
      <c r="D62" s="335">
        <v>0</v>
      </c>
      <c r="E62" s="335">
        <v>3</v>
      </c>
      <c r="F62" s="335">
        <v>99599.747599461407</v>
      </c>
    </row>
    <row r="63" spans="1:6">
      <c r="A63" s="1212" t="s">
        <v>49</v>
      </c>
      <c r="B63" s="1212" t="s">
        <v>29</v>
      </c>
      <c r="C63" s="335">
        <v>106</v>
      </c>
      <c r="D63" s="335">
        <v>19822282.436193898</v>
      </c>
      <c r="E63" s="335">
        <v>116</v>
      </c>
      <c r="F63" s="335">
        <v>8065370.9229237298</v>
      </c>
    </row>
    <row r="64" spans="1:6">
      <c r="A64" s="1212" t="s">
        <v>56</v>
      </c>
      <c r="B64" s="1212" t="s">
        <v>57</v>
      </c>
      <c r="C64" s="335">
        <v>0</v>
      </c>
      <c r="D64" s="335">
        <v>0</v>
      </c>
      <c r="E64" s="335">
        <v>0</v>
      </c>
      <c r="F64" s="335">
        <v>0</v>
      </c>
    </row>
    <row r="65" spans="1:6">
      <c r="A65" s="1212" t="s">
        <v>56</v>
      </c>
      <c r="B65" s="1212" t="s">
        <v>29</v>
      </c>
      <c r="C65" s="335">
        <v>0</v>
      </c>
      <c r="D65" s="335">
        <v>0</v>
      </c>
      <c r="E65" s="335">
        <v>2</v>
      </c>
      <c r="F65" s="335">
        <v>1252</v>
      </c>
    </row>
    <row r="66" spans="1:6">
      <c r="A66" s="1212" t="s">
        <v>56</v>
      </c>
      <c r="B66" s="1212" t="s">
        <v>58</v>
      </c>
      <c r="C66" s="335">
        <v>0</v>
      </c>
      <c r="D66" s="335">
        <v>0</v>
      </c>
      <c r="E66" s="335">
        <v>0</v>
      </c>
      <c r="F66" s="335">
        <v>0</v>
      </c>
    </row>
    <row r="67" spans="1:6">
      <c r="A67" s="1213" t="s">
        <v>56</v>
      </c>
      <c r="B67" s="1213" t="s">
        <v>59</v>
      </c>
      <c r="C67" s="335">
        <v>0</v>
      </c>
      <c r="D67" s="335">
        <v>0</v>
      </c>
      <c r="E67" s="335">
        <v>38</v>
      </c>
      <c r="F67" s="335">
        <v>647494.86464078096</v>
      </c>
    </row>
    <row r="68" spans="1:6">
      <c r="A68" s="1208" t="s">
        <v>56</v>
      </c>
      <c r="B68" s="1208" t="s">
        <v>60</v>
      </c>
      <c r="C68" s="335">
        <v>8</v>
      </c>
      <c r="D68" s="335">
        <v>896080.024556002</v>
      </c>
      <c r="E68" s="335">
        <v>16</v>
      </c>
      <c r="F68" s="335">
        <v>259159.25381104799</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33878892</v>
      </c>
      <c r="E73" s="335">
        <v>31715439.356178004</v>
      </c>
    </row>
    <row r="74" spans="1:6">
      <c r="A74" s="1212" t="s">
        <v>64</v>
      </c>
      <c r="B74" s="1212" t="s">
        <v>727</v>
      </c>
      <c r="C74" s="1212" t="s">
        <v>728</v>
      </c>
      <c r="D74" s="335">
        <v>3250068.5755354399</v>
      </c>
      <c r="E74" s="335">
        <v>3257475.537645312</v>
      </c>
    </row>
    <row r="75" spans="1:6">
      <c r="A75" s="1212" t="s">
        <v>65</v>
      </c>
      <c r="B75" s="1212" t="s">
        <v>725</v>
      </c>
      <c r="C75" s="1212" t="s">
        <v>729</v>
      </c>
      <c r="D75" s="335">
        <v>10906550</v>
      </c>
      <c r="E75" s="335">
        <v>10176107.656212844</v>
      </c>
    </row>
    <row r="76" spans="1:6">
      <c r="A76" s="1212" t="s">
        <v>65</v>
      </c>
      <c r="B76" s="1212" t="s">
        <v>727</v>
      </c>
      <c r="C76" s="1212" t="s">
        <v>730</v>
      </c>
      <c r="D76" s="335">
        <v>1083279.5755354399</v>
      </c>
      <c r="E76" s="335">
        <v>1139576.7311457361</v>
      </c>
    </row>
    <row r="77" spans="1:6">
      <c r="A77" s="1212" t="s">
        <v>66</v>
      </c>
      <c r="B77" s="1212" t="s">
        <v>725</v>
      </c>
      <c r="C77" s="1212" t="s">
        <v>731</v>
      </c>
      <c r="D77" s="335">
        <v>165051709</v>
      </c>
      <c r="E77" s="335">
        <v>177685798.9325479</v>
      </c>
    </row>
    <row r="78" spans="1:6">
      <c r="A78" s="1208" t="s">
        <v>66</v>
      </c>
      <c r="B78" s="1208" t="s">
        <v>727</v>
      </c>
      <c r="C78" s="1208" t="s">
        <v>732</v>
      </c>
      <c r="D78" s="1208">
        <v>35819326</v>
      </c>
      <c r="E78" s="1208">
        <v>38421277.023954362</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648634.84892912011</v>
      </c>
      <c r="C83" s="335">
        <v>640809.00257586548</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0</v>
      </c>
    </row>
    <row r="91" spans="1:6">
      <c r="A91" s="1212" t="s">
        <v>68</v>
      </c>
      <c r="B91" s="335">
        <v>1936.8729161867095</v>
      </c>
    </row>
    <row r="92" spans="1:6">
      <c r="A92" s="1208" t="s">
        <v>69</v>
      </c>
      <c r="B92" s="338">
        <v>2828.6563414964976</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3049</v>
      </c>
    </row>
    <row r="98" spans="1:6">
      <c r="A98" s="1212" t="s">
        <v>72</v>
      </c>
      <c r="B98" s="335">
        <v>2</v>
      </c>
    </row>
    <row r="99" spans="1:6">
      <c r="A99" s="1212" t="s">
        <v>73</v>
      </c>
      <c r="B99" s="335">
        <v>32</v>
      </c>
    </row>
    <row r="100" spans="1:6">
      <c r="A100" s="1212" t="s">
        <v>74</v>
      </c>
      <c r="B100" s="335">
        <v>376</v>
      </c>
    </row>
    <row r="101" spans="1:6">
      <c r="A101" s="1212" t="s">
        <v>75</v>
      </c>
      <c r="B101" s="335">
        <v>46</v>
      </c>
    </row>
    <row r="102" spans="1:6">
      <c r="A102" s="1212" t="s">
        <v>76</v>
      </c>
      <c r="B102" s="335">
        <v>41</v>
      </c>
    </row>
    <row r="103" spans="1:6">
      <c r="A103" s="1212" t="s">
        <v>77</v>
      </c>
      <c r="B103" s="335">
        <v>57</v>
      </c>
    </row>
    <row r="104" spans="1:6">
      <c r="A104" s="1212" t="s">
        <v>78</v>
      </c>
      <c r="B104" s="335">
        <v>856</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18</v>
      </c>
      <c r="C123" s="335">
        <v>18</v>
      </c>
    </row>
    <row r="124" spans="1:6">
      <c r="A124" s="1208" t="s">
        <v>89</v>
      </c>
      <c r="B124" s="335">
        <v>1</v>
      </c>
      <c r="C124" s="335">
        <v>1</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82</v>
      </c>
    </row>
    <row r="130" spans="1:6">
      <c r="A130" s="1212" t="s">
        <v>295</v>
      </c>
      <c r="B130" s="335">
        <v>1</v>
      </c>
    </row>
    <row r="131" spans="1:6">
      <c r="A131" s="1212" t="s">
        <v>296</v>
      </c>
      <c r="B131" s="335">
        <v>2</v>
      </c>
    </row>
    <row r="132" spans="1:6">
      <c r="A132" s="1208" t="s">
        <v>297</v>
      </c>
      <c r="B132" s="338">
        <v>2</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100810.43116567489</v>
      </c>
      <c r="C3" s="43" t="s">
        <v>170</v>
      </c>
      <c r="D3" s="43"/>
      <c r="E3" s="156"/>
      <c r="F3" s="43"/>
      <c r="G3" s="43"/>
      <c r="H3" s="43"/>
      <c r="I3" s="43"/>
      <c r="J3" s="43"/>
      <c r="K3" s="96"/>
    </row>
    <row r="4" spans="1:11">
      <c r="A4" s="366" t="s">
        <v>171</v>
      </c>
      <c r="B4" s="49">
        <f>IF(ISERROR('SEAP template'!B69),0,'SEAP template'!B69)</f>
        <v>30748.529257683207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6174.783529411764</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0.21484347999150757</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8821.119327731094</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37118.571428571428</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0.23764705882352946</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881.79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881.79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0.21484347999150757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189.44683222171145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20494.013608148602</v>
      </c>
      <c r="C5" s="17">
        <f>IF(ISERROR('Eigen informatie GS &amp; warmtenet'!B57),0,'Eigen informatie GS &amp; warmtenet'!B57)</f>
        <v>0</v>
      </c>
      <c r="D5" s="30">
        <f>(SUM(HH_hh_gas_kWh,HH_rest_gas_kWh)/1000)*0.902</f>
        <v>70626.55380159842</v>
      </c>
      <c r="E5" s="17">
        <f>B46*B57</f>
        <v>1389.4250020641414</v>
      </c>
      <c r="F5" s="17">
        <f>B51*B62</f>
        <v>0</v>
      </c>
      <c r="G5" s="18"/>
      <c r="H5" s="17"/>
      <c r="I5" s="17"/>
      <c r="J5" s="17">
        <f>B50*B61+C50*C61</f>
        <v>0</v>
      </c>
      <c r="K5" s="17"/>
      <c r="L5" s="17"/>
      <c r="M5" s="17"/>
      <c r="N5" s="17">
        <f>B48*B59+C48*C59</f>
        <v>7487.7267956594515</v>
      </c>
      <c r="O5" s="17">
        <f>B69*B70*B71</f>
        <v>157.89666666666668</v>
      </c>
      <c r="P5" s="17">
        <f>B77*B78*B79/1000-B77*B78*B79/1000/B80</f>
        <v>400.4</v>
      </c>
    </row>
    <row r="6" spans="1:16">
      <c r="A6" s="16" t="s">
        <v>634</v>
      </c>
      <c r="B6" s="831">
        <f>kWh_PV_kleiner_dan_10kW</f>
        <v>1936.8729161867095</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22430.88652433531</v>
      </c>
      <c r="C8" s="21">
        <f>C5</f>
        <v>0</v>
      </c>
      <c r="D8" s="21">
        <f>D5</f>
        <v>70626.55380159842</v>
      </c>
      <c r="E8" s="21">
        <f>E5</f>
        <v>1389.4250020641414</v>
      </c>
      <c r="F8" s="21">
        <f>F5</f>
        <v>0</v>
      </c>
      <c r="G8" s="21"/>
      <c r="H8" s="21"/>
      <c r="I8" s="21"/>
      <c r="J8" s="21">
        <f>J5</f>
        <v>0</v>
      </c>
      <c r="K8" s="21"/>
      <c r="L8" s="21">
        <f>L5</f>
        <v>0</v>
      </c>
      <c r="M8" s="21">
        <f>M5</f>
        <v>0</v>
      </c>
      <c r="N8" s="21">
        <f>N5</f>
        <v>7487.7267956594515</v>
      </c>
      <c r="O8" s="21">
        <f>O5</f>
        <v>157.89666666666668</v>
      </c>
      <c r="P8" s="21">
        <f>P5</f>
        <v>400.4</v>
      </c>
    </row>
    <row r="9" spans="1:16">
      <c r="B9" s="19"/>
      <c r="C9" s="19"/>
      <c r="D9" s="261"/>
      <c r="E9" s="19"/>
      <c r="F9" s="19"/>
      <c r="G9" s="19"/>
      <c r="H9" s="19"/>
      <c r="I9" s="19"/>
      <c r="J9" s="19"/>
      <c r="K9" s="19"/>
      <c r="L9" s="19"/>
      <c r="M9" s="19"/>
      <c r="N9" s="19"/>
      <c r="O9" s="19"/>
      <c r="P9" s="19"/>
    </row>
    <row r="10" spans="1:16">
      <c r="A10" s="24" t="s">
        <v>214</v>
      </c>
      <c r="B10" s="25">
        <f ca="1">'EF ele_warmte'!B12</f>
        <v>0.21484347999150757</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4819.1297201828102</v>
      </c>
      <c r="C12" s="23">
        <f ca="1">C10*C8</f>
        <v>0</v>
      </c>
      <c r="D12" s="23">
        <f>D8*D10</f>
        <v>14266.563867922881</v>
      </c>
      <c r="E12" s="23">
        <f>E10*E8</f>
        <v>315.39947546856013</v>
      </c>
      <c r="F12" s="23">
        <f>F10*F8</f>
        <v>0</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3049</v>
      </c>
      <c r="C18" s="168" t="s">
        <v>111</v>
      </c>
      <c r="D18" s="230"/>
      <c r="E18" s="15"/>
    </row>
    <row r="19" spans="1:7">
      <c r="A19" s="173" t="s">
        <v>72</v>
      </c>
      <c r="B19" s="37">
        <f>aantalw2001_ander</f>
        <v>2</v>
      </c>
      <c r="C19" s="168" t="s">
        <v>111</v>
      </c>
      <c r="D19" s="231"/>
      <c r="E19" s="15"/>
    </row>
    <row r="20" spans="1:7">
      <c r="A20" s="173" t="s">
        <v>73</v>
      </c>
      <c r="B20" s="37">
        <f>aantalw2001_propaan</f>
        <v>32</v>
      </c>
      <c r="C20" s="169">
        <f>IF(ISERROR(B20/SUM($B$20,$B$21,$B$22)*100),0,B20/SUM($B$20,$B$21,$B$22)*100)</f>
        <v>7.0484581497797363</v>
      </c>
      <c r="D20" s="231"/>
      <c r="E20" s="15"/>
    </row>
    <row r="21" spans="1:7">
      <c r="A21" s="173" t="s">
        <v>74</v>
      </c>
      <c r="B21" s="37">
        <f>aantalw2001_elektriciteit</f>
        <v>376</v>
      </c>
      <c r="C21" s="169">
        <f>IF(ISERROR(B21/SUM($B$20,$B$21,$B$22)*100),0,B21/SUM($B$20,$B$21,$B$22)*100)</f>
        <v>82.819383259911888</v>
      </c>
      <c r="D21" s="231"/>
      <c r="E21" s="15"/>
    </row>
    <row r="22" spans="1:7">
      <c r="A22" s="173" t="s">
        <v>75</v>
      </c>
      <c r="B22" s="37">
        <f>aantalw2001_hout</f>
        <v>46</v>
      </c>
      <c r="C22" s="169">
        <f>IF(ISERROR(B22/SUM($B$20,$B$21,$B$22)*100),0,B22/SUM($B$20,$B$21,$B$22)*100)</f>
        <v>10.13215859030837</v>
      </c>
      <c r="D22" s="231"/>
      <c r="E22" s="15"/>
    </row>
    <row r="23" spans="1:7">
      <c r="A23" s="173" t="s">
        <v>76</v>
      </c>
      <c r="B23" s="37">
        <f>aantalw2001_niet_gespec</f>
        <v>41</v>
      </c>
      <c r="C23" s="168" t="s">
        <v>111</v>
      </c>
      <c r="D23" s="230"/>
      <c r="E23" s="15"/>
    </row>
    <row r="24" spans="1:7">
      <c r="A24" s="173" t="s">
        <v>77</v>
      </c>
      <c r="B24" s="37">
        <f>aantalw2001_steenkool</f>
        <v>57</v>
      </c>
      <c r="C24" s="168" t="s">
        <v>111</v>
      </c>
      <c r="D24" s="231"/>
      <c r="E24" s="15"/>
    </row>
    <row r="25" spans="1:7">
      <c r="A25" s="173" t="s">
        <v>78</v>
      </c>
      <c r="B25" s="37">
        <f>aantalw2001_stookolie</f>
        <v>856</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5053</v>
      </c>
      <c r="C28" s="36"/>
      <c r="D28" s="230"/>
    </row>
    <row r="29" spans="1:7" s="15" customFormat="1">
      <c r="A29" s="232" t="s">
        <v>746</v>
      </c>
      <c r="B29" s="37">
        <f>SUM(HH_hh_gas_aantal,HH_rest_gas_aantal)</f>
        <v>4086</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4086</v>
      </c>
      <c r="C32" s="169">
        <f>IF(ISERROR(B32/SUM($B$32,$B$34,$B$35,$B$36,$B$38,$B$39)*100),0,B32/SUM($B$32,$B$34,$B$35,$B$36,$B$38,$B$39)*100)</f>
        <v>81.200317965023828</v>
      </c>
      <c r="D32" s="235"/>
      <c r="G32" s="15"/>
    </row>
    <row r="33" spans="1:7">
      <c r="A33" s="173" t="s">
        <v>72</v>
      </c>
      <c r="B33" s="34" t="s">
        <v>111</v>
      </c>
      <c r="C33" s="169"/>
      <c r="D33" s="235"/>
      <c r="G33" s="15"/>
    </row>
    <row r="34" spans="1:7">
      <c r="A34" s="173" t="s">
        <v>73</v>
      </c>
      <c r="B34" s="33">
        <f>IF((($B$28-$B$32-$B$39-$B$77-$B$38)*C20/100)&lt;0,0,($B$28-$B$32-$B$39-$B$77-$B$38)*C20/100)</f>
        <v>66.678414096916299</v>
      </c>
      <c r="C34" s="169">
        <f>IF(ISERROR(B34/SUM($B$32,$B$34,$B$35,$B$36,$B$38,$B$39)*100),0,B34/SUM($B$32,$B$34,$B$35,$B$36,$B$38,$B$39)*100)</f>
        <v>1.3250877205269531</v>
      </c>
      <c r="D34" s="235"/>
      <c r="G34" s="15"/>
    </row>
    <row r="35" spans="1:7">
      <c r="A35" s="173" t="s">
        <v>74</v>
      </c>
      <c r="B35" s="33">
        <f>IF((($B$28-$B$32-$B$39-$B$77-$B$38)*C21/100)&lt;0,0,($B$28-$B$32-$B$39-$B$77-$B$38)*C21/100)</f>
        <v>783.47136563876643</v>
      </c>
      <c r="C35" s="169">
        <f>IF(ISERROR(B35/SUM($B$32,$B$34,$B$35,$B$36,$B$38,$B$39)*100),0,B35/SUM($B$32,$B$34,$B$35,$B$36,$B$38,$B$39)*100)</f>
        <v>15.569780716191699</v>
      </c>
      <c r="D35" s="235"/>
      <c r="G35" s="15"/>
    </row>
    <row r="36" spans="1:7">
      <c r="A36" s="173" t="s">
        <v>75</v>
      </c>
      <c r="B36" s="33">
        <f>IF((($B$28-$B$32-$B$39-$B$77-$B$38)*C22/100)&lt;0,0,($B$28-$B$32-$B$39-$B$77-$B$38)*C22/100)</f>
        <v>95.850220264317173</v>
      </c>
      <c r="C36" s="169">
        <f>IF(ISERROR(B36/SUM($B$32,$B$34,$B$35,$B$36,$B$38,$B$39)*100),0,B36/SUM($B$32,$B$34,$B$35,$B$36,$B$38,$B$39)*100)</f>
        <v>1.9048135982574952</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0</v>
      </c>
      <c r="C39" s="169">
        <f>IF(ISERROR(B39/SUM($B$32,$B$34,$B$35,$B$36,$B$38,$B$39)*100),0,B39/SUM($B$32,$B$34,$B$35,$B$36,$B$38,$B$39)*100)</f>
        <v>0</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4086</v>
      </c>
      <c r="C44" s="34" t="s">
        <v>111</v>
      </c>
      <c r="D44" s="176"/>
    </row>
    <row r="45" spans="1:7">
      <c r="A45" s="173" t="s">
        <v>72</v>
      </c>
      <c r="B45" s="33" t="str">
        <f t="shared" si="0"/>
        <v>-</v>
      </c>
      <c r="C45" s="34" t="s">
        <v>111</v>
      </c>
      <c r="D45" s="176"/>
    </row>
    <row r="46" spans="1:7">
      <c r="A46" s="173" t="s">
        <v>73</v>
      </c>
      <c r="B46" s="33">
        <f t="shared" si="0"/>
        <v>66.678414096916299</v>
      </c>
      <c r="C46" s="34" t="s">
        <v>111</v>
      </c>
      <c r="D46" s="176"/>
    </row>
    <row r="47" spans="1:7">
      <c r="A47" s="173" t="s">
        <v>74</v>
      </c>
      <c r="B47" s="33">
        <f t="shared" si="0"/>
        <v>783.47136563876643</v>
      </c>
      <c r="C47" s="34" t="s">
        <v>111</v>
      </c>
      <c r="D47" s="176"/>
    </row>
    <row r="48" spans="1:7">
      <c r="A48" s="173" t="s">
        <v>75</v>
      </c>
      <c r="B48" s="33">
        <f t="shared" si="0"/>
        <v>95.850220264317173</v>
      </c>
      <c r="C48" s="33">
        <f>B48*10</f>
        <v>958.5022026431717</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0</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101</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21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30127.897018452866</v>
      </c>
      <c r="C5" s="17">
        <f>IF(ISERROR('Eigen informatie GS &amp; warmtenet'!B58),0,'Eigen informatie GS &amp; warmtenet'!B58)</f>
        <v>0</v>
      </c>
      <c r="D5" s="30">
        <f>SUM(D6:D12)</f>
        <v>39297.723238663151</v>
      </c>
      <c r="E5" s="17">
        <f>SUM(E6:E12)</f>
        <v>372.01334960401698</v>
      </c>
      <c r="F5" s="17">
        <f>SUM(F6:F12)</f>
        <v>5726.7235222452864</v>
      </c>
      <c r="G5" s="18"/>
      <c r="H5" s="17"/>
      <c r="I5" s="17"/>
      <c r="J5" s="17">
        <f>SUM(J6:J12)</f>
        <v>0</v>
      </c>
      <c r="K5" s="17"/>
      <c r="L5" s="17"/>
      <c r="M5" s="17"/>
      <c r="N5" s="17">
        <f>SUM(N6:N12)</f>
        <v>2256.0338173004275</v>
      </c>
      <c r="O5" s="17">
        <f>B38*B39*B40</f>
        <v>1.5633333333333335</v>
      </c>
      <c r="P5" s="17">
        <f>B46*B47*B48/1000-B46*B47*B48/1000/B49</f>
        <v>38.133333333333333</v>
      </c>
      <c r="R5" s="32"/>
    </row>
    <row r="6" spans="1:18">
      <c r="A6" s="32" t="s">
        <v>54</v>
      </c>
      <c r="B6" s="37">
        <f>B26</f>
        <v>5969.2803945964097</v>
      </c>
      <c r="C6" s="33"/>
      <c r="D6" s="37">
        <f>IF(ISERROR(TER_kantoor_gas_kWh/1000),0,TER_kantoor_gas_kWh/1000)*0.902</f>
        <v>8338.6420423533727</v>
      </c>
      <c r="E6" s="33">
        <f>$C$26*'E Balans VL '!I12/100/3.6*1000000</f>
        <v>23.191918103299969</v>
      </c>
      <c r="F6" s="33">
        <f>$C$26*('E Balans VL '!L12+'E Balans VL '!N12)/100/3.6*1000000</f>
        <v>907.8732318969802</v>
      </c>
      <c r="G6" s="34"/>
      <c r="H6" s="33"/>
      <c r="I6" s="33"/>
      <c r="J6" s="33">
        <f>$C$26*('E Balans VL '!D12+'E Balans VL '!E12)/100/3.6*1000000</f>
        <v>0</v>
      </c>
      <c r="K6" s="33"/>
      <c r="L6" s="33"/>
      <c r="M6" s="33"/>
      <c r="N6" s="33">
        <f>$C$26*'E Balans VL '!Y12/100/3.6*1000000</f>
        <v>3.289788599603114</v>
      </c>
      <c r="O6" s="33"/>
      <c r="P6" s="33"/>
      <c r="R6" s="32"/>
    </row>
    <row r="7" spans="1:18">
      <c r="A7" s="32" t="s">
        <v>53</v>
      </c>
      <c r="B7" s="37">
        <f t="shared" ref="B7:B12" si="0">B27</f>
        <v>1119.4244232282001</v>
      </c>
      <c r="C7" s="33"/>
      <c r="D7" s="37">
        <f>IF(ISERROR(TER_horeca_gas_kWh/1000),0,TER_horeca_gas_kWh/1000)*0.902</f>
        <v>2046.6597084130285</v>
      </c>
      <c r="E7" s="33">
        <f>$C$27*'E Balans VL '!I9/100/3.6*1000000</f>
        <v>63.057477044949081</v>
      </c>
      <c r="F7" s="33">
        <f>$C$27*('E Balans VL '!L9+'E Balans VL '!N9)/100/3.6*1000000</f>
        <v>322.77498508691116</v>
      </c>
      <c r="G7" s="34"/>
      <c r="H7" s="33"/>
      <c r="I7" s="33"/>
      <c r="J7" s="33">
        <f>$C$27*('E Balans VL '!D9+'E Balans VL '!E9)/100/3.6*1000000</f>
        <v>0</v>
      </c>
      <c r="K7" s="33"/>
      <c r="L7" s="33"/>
      <c r="M7" s="33"/>
      <c r="N7" s="33">
        <f>$C$27*'E Balans VL '!Y9/100/3.6*1000000</f>
        <v>0.30906726617669206</v>
      </c>
      <c r="O7" s="33"/>
      <c r="P7" s="33"/>
      <c r="R7" s="32"/>
    </row>
    <row r="8" spans="1:18">
      <c r="A8" s="6" t="s">
        <v>52</v>
      </c>
      <c r="B8" s="37">
        <f t="shared" si="0"/>
        <v>12287.5910859139</v>
      </c>
      <c r="C8" s="33"/>
      <c r="D8" s="37">
        <f>IF(ISERROR(TER_handel_gas_kWh/1000),0,TER_handel_gas_kWh/1000)*0.902</f>
        <v>9717.7837286357717</v>
      </c>
      <c r="E8" s="33">
        <f>$C$28*'E Balans VL '!I13/100/3.6*1000000</f>
        <v>177.10587519766671</v>
      </c>
      <c r="F8" s="33">
        <f>$C$28*('E Balans VL '!L13+'E Balans VL '!N13)/100/3.6*1000000</f>
        <v>2134.6407303099759</v>
      </c>
      <c r="G8" s="34"/>
      <c r="H8" s="33"/>
      <c r="I8" s="33"/>
      <c r="J8" s="33">
        <f>$C$28*('E Balans VL '!D13+'E Balans VL '!E13)/100/3.6*1000000</f>
        <v>0</v>
      </c>
      <c r="K8" s="33"/>
      <c r="L8" s="33"/>
      <c r="M8" s="33"/>
      <c r="N8" s="33">
        <f>$C$28*'E Balans VL '!Y13/100/3.6*1000000</f>
        <v>36.814990776216327</v>
      </c>
      <c r="O8" s="33"/>
      <c r="P8" s="33"/>
      <c r="R8" s="32"/>
    </row>
    <row r="9" spans="1:18">
      <c r="A9" s="32" t="s">
        <v>51</v>
      </c>
      <c r="B9" s="37">
        <f t="shared" si="0"/>
        <v>328.20934323591899</v>
      </c>
      <c r="C9" s="33"/>
      <c r="D9" s="37">
        <f>IF(ISERROR(TER_gezond_gas_kWh/1000),0,TER_gezond_gas_kWh/1000)*0.902</f>
        <v>131.8574184113919</v>
      </c>
      <c r="E9" s="33">
        <f>$C$29*'E Balans VL '!I10/100/3.6*1000000</f>
        <v>0.35061264731367792</v>
      </c>
      <c r="F9" s="33">
        <f>$C$29*('E Balans VL '!L10+'E Balans VL '!N10)/100/3.6*1000000</f>
        <v>53.540918538020705</v>
      </c>
      <c r="G9" s="34"/>
      <c r="H9" s="33"/>
      <c r="I9" s="33"/>
      <c r="J9" s="33">
        <f>$C$29*('E Balans VL '!D10+'E Balans VL '!E10)/100/3.6*1000000</f>
        <v>0</v>
      </c>
      <c r="K9" s="33"/>
      <c r="L9" s="33"/>
      <c r="M9" s="33"/>
      <c r="N9" s="33">
        <f>$C$29*'E Balans VL '!Y10/100/3.6*1000000</f>
        <v>3.3787279160986801</v>
      </c>
      <c r="O9" s="33"/>
      <c r="P9" s="33"/>
      <c r="R9" s="32"/>
    </row>
    <row r="10" spans="1:18">
      <c r="A10" s="32" t="s">
        <v>50</v>
      </c>
      <c r="B10" s="37">
        <f t="shared" si="0"/>
        <v>2258.42110095525</v>
      </c>
      <c r="C10" s="33"/>
      <c r="D10" s="37">
        <f>IF(ISERROR(TER_ander_gas_kWh/1000),0,TER_ander_gas_kWh/1000)*0.902</f>
        <v>1183.0815834026841</v>
      </c>
      <c r="E10" s="33">
        <f>$C$30*'E Balans VL '!I14/100/3.6*1000000</f>
        <v>10.38613511194216</v>
      </c>
      <c r="F10" s="33">
        <f>$C$30*('E Balans VL '!L14+'E Balans VL '!N14)/100/3.6*1000000</f>
        <v>676.92004096047333</v>
      </c>
      <c r="G10" s="34"/>
      <c r="H10" s="33"/>
      <c r="I10" s="33"/>
      <c r="J10" s="33">
        <f>$C$30*('E Balans VL '!D14+'E Balans VL '!E14)/100/3.6*1000000</f>
        <v>0</v>
      </c>
      <c r="K10" s="33"/>
      <c r="L10" s="33"/>
      <c r="M10" s="33"/>
      <c r="N10" s="33">
        <f>$C$30*'E Balans VL '!Y14/100/3.6*1000000</f>
        <v>1572.0101663777439</v>
      </c>
      <c r="O10" s="33"/>
      <c r="P10" s="33"/>
      <c r="R10" s="32"/>
    </row>
    <row r="11" spans="1:18">
      <c r="A11" s="32" t="s">
        <v>55</v>
      </c>
      <c r="B11" s="37">
        <f t="shared" si="0"/>
        <v>99.599747599461409</v>
      </c>
      <c r="C11" s="33"/>
      <c r="D11" s="37">
        <f>IF(ISERROR(TER_onderwijs_gas_kWh/1000),0,TER_onderwijs_gas_kWh/1000)*0.902</f>
        <v>0</v>
      </c>
      <c r="E11" s="33">
        <f>$C$31*'E Balans VL '!I11/100/3.6*1000000</f>
        <v>9.2391864139618626E-2</v>
      </c>
      <c r="F11" s="33">
        <f>$C$31*('E Balans VL '!L11+'E Balans VL '!N11)/100/3.6*1000000</f>
        <v>34.987102196072392</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8065.3709229237302</v>
      </c>
      <c r="C12" s="33"/>
      <c r="D12" s="37">
        <f>IF(ISERROR(TER_rest_gas_kWh/1000),0,TER_rest_gas_kWh/1000)*0.902</f>
        <v>17879.698757446899</v>
      </c>
      <c r="E12" s="33">
        <f>$C$32*'E Balans VL '!I8/100/3.6*1000000</f>
        <v>97.828939634705748</v>
      </c>
      <c r="F12" s="33">
        <f>$C$32*('E Balans VL '!L8+'E Balans VL '!N8)/100/3.6*1000000</f>
        <v>1595.986513256853</v>
      </c>
      <c r="G12" s="34"/>
      <c r="H12" s="33"/>
      <c r="I12" s="33"/>
      <c r="J12" s="33">
        <f>$C$32*('E Balans VL '!D8+'E Balans VL '!E8)/100/3.6*1000000</f>
        <v>0</v>
      </c>
      <c r="K12" s="33"/>
      <c r="L12" s="33"/>
      <c r="M12" s="33"/>
      <c r="N12" s="33">
        <f>$C$32*'E Balans VL '!Y8/100/3.6*1000000</f>
        <v>640.23107636458872</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30127.897018452866</v>
      </c>
      <c r="C16" s="21">
        <f t="shared" ca="1" si="1"/>
        <v>0</v>
      </c>
      <c r="D16" s="21">
        <f t="shared" ca="1" si="1"/>
        <v>39297.723238663151</v>
      </c>
      <c r="E16" s="21">
        <f t="shared" si="1"/>
        <v>372.01334960401698</v>
      </c>
      <c r="F16" s="21">
        <f t="shared" ca="1" si="1"/>
        <v>5726.7235222452864</v>
      </c>
      <c r="G16" s="21">
        <f t="shared" si="1"/>
        <v>0</v>
      </c>
      <c r="H16" s="21">
        <f t="shared" si="1"/>
        <v>0</v>
      </c>
      <c r="I16" s="21">
        <f t="shared" si="1"/>
        <v>0</v>
      </c>
      <c r="J16" s="21">
        <f t="shared" si="1"/>
        <v>0</v>
      </c>
      <c r="K16" s="21">
        <f t="shared" si="1"/>
        <v>0</v>
      </c>
      <c r="L16" s="21">
        <f t="shared" ca="1" si="1"/>
        <v>0</v>
      </c>
      <c r="M16" s="21">
        <f t="shared" si="1"/>
        <v>0</v>
      </c>
      <c r="N16" s="21">
        <f t="shared" ca="1" si="1"/>
        <v>2256.0338173004275</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0.21484347999150757</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6472.7822402701795</v>
      </c>
      <c r="C20" s="23">
        <f t="shared" ref="C20:P20" ca="1" si="2">C16*C18</f>
        <v>0</v>
      </c>
      <c r="D20" s="23">
        <f t="shared" ca="1" si="2"/>
        <v>7938.1400942099572</v>
      </c>
      <c r="E20" s="23">
        <f t="shared" si="2"/>
        <v>84.447030360111853</v>
      </c>
      <c r="F20" s="23">
        <f t="shared" ca="1" si="2"/>
        <v>1529.0351804394916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5969.2803945964097</v>
      </c>
      <c r="C26" s="39">
        <f>IF(ISERROR(B26*3.6/1000000/'E Balans VL '!Z12*100),0,B26*3.6/1000000/'E Balans VL '!Z12*100)</f>
        <v>0.12679047237835686</v>
      </c>
      <c r="D26" s="239" t="s">
        <v>692</v>
      </c>
      <c r="F26" s="6"/>
    </row>
    <row r="27" spans="1:18">
      <c r="A27" s="233" t="s">
        <v>53</v>
      </c>
      <c r="B27" s="33">
        <f>IF(ISERROR(TER_horeca_ele_kWh/1000),0,TER_horeca_ele_kWh/1000)</f>
        <v>1119.4244232282001</v>
      </c>
      <c r="C27" s="39">
        <f>IF(ISERROR(B27*3.6/1000000/'E Balans VL '!Z9*100),0,B27*3.6/1000000/'E Balans VL '!Z9*100)</f>
        <v>8.7042066288376227E-2</v>
      </c>
      <c r="D27" s="239" t="s">
        <v>692</v>
      </c>
      <c r="F27" s="6"/>
    </row>
    <row r="28" spans="1:18">
      <c r="A28" s="173" t="s">
        <v>52</v>
      </c>
      <c r="B28" s="33">
        <f>IF(ISERROR(TER_handel_ele_kWh/1000),0,TER_handel_ele_kWh/1000)</f>
        <v>12287.5910859139</v>
      </c>
      <c r="C28" s="39">
        <f>IF(ISERROR(B28*3.6/1000000/'E Balans VL '!Z13*100),0,B28*3.6/1000000/'E Balans VL '!Z13*100)</f>
        <v>0.35156244201609271</v>
      </c>
      <c r="D28" s="239" t="s">
        <v>692</v>
      </c>
      <c r="F28" s="6"/>
    </row>
    <row r="29" spans="1:18">
      <c r="A29" s="233" t="s">
        <v>51</v>
      </c>
      <c r="B29" s="33">
        <f>IF(ISERROR(TER_gezond_ele_kWh/1000),0,TER_gezond_ele_kWh/1000)</f>
        <v>328.20934323591899</v>
      </c>
      <c r="C29" s="39">
        <f>IF(ISERROR(B29*3.6/1000000/'E Balans VL '!Z10*100),0,B29*3.6/1000000/'E Balans VL '!Z10*100)</f>
        <v>3.5782445083171466E-2</v>
      </c>
      <c r="D29" s="239" t="s">
        <v>692</v>
      </c>
      <c r="F29" s="6"/>
    </row>
    <row r="30" spans="1:18">
      <c r="A30" s="233" t="s">
        <v>50</v>
      </c>
      <c r="B30" s="33">
        <f>IF(ISERROR(TER_ander_ele_kWh/1000),0,TER_ander_ele_kWh/1000)</f>
        <v>2258.42110095525</v>
      </c>
      <c r="C30" s="39">
        <f>IF(ISERROR(B30*3.6/1000000/'E Balans VL '!Z14*100),0,B30*3.6/1000000/'E Balans VL '!Z14*100)</f>
        <v>0.16526613306108323</v>
      </c>
      <c r="D30" s="239" t="s">
        <v>692</v>
      </c>
      <c r="F30" s="6"/>
    </row>
    <row r="31" spans="1:18">
      <c r="A31" s="233" t="s">
        <v>55</v>
      </c>
      <c r="B31" s="33">
        <f>IF(ISERROR(TER_onderwijs_ele_kWh/1000),0,TER_onderwijs_ele_kWh/1000)</f>
        <v>99.599747599461409</v>
      </c>
      <c r="C31" s="39">
        <f>IF(ISERROR(B31*3.6/1000000/'E Balans VL '!Z11*100),0,B31*3.6/1000000/'E Balans VL '!Z11*100)</f>
        <v>2.0004683266084931E-2</v>
      </c>
      <c r="D31" s="239" t="s">
        <v>692</v>
      </c>
    </row>
    <row r="32" spans="1:18">
      <c r="A32" s="233" t="s">
        <v>260</v>
      </c>
      <c r="B32" s="33">
        <f>IF(ISERROR(TER_rest_ele_kWh/1000),0,TER_rest_ele_kWh/1000)</f>
        <v>8065.3709229237302</v>
      </c>
      <c r="C32" s="39">
        <f>IF(ISERROR(B32*3.6/1000000/'E Balans VL '!Z8*100),0,B32*3.6/1000000/'E Balans VL '!Z8*100)</f>
        <v>6.5727878396907219E-2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27955.392636556731</v>
      </c>
      <c r="C5" s="17">
        <f>IF(ISERROR('Eigen informatie GS &amp; warmtenet'!B59),0,'Eigen informatie GS &amp; warmtenet'!B59)</f>
        <v>0</v>
      </c>
      <c r="D5" s="30">
        <f>SUM(D6:D15)</f>
        <v>74064.43209508319</v>
      </c>
      <c r="E5" s="17">
        <f>SUM(E6:E15)</f>
        <v>2162.9875418854649</v>
      </c>
      <c r="F5" s="17">
        <f>SUM(F6:F15)</f>
        <v>29659.461579801231</v>
      </c>
      <c r="G5" s="18"/>
      <c r="H5" s="17"/>
      <c r="I5" s="17"/>
      <c r="J5" s="17">
        <f>SUM(J6:J15)</f>
        <v>12.683355568314957</v>
      </c>
      <c r="K5" s="17"/>
      <c r="L5" s="17"/>
      <c r="M5" s="17"/>
      <c r="N5" s="17">
        <f>SUM(N6:N15)</f>
        <v>13225.064901490454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463.79919521643404</v>
      </c>
      <c r="C8" s="33"/>
      <c r="D8" s="37">
        <f>IF( ISERROR(IND_metaal_Gas_kWH/1000),0,IND_metaal_Gas_kWH/1000)*0.902</f>
        <v>45993.620525227772</v>
      </c>
      <c r="E8" s="33">
        <f>C30*'E Balans VL '!I18/100/3.6*1000000</f>
        <v>13.322053775225125</v>
      </c>
      <c r="F8" s="33">
        <f>C30*'E Balans VL '!L18/100/3.6*1000000+C30*'E Balans VL '!N18/100/3.6*1000000</f>
        <v>118.95557343256651</v>
      </c>
      <c r="G8" s="34"/>
      <c r="H8" s="33"/>
      <c r="I8" s="33"/>
      <c r="J8" s="40">
        <f>C30*'E Balans VL '!D18/100/3.6*1000000+C30*'E Balans VL '!E18/100/3.6*1000000</f>
        <v>0</v>
      </c>
      <c r="K8" s="33"/>
      <c r="L8" s="33"/>
      <c r="M8" s="33"/>
      <c r="N8" s="33">
        <f>C30*'E Balans VL '!Y18/100/3.6*1000000</f>
        <v>12.593094898416762</v>
      </c>
      <c r="O8" s="33"/>
      <c r="P8" s="33"/>
      <c r="R8" s="32"/>
    </row>
    <row r="9" spans="1:18">
      <c r="A9" s="6" t="s">
        <v>33</v>
      </c>
      <c r="B9" s="37">
        <f t="shared" si="0"/>
        <v>1306.8549178686001</v>
      </c>
      <c r="C9" s="33"/>
      <c r="D9" s="37">
        <f>IF( ISERROR(IND_andere_gas_kWh/1000),0,IND_andere_gas_kWh/1000)*0.902</f>
        <v>1592.9177922944591</v>
      </c>
      <c r="E9" s="33">
        <f>C31*'E Balans VL '!I19/100/3.6*1000000</f>
        <v>353.73349457230768</v>
      </c>
      <c r="F9" s="33">
        <f>C31*'E Balans VL '!L19/100/3.6*1000000+C31*'E Balans VL '!N19/100/3.6*1000000</f>
        <v>870.50366943909546</v>
      </c>
      <c r="G9" s="34"/>
      <c r="H9" s="33"/>
      <c r="I9" s="33"/>
      <c r="J9" s="40">
        <f>C31*'E Balans VL '!D19/100/3.6*1000000+C31*'E Balans VL '!E19/100/3.6*1000000</f>
        <v>0</v>
      </c>
      <c r="K9" s="33"/>
      <c r="L9" s="33"/>
      <c r="M9" s="33"/>
      <c r="N9" s="33">
        <f>C31*'E Balans VL '!Y19/100/3.6*1000000</f>
        <v>426.66642196540698</v>
      </c>
      <c r="O9" s="33"/>
      <c r="P9" s="33"/>
      <c r="R9" s="32"/>
    </row>
    <row r="10" spans="1:18">
      <c r="A10" s="6" t="s">
        <v>41</v>
      </c>
      <c r="B10" s="37">
        <f t="shared" si="0"/>
        <v>18311.161835305698</v>
      </c>
      <c r="C10" s="33"/>
      <c r="D10" s="37">
        <f>IF( ISERROR(IND_voed_gas_kWh/1000),0,IND_voed_gas_kWh/1000)*0.902</f>
        <v>19705.858786045657</v>
      </c>
      <c r="E10" s="33">
        <f>C32*'E Balans VL '!I20/100/3.6*1000000</f>
        <v>1493.5004280871624</v>
      </c>
      <c r="F10" s="33">
        <f>C32*'E Balans VL '!L20/100/3.6*1000000+C32*'E Balans VL '!N20/100/3.6*1000000</f>
        <v>27303.603630610742</v>
      </c>
      <c r="G10" s="34"/>
      <c r="H10" s="33"/>
      <c r="I10" s="33"/>
      <c r="J10" s="40">
        <f>C32*'E Balans VL '!D20/100/3.6*1000000+C32*'E Balans VL '!E20/100/3.6*1000000</f>
        <v>0.24223444431236096</v>
      </c>
      <c r="K10" s="33"/>
      <c r="L10" s="33"/>
      <c r="M10" s="33"/>
      <c r="N10" s="33">
        <f>C32*'E Balans VL '!Y20/100/3.6*1000000</f>
        <v>5379.1732159825942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3019.5712750137</v>
      </c>
      <c r="C13" s="33"/>
      <c r="D13" s="37">
        <f>IF( ISERROR(IND_papier_gas_kWh/1000),0,IND_papier_gas_kWh/1000)*0.902</f>
        <v>3256.2362986830922</v>
      </c>
      <c r="E13" s="33">
        <f>C35*'E Balans VL '!I23/100/3.6*1000000</f>
        <v>31.635510093289668</v>
      </c>
      <c r="F13" s="33">
        <f>C35*'E Balans VL '!L23/100/3.6*1000000+C35*'E Balans VL '!N23/100/3.6*1000000</f>
        <v>225.32094374855211</v>
      </c>
      <c r="G13" s="34"/>
      <c r="H13" s="33"/>
      <c r="I13" s="33"/>
      <c r="J13" s="40">
        <f>C35*'E Balans VL '!D23/100/3.6*1000000+C35*'E Balans VL '!E23/100/3.6*1000000</f>
        <v>0</v>
      </c>
      <c r="K13" s="33"/>
      <c r="L13" s="33"/>
      <c r="M13" s="33"/>
      <c r="N13" s="33">
        <f>C35*'E Balans VL '!Y23/100/3.6*1000000</f>
        <v>6454.0184270683076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4854.0054131523002</v>
      </c>
      <c r="C15" s="33"/>
      <c r="D15" s="37">
        <f>IF( ISERROR(IND_rest_gas_kWh/1000),0,IND_rest_gas_kWh/1000)*0.902</f>
        <v>3515.7986928322271</v>
      </c>
      <c r="E15" s="33">
        <f>C37*'E Balans VL '!I15/100/3.6*1000000</f>
        <v>270.79605535747999</v>
      </c>
      <c r="F15" s="33">
        <f>C37*'E Balans VL '!L15/100/3.6*1000000+C37*'E Balans VL '!N15/100/3.6*1000000</f>
        <v>1141.0777625702744</v>
      </c>
      <c r="G15" s="34"/>
      <c r="H15" s="33"/>
      <c r="I15" s="33"/>
      <c r="J15" s="40">
        <f>C37*'E Balans VL '!D15/100/3.6*1000000+C37*'E Balans VL '!E15/100/3.6*1000000</f>
        <v>12.441121124002596</v>
      </c>
      <c r="K15" s="33"/>
      <c r="L15" s="33"/>
      <c r="M15" s="33"/>
      <c r="N15" s="33">
        <f>C37*'E Balans VL '!Y15/100/3.6*1000000</f>
        <v>952.61374157572834</v>
      </c>
      <c r="O15" s="33"/>
      <c r="P15" s="33"/>
      <c r="R15" s="32"/>
    </row>
    <row r="16" spans="1:18">
      <c r="A16" s="16" t="s">
        <v>497</v>
      </c>
      <c r="B16" s="249">
        <f>'lokale energieproductie'!N89+'lokale energieproductie'!N58</f>
        <v>18891</v>
      </c>
      <c r="C16" s="249">
        <f>'lokale energieproductie'!O89+'lokale energieproductie'!O58</f>
        <v>26987.142857142859</v>
      </c>
      <c r="D16" s="312">
        <f>('lokale energieproductie'!P58+'lokale energieproductie'!P89)*(-1)</f>
        <v>-53974.285714285717</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46846.392636556731</v>
      </c>
      <c r="C18" s="21">
        <f>C5+C16</f>
        <v>26987.142857142859</v>
      </c>
      <c r="D18" s="21">
        <f>MAX((D5+D16),0)</f>
        <v>20090.146380797472</v>
      </c>
      <c r="E18" s="21">
        <f>MAX((E5+E16),0)</f>
        <v>2162.9875418854649</v>
      </c>
      <c r="F18" s="21">
        <f>MAX((F5+F16),0)</f>
        <v>29659.461579801231</v>
      </c>
      <c r="G18" s="21"/>
      <c r="H18" s="21"/>
      <c r="I18" s="21"/>
      <c r="J18" s="21">
        <f>MAX((J5+J16),0)</f>
        <v>12.683355568314957</v>
      </c>
      <c r="K18" s="21"/>
      <c r="L18" s="21">
        <f>MAX((L5+L16),0)</f>
        <v>0</v>
      </c>
      <c r="M18" s="21"/>
      <c r="N18" s="21">
        <f>MAX((N5+N16),0)</f>
        <v>13225.064901490454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0.21484347999150757</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10064.642019086385</v>
      </c>
      <c r="C22" s="23">
        <f ca="1">C18*C20</f>
        <v>6413.4151260504223</v>
      </c>
      <c r="D22" s="23">
        <f>D18*D20</f>
        <v>4058.2095689210896</v>
      </c>
      <c r="E22" s="23">
        <f>E18*E20</f>
        <v>490.99817200800055</v>
      </c>
      <c r="F22" s="23">
        <f>F18*F20</f>
        <v>7919.0762418069289</v>
      </c>
      <c r="G22" s="23"/>
      <c r="H22" s="23"/>
      <c r="I22" s="23"/>
      <c r="J22" s="23">
        <f>J18*J20</f>
        <v>4.4899078711834948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463.79919521643404</v>
      </c>
      <c r="C30" s="39">
        <f>IF(ISERROR(B30*3.6/1000000/'E Balans VL '!Z18*100),0,B30*3.6/1000000/'E Balans VL '!Z18*100)</f>
        <v>4.5636656856072412E-2</v>
      </c>
      <c r="D30" s="239" t="s">
        <v>692</v>
      </c>
    </row>
    <row r="31" spans="1:18">
      <c r="A31" s="6" t="s">
        <v>33</v>
      </c>
      <c r="B31" s="37">
        <f>IF( ISERROR(IND_ander_ele_kWh/1000),0,IND_ander_ele_kWh/1000)</f>
        <v>1306.8549178686001</v>
      </c>
      <c r="C31" s="39">
        <f>IF(ISERROR(B31*3.6/1000000/'E Balans VL '!Z19*100),0,B31*3.6/1000000/'E Balans VL '!Z19*100)</f>
        <v>5.6912489205278541E-2</v>
      </c>
      <c r="D31" s="239" t="s">
        <v>692</v>
      </c>
    </row>
    <row r="32" spans="1:18">
      <c r="A32" s="173" t="s">
        <v>41</v>
      </c>
      <c r="B32" s="37">
        <f>IF( ISERROR(IND_voed_ele_kWh/1000),0,IND_voed_ele_kWh/1000)</f>
        <v>18311.161835305698</v>
      </c>
      <c r="C32" s="39">
        <f>IF(ISERROR(B32*3.6/1000000/'E Balans VL '!Z20*100),0,B32*3.6/1000000/'E Balans VL '!Z20*100)</f>
        <v>3.4742788825675901</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3019.5712750137</v>
      </c>
      <c r="C35" s="39">
        <f>IF(ISERROR(B35*3.6/1000000/'E Balans VL '!Z22*100),0,B35*3.6/1000000/'E Balans VL '!Z22*100)</f>
        <v>0.4245820428565571</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4854.0054131523002</v>
      </c>
      <c r="C37" s="39">
        <f>IF(ISERROR(B37*3.6/1000000/'E Balans VL '!Z15*100),0,B37*3.6/1000000/'E Balans VL '!Z15*100)</f>
        <v>3.7406073655913412E-2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512.00704986933204</v>
      </c>
      <c r="C5" s="17">
        <f>'Eigen informatie GS &amp; warmtenet'!B60</f>
        <v>0</v>
      </c>
      <c r="D5" s="30">
        <f>IF(ISERROR(SUM(LB_lb_gas_kWh,LB_rest_gas_kWh,onbekend_gas_kWh)/1000),0,SUM(LB_lb_gas_kWh,LB_rest_gas_kWh,onbekend_gas_kWh)/1000)*0.902</f>
        <v>16374.078695682001</v>
      </c>
      <c r="E5" s="17">
        <f>B17*'E Balans VL '!I25/3.6*1000000/100</f>
        <v>6.4519484275439023</v>
      </c>
      <c r="F5" s="17">
        <f>B17*('E Balans VL '!L25/3.6*1000000+'E Balans VL '!N25/3.6*1000000)/100</f>
        <v>1766.5525874793614</v>
      </c>
      <c r="G5" s="18"/>
      <c r="H5" s="17"/>
      <c r="I5" s="17"/>
      <c r="J5" s="17">
        <f>('E Balans VL '!D25+'E Balans VL '!E25)/3.6*1000000*landbouw!B17/100</f>
        <v>77.000040009621785</v>
      </c>
      <c r="K5" s="17"/>
      <c r="L5" s="17">
        <f>L6*(-1)</f>
        <v>0</v>
      </c>
      <c r="M5" s="17"/>
      <c r="N5" s="17">
        <f>N6*(-1)</f>
        <v>0</v>
      </c>
      <c r="O5" s="17"/>
      <c r="P5" s="17"/>
      <c r="R5" s="32"/>
    </row>
    <row r="6" spans="1:18">
      <c r="A6" s="16" t="s">
        <v>497</v>
      </c>
      <c r="B6" s="17" t="s">
        <v>211</v>
      </c>
      <c r="C6" s="17">
        <f>'lokale energieproductie'!O91+'lokale energieproductie'!O60</f>
        <v>10131.428571428571</v>
      </c>
      <c r="D6" s="312">
        <f>('lokale energieproductie'!P60+'lokale energieproductie'!P91)*(-1)</f>
        <v>-20262.857142857141</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512.00704986933204</v>
      </c>
      <c r="C8" s="21">
        <f>C5+C6</f>
        <v>10131.428571428571</v>
      </c>
      <c r="D8" s="21">
        <f>MAX((D5+D6),0)</f>
        <v>0</v>
      </c>
      <c r="E8" s="21">
        <f>MAX((E5+E6),0)</f>
        <v>6.4519484275439023</v>
      </c>
      <c r="F8" s="21">
        <f>MAX((F5+F6),0)</f>
        <v>1766.5525874793614</v>
      </c>
      <c r="G8" s="21"/>
      <c r="H8" s="21"/>
      <c r="I8" s="21"/>
      <c r="J8" s="21">
        <f>MAX((J5+J6),0)</f>
        <v>77.000040009621785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0.21484347999150757</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110.00137637411265</v>
      </c>
      <c r="C12" s="23">
        <f ca="1">C8*C10</f>
        <v>2407.7042016806727</v>
      </c>
      <c r="D12" s="23">
        <f>D8*D10</f>
        <v>0</v>
      </c>
      <c r="E12" s="23">
        <f>E8*E10</f>
        <v>1.464592293052466</v>
      </c>
      <c r="F12" s="23">
        <f>F8*F10</f>
        <v>471.6695408569895</v>
      </c>
      <c r="G12" s="23"/>
      <c r="H12" s="23"/>
      <c r="I12" s="23"/>
      <c r="J12" s="23">
        <f>J8*J10</f>
        <v>27.258014163406109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7.1408845931283577E-2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5.0771540024667736</v>
      </c>
      <c r="C26" s="249">
        <f>B26*'GWP N2O_CH4'!B5</f>
        <v>106.62023405180224</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0.51487188915234794</v>
      </c>
      <c r="C27" s="249">
        <f>B27*'GWP N2O_CH4'!B5</f>
        <v>10.812309672199307</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8.1964294095202894E-2</v>
      </c>
      <c r="C28" s="249">
        <f>B28*'GWP N2O_CH4'!B4</f>
        <v>25.408931169512897</v>
      </c>
      <c r="D28" s="50"/>
    </row>
    <row r="29" spans="1:4">
      <c r="A29" s="41" t="s">
        <v>277</v>
      </c>
      <c r="B29" s="249">
        <f>B34*'ha_N2O bodem landbouw'!B4</f>
        <v>1.9299462264398302</v>
      </c>
      <c r="C29" s="249">
        <f>B29*'GWP N2O_CH4'!B4</f>
        <v>598.28333019634738</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4.818882881810948E-4</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4.1248571258334618E-5</v>
      </c>
      <c r="C5" s="448" t="s">
        <v>211</v>
      </c>
      <c r="D5" s="433">
        <f>SUM(D6:D11)</f>
        <v>6.281709293537228E-5</v>
      </c>
      <c r="E5" s="433">
        <f>SUM(E6:E11)</f>
        <v>2.3345965087257902E-3</v>
      </c>
      <c r="F5" s="446" t="s">
        <v>211</v>
      </c>
      <c r="G5" s="433">
        <f>SUM(G6:G11)</f>
        <v>0.75249897365279472</v>
      </c>
      <c r="H5" s="433">
        <f>SUM(H6:H11)</f>
        <v>9.8211098245500283E-2</v>
      </c>
      <c r="I5" s="448" t="s">
        <v>211</v>
      </c>
      <c r="J5" s="448" t="s">
        <v>211</v>
      </c>
      <c r="K5" s="448" t="s">
        <v>211</v>
      </c>
      <c r="L5" s="448" t="s">
        <v>211</v>
      </c>
      <c r="M5" s="433">
        <f>SUM(M6:M11)</f>
        <v>3.8150598125280717E-2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6.6597162807239147E-6</v>
      </c>
      <c r="C6" s="949"/>
      <c r="D6" s="949">
        <f>vkm_2011_GW_PW*SUMIFS(TableVerdeelsleutelVkm[CNG],TableVerdeelsleutelVkm[Voertuigtype],"Lichte voertuigen")*SUMIFS(TableECFTransport[EnergieConsumptieFactor (PJ per km)],TableECFTransport[Index],CONCATENATE($A6,"_CNG_CNG"))</f>
        <v>9.4314607649072839E-6</v>
      </c>
      <c r="E6" s="949">
        <f>vkm_2011_GW_PW*SUMIFS(TableVerdeelsleutelVkm[LPG],TableVerdeelsleutelVkm[Voertuigtype],"Lichte voertuigen")*SUMIFS(TableECFTransport[EnergieConsumptieFactor (PJ per km)],TableECFTransport[Index],CONCATENATE($A6,"_LPG_LPG"))</f>
        <v>2.9621113343719478E-4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5.3237251543541891E-2</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1.430533381436803E-2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3.0140494957445734E-3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3.0679829527234463E-2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1.0930777266895952E-5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1.384453059714307E-3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2.1439464018341987E-6</v>
      </c>
      <c r="C8" s="949"/>
      <c r="D8" s="436">
        <f>vkm_2011_NGW_PW*SUMIFS(TableVerdeelsleutelVkm[CNG],TableVerdeelsleutelVkm[Voertuigtype],"Lichte voertuigen")*SUMIFS(TableECFTransport[EnergieConsumptieFactor (PJ per km)],TableECFTransport[Index],CONCATENATE($A8,"_CNG_CNG"))</f>
        <v>5.4091265489908301E-6</v>
      </c>
      <c r="E8" s="436">
        <f>vkm_2011_NGW_PW*SUMIFS(TableVerdeelsleutelVkm[LPG],TableVerdeelsleutelVkm[Voertuigtype],"Lichte voertuigen")*SUMIFS(TableECFTransport[EnergieConsumptieFactor (PJ per km)],TableECFTransport[Index],CONCATENATE($A8,"_LPG_LPG"))</f>
        <v>1.5647386869818678E-4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2.6523838070914924E-2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7.9164271217248474E-3</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1.5354493767450572E-3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1.3044495763588472E-2</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4.397948106034396E-6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5.8863313336524905E-4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3.2444908575776508E-5</v>
      </c>
      <c r="C10" s="949"/>
      <c r="D10" s="436">
        <f>vkm_2011_SW_PW*SUMIFS(TableVerdeelsleutelVkm[CNG],TableVerdeelsleutelVkm[Voertuigtype],"Lichte voertuigen")*SUMIFS(TableECFTransport[EnergieConsumptieFactor (PJ per km)],TableECFTransport[Index],CONCATENATE($A10,"_CNG_CNG"))</f>
        <v>4.7976505621474163E-5</v>
      </c>
      <c r="E10" s="436">
        <f>vkm_2011_SW_PW*SUMIFS(TableVerdeelsleutelVkm[LPG],TableVerdeelsleutelVkm[Voertuigtype],"Lichte voertuigen")*SUMIFS(TableECFTransport[EnergieConsumptieFactor (PJ per km)],TableECFTransport[Index],CONCATENATE($A10,"_LPG_LPG"))</f>
        <v>1.8819115065904087E-3</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0.30631986846528469</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7.5850023910530653E-2</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1.7065803501002091E-2</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0.32269369028223022</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1.2398467350382354E-4</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1.4562209558709441E-2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11.457936460648504</v>
      </c>
      <c r="C14" s="21"/>
      <c r="D14" s="21">
        <f t="shared" ref="D14:M14" si="0">((D5)*10^9/3600)+D12</f>
        <v>17.449192482047856</v>
      </c>
      <c r="E14" s="21">
        <f t="shared" si="0"/>
        <v>648.49903020160843</v>
      </c>
      <c r="F14" s="21"/>
      <c r="G14" s="21">
        <f t="shared" si="0"/>
        <v>209027.49268133187</v>
      </c>
      <c r="H14" s="21">
        <f t="shared" si="0"/>
        <v>27280.860623750079</v>
      </c>
      <c r="I14" s="21"/>
      <c r="J14" s="21"/>
      <c r="K14" s="21"/>
      <c r="L14" s="21"/>
      <c r="M14" s="21">
        <f t="shared" si="0"/>
        <v>10597.388368133532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0.21484347999150757</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2.461662942727302</v>
      </c>
      <c r="C18" s="23"/>
      <c r="D18" s="23">
        <f t="shared" ref="D18:M18" si="1">D14*D16</f>
        <v>3.5247368813736673</v>
      </c>
      <c r="E18" s="23">
        <f t="shared" si="1"/>
        <v>147.20927985576512</v>
      </c>
      <c r="F18" s="23"/>
      <c r="G18" s="23">
        <f t="shared" si="1"/>
        <v>55810.340545915613</v>
      </c>
      <c r="H18" s="23">
        <f t="shared" si="1"/>
        <v>6792.9342953137693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8.4623811226388467E-3</v>
      </c>
      <c r="H50" s="323">
        <f t="shared" si="2"/>
        <v>0</v>
      </c>
      <c r="I50" s="323">
        <f t="shared" si="2"/>
        <v>0</v>
      </c>
      <c r="J50" s="323">
        <f t="shared" si="2"/>
        <v>0</v>
      </c>
      <c r="K50" s="323">
        <f t="shared" si="2"/>
        <v>0</v>
      </c>
      <c r="L50" s="323">
        <f t="shared" si="2"/>
        <v>0</v>
      </c>
      <c r="M50" s="323">
        <f t="shared" si="2"/>
        <v>3.7634278680033755E-4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8.4623811226388467E-3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3.7634278680033755E-4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2350.6614229552351</v>
      </c>
      <c r="H54" s="21">
        <f t="shared" si="3"/>
        <v>0</v>
      </c>
      <c r="I54" s="21">
        <f t="shared" si="3"/>
        <v>0</v>
      </c>
      <c r="J54" s="21">
        <f t="shared" si="3"/>
        <v>0</v>
      </c>
      <c r="K54" s="21">
        <f t="shared" si="3"/>
        <v>0</v>
      </c>
      <c r="L54" s="21">
        <f t="shared" si="3"/>
        <v>0</v>
      </c>
      <c r="M54" s="21">
        <f t="shared" si="3"/>
        <v>104.53966300009377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0.21484347999150757</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627.62659992904787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0</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4765.5292576832071</v>
      </c>
      <c r="C6" s="1142"/>
      <c r="D6" s="1145"/>
      <c r="E6" s="1145"/>
      <c r="F6" s="1148"/>
      <c r="G6" s="1151"/>
      <c r="H6" s="1139"/>
      <c r="I6" s="1145"/>
      <c r="J6" s="1145"/>
      <c r="K6" s="1145"/>
      <c r="L6" s="1175"/>
      <c r="M6" s="561"/>
      <c r="N6" s="1187"/>
      <c r="O6" s="1188"/>
      <c r="Q6" s="559"/>
      <c r="R6" s="1172"/>
      <c r="S6" s="1172"/>
    </row>
    <row r="7" spans="1:19" s="549" customFormat="1">
      <c r="A7" s="562" t="s">
        <v>252</v>
      </c>
      <c r="B7" s="563">
        <f>N57</f>
        <v>25983</v>
      </c>
      <c r="C7" s="564">
        <f>B100</f>
        <v>30568.235294117643</v>
      </c>
      <c r="D7" s="565"/>
      <c r="E7" s="565">
        <f>E100</f>
        <v>0</v>
      </c>
      <c r="F7" s="566"/>
      <c r="G7" s="567"/>
      <c r="H7" s="565">
        <f>I100</f>
        <v>0</v>
      </c>
      <c r="I7" s="565">
        <f>G100+F100</f>
        <v>0</v>
      </c>
      <c r="J7" s="565">
        <f>H100+D100+C100</f>
        <v>0</v>
      </c>
      <c r="K7" s="565"/>
      <c r="L7" s="568"/>
      <c r="M7" s="569">
        <f>C7*$C$11+D7*$D$11+E7*$E$11+F7*$F$11+G7*$G$11+H7*$H$11+I7*$I$11+J7*$J$11</f>
        <v>6174.783529411764</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30748.529257683207</v>
      </c>
      <c r="C9" s="580">
        <f t="shared" ref="C9:L9" si="0">SUM(C7:C8)</f>
        <v>30568.235294117643</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6174.783529411764</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37118.571428571428</v>
      </c>
      <c r="C16" s="596">
        <f>B101</f>
        <v>43668.907563025212</v>
      </c>
      <c r="D16" s="597"/>
      <c r="E16" s="597">
        <f>E101</f>
        <v>0</v>
      </c>
      <c r="F16" s="598"/>
      <c r="G16" s="599"/>
      <c r="H16" s="596">
        <f>I101</f>
        <v>0</v>
      </c>
      <c r="I16" s="597">
        <f>G101+F101</f>
        <v>0</v>
      </c>
      <c r="J16" s="597">
        <f>H101+D101+C101</f>
        <v>0</v>
      </c>
      <c r="K16" s="597"/>
      <c r="L16" s="600"/>
      <c r="M16" s="601">
        <f>C16*$C$21+E16*$E$21+H16*$H$21+I16*$I$21+J16*$J$21+D16*$D$21+F16*$F$21+G16*$G$21+K16*$K$21+L16*$L$21</f>
        <v>8821.119327731094</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37118.571428571428</v>
      </c>
      <c r="C19" s="579">
        <f>SUM(C16:C18)</f>
        <v>43668.907563025212</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8821.119327731094</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11052</v>
      </c>
      <c r="C27" s="839">
        <v>2160</v>
      </c>
      <c r="D27" s="658" t="s">
        <v>840</v>
      </c>
      <c r="E27" s="657" t="s">
        <v>841</v>
      </c>
      <c r="F27" s="657" t="s">
        <v>842</v>
      </c>
      <c r="G27" s="657" t="s">
        <v>843</v>
      </c>
      <c r="H27" s="657" t="s">
        <v>844</v>
      </c>
      <c r="I27" s="657" t="s">
        <v>841</v>
      </c>
      <c r="J27" s="838">
        <v>39750</v>
      </c>
      <c r="K27" s="838">
        <v>39750</v>
      </c>
      <c r="L27" s="657" t="s">
        <v>845</v>
      </c>
      <c r="M27" s="657">
        <v>290</v>
      </c>
      <c r="N27" s="657">
        <v>1305</v>
      </c>
      <c r="O27" s="657">
        <v>1864.2857142857142</v>
      </c>
      <c r="P27" s="657">
        <v>3728.5714285714289</v>
      </c>
      <c r="Q27" s="657">
        <v>0</v>
      </c>
      <c r="R27" s="657">
        <v>0</v>
      </c>
      <c r="S27" s="657">
        <v>0</v>
      </c>
      <c r="T27" s="657">
        <v>0</v>
      </c>
      <c r="U27" s="657">
        <v>0</v>
      </c>
      <c r="V27" s="657">
        <v>0</v>
      </c>
      <c r="W27" s="657">
        <v>0</v>
      </c>
      <c r="X27" s="657">
        <v>10</v>
      </c>
      <c r="Y27" s="657" t="s">
        <v>112</v>
      </c>
      <c r="Z27" s="659" t="s">
        <v>112</v>
      </c>
    </row>
    <row r="28" spans="1:26" s="611" customFormat="1" ht="38.25">
      <c r="A28" s="610"/>
      <c r="B28" s="839">
        <v>11052</v>
      </c>
      <c r="C28" s="839">
        <v>2160</v>
      </c>
      <c r="D28" s="658" t="s">
        <v>846</v>
      </c>
      <c r="E28" s="657" t="s">
        <v>847</v>
      </c>
      <c r="F28" s="657" t="s">
        <v>848</v>
      </c>
      <c r="G28" s="657" t="s">
        <v>843</v>
      </c>
      <c r="H28" s="657" t="s">
        <v>844</v>
      </c>
      <c r="I28" s="657" t="s">
        <v>847</v>
      </c>
      <c r="J28" s="838">
        <v>40246</v>
      </c>
      <c r="K28" s="838">
        <v>39468</v>
      </c>
      <c r="L28" s="657" t="s">
        <v>849</v>
      </c>
      <c r="M28" s="657">
        <v>4198</v>
      </c>
      <c r="N28" s="657">
        <v>18891</v>
      </c>
      <c r="O28" s="657">
        <v>26987.142857142859</v>
      </c>
      <c r="P28" s="657">
        <v>53974.285714285717</v>
      </c>
      <c r="Q28" s="657">
        <v>0</v>
      </c>
      <c r="R28" s="657">
        <v>0</v>
      </c>
      <c r="S28" s="657">
        <v>0</v>
      </c>
      <c r="T28" s="657">
        <v>0</v>
      </c>
      <c r="U28" s="657">
        <v>0</v>
      </c>
      <c r="V28" s="657">
        <v>0</v>
      </c>
      <c r="W28" s="657">
        <v>0</v>
      </c>
      <c r="X28" s="657">
        <v>800</v>
      </c>
      <c r="Y28" s="657" t="s">
        <v>36</v>
      </c>
      <c r="Z28" s="659" t="s">
        <v>390</v>
      </c>
    </row>
    <row r="29" spans="1:26" s="611" customFormat="1" ht="25.5">
      <c r="A29" s="610"/>
      <c r="B29" s="839">
        <v>11052</v>
      </c>
      <c r="C29" s="839">
        <v>2160</v>
      </c>
      <c r="D29" s="658" t="s">
        <v>850</v>
      </c>
      <c r="E29" s="657" t="s">
        <v>851</v>
      </c>
      <c r="F29" s="657" t="s">
        <v>852</v>
      </c>
      <c r="G29" s="657" t="s">
        <v>843</v>
      </c>
      <c r="H29" s="657" t="s">
        <v>844</v>
      </c>
      <c r="I29" s="657" t="s">
        <v>851</v>
      </c>
      <c r="J29" s="838">
        <v>40590</v>
      </c>
      <c r="K29" s="838">
        <v>40655</v>
      </c>
      <c r="L29" s="657" t="s">
        <v>849</v>
      </c>
      <c r="M29" s="657">
        <v>1286</v>
      </c>
      <c r="N29" s="657">
        <v>5787</v>
      </c>
      <c r="O29" s="657">
        <v>8267.1428571428569</v>
      </c>
      <c r="P29" s="657">
        <v>16534.285714285714</v>
      </c>
      <c r="Q29" s="657">
        <v>0</v>
      </c>
      <c r="R29" s="657">
        <v>0</v>
      </c>
      <c r="S29" s="657">
        <v>0</v>
      </c>
      <c r="T29" s="657">
        <v>0</v>
      </c>
      <c r="U29" s="657">
        <v>0</v>
      </c>
      <c r="V29" s="657">
        <v>0</v>
      </c>
      <c r="W29" s="657">
        <v>0</v>
      </c>
      <c r="X29" s="657">
        <v>10</v>
      </c>
      <c r="Y29" s="657" t="s">
        <v>112</v>
      </c>
      <c r="Z29" s="659" t="s">
        <v>112</v>
      </c>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5774</v>
      </c>
      <c r="N57" s="615">
        <f>SUM(N27:N56)</f>
        <v>25983</v>
      </c>
      <c r="O57" s="615">
        <f t="shared" ref="O57:W57" si="2">SUM(O27:O56)</f>
        <v>37118.571428571428</v>
      </c>
      <c r="P57" s="615">
        <f t="shared" si="2"/>
        <v>74237.142857142855</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4198</v>
      </c>
      <c r="N58" s="615">
        <f t="shared" ref="N58:W58" si="3">SUMIF($Z$27:$Z$56,"industrie",N27:N56)</f>
        <v>18891</v>
      </c>
      <c r="O58" s="615">
        <f t="shared" si="3"/>
        <v>26987.142857142859</v>
      </c>
      <c r="P58" s="615">
        <f t="shared" si="3"/>
        <v>53974.285714285717</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1576</v>
      </c>
      <c r="N60" s="620">
        <f t="shared" ref="N60:W60" si="4">SUMIF($Z$27:$Z$56,"landbouw",N27:N56)</f>
        <v>7092</v>
      </c>
      <c r="O60" s="620">
        <f t="shared" si="4"/>
        <v>10131.428571428571</v>
      </c>
      <c r="P60" s="620">
        <f t="shared" si="4"/>
        <v>20262.857142857141</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0.58823529411764708</v>
      </c>
      <c r="C97" s="640">
        <f>IF(ISERROR(N57/(O57+N57)),0,N57/(N57+O57))</f>
        <v>0.41176470588235292</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30568.235294117643</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43668.907563025212</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31009.687018452867</v>
      </c>
      <c r="D10" s="704">
        <f ca="1">tertiair!C16</f>
        <v>0</v>
      </c>
      <c r="E10" s="704">
        <f ca="1">tertiair!D16</f>
        <v>39297.723238663151</v>
      </c>
      <c r="F10" s="704">
        <f>tertiair!E16</f>
        <v>372.01334960401698</v>
      </c>
      <c r="G10" s="704">
        <f ca="1">tertiair!F16</f>
        <v>5726.7235222452864</v>
      </c>
      <c r="H10" s="704">
        <f>tertiair!G16</f>
        <v>0</v>
      </c>
      <c r="I10" s="704">
        <f>tertiair!H16</f>
        <v>0</v>
      </c>
      <c r="J10" s="704">
        <f>tertiair!I16</f>
        <v>0</v>
      </c>
      <c r="K10" s="704">
        <f>tertiair!J16</f>
        <v>0</v>
      </c>
      <c r="L10" s="704">
        <f>tertiair!K16</f>
        <v>0</v>
      </c>
      <c r="M10" s="704">
        <f ca="1">tertiair!L16</f>
        <v>0</v>
      </c>
      <c r="N10" s="704">
        <f>tertiair!M16</f>
        <v>0</v>
      </c>
      <c r="O10" s="704">
        <f ca="1">tertiair!N16</f>
        <v>2256.0338173004275</v>
      </c>
      <c r="P10" s="704">
        <f>tertiair!O16</f>
        <v>1.5633333333333335</v>
      </c>
      <c r="Q10" s="705">
        <f>tertiair!P16</f>
        <v>38.133333333333333</v>
      </c>
      <c r="R10" s="707">
        <f ca="1">SUM(C10:Q10)</f>
        <v>78701.877612932425</v>
      </c>
      <c r="S10" s="67"/>
    </row>
    <row r="11" spans="1:19" s="459" customFormat="1">
      <c r="A11" s="858" t="s">
        <v>225</v>
      </c>
      <c r="B11" s="863"/>
      <c r="C11" s="704">
        <f>huishoudens!B8</f>
        <v>22430.88652433531</v>
      </c>
      <c r="D11" s="704">
        <f>huishoudens!C8</f>
        <v>0</v>
      </c>
      <c r="E11" s="704">
        <f>huishoudens!D8</f>
        <v>70626.55380159842</v>
      </c>
      <c r="F11" s="704">
        <f>huishoudens!E8</f>
        <v>1389.4250020641414</v>
      </c>
      <c r="G11" s="704">
        <f>huishoudens!F8</f>
        <v>0</v>
      </c>
      <c r="H11" s="704">
        <f>huishoudens!G8</f>
        <v>0</v>
      </c>
      <c r="I11" s="704">
        <f>huishoudens!H8</f>
        <v>0</v>
      </c>
      <c r="J11" s="704">
        <f>huishoudens!I8</f>
        <v>0</v>
      </c>
      <c r="K11" s="704">
        <f>huishoudens!J8</f>
        <v>0</v>
      </c>
      <c r="L11" s="704">
        <f>huishoudens!K8</f>
        <v>0</v>
      </c>
      <c r="M11" s="704">
        <f>huishoudens!L8</f>
        <v>0</v>
      </c>
      <c r="N11" s="704">
        <f>huishoudens!M8</f>
        <v>0</v>
      </c>
      <c r="O11" s="704">
        <f>huishoudens!N8</f>
        <v>7487.7267956594515</v>
      </c>
      <c r="P11" s="704">
        <f>huishoudens!O8</f>
        <v>157.89666666666668</v>
      </c>
      <c r="Q11" s="705">
        <f>huishoudens!P8</f>
        <v>400.4</v>
      </c>
      <c r="R11" s="707">
        <f>SUM(C11:Q11)</f>
        <v>102492.88879032398</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46846.392636556731</v>
      </c>
      <c r="D13" s="704">
        <f>industrie!C18</f>
        <v>26987.142857142859</v>
      </c>
      <c r="E13" s="704">
        <f>industrie!D18</f>
        <v>20090.146380797472</v>
      </c>
      <c r="F13" s="704">
        <f>industrie!E18</f>
        <v>2162.9875418854649</v>
      </c>
      <c r="G13" s="704">
        <f>industrie!F18</f>
        <v>29659.461579801231</v>
      </c>
      <c r="H13" s="704">
        <f>industrie!G18</f>
        <v>0</v>
      </c>
      <c r="I13" s="704">
        <f>industrie!H18</f>
        <v>0</v>
      </c>
      <c r="J13" s="704">
        <f>industrie!I18</f>
        <v>0</v>
      </c>
      <c r="K13" s="704">
        <f>industrie!J18</f>
        <v>12.683355568314957</v>
      </c>
      <c r="L13" s="704">
        <f>industrie!K18</f>
        <v>0</v>
      </c>
      <c r="M13" s="704">
        <f>industrie!L18</f>
        <v>0</v>
      </c>
      <c r="N13" s="704">
        <f>industrie!M18</f>
        <v>0</v>
      </c>
      <c r="O13" s="704">
        <f>industrie!N18</f>
        <v>13225.064901490454</v>
      </c>
      <c r="P13" s="704">
        <f>industrie!O18</f>
        <v>0</v>
      </c>
      <c r="Q13" s="705">
        <f>industrie!P18</f>
        <v>0</v>
      </c>
      <c r="R13" s="707">
        <f>SUM(C13:Q13)</f>
        <v>138983.87925324251</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100286.9661793449</v>
      </c>
      <c r="D15" s="709">
        <f t="shared" ref="D15:Q15" ca="1" si="0">SUM(D9:D14)</f>
        <v>26987.142857142859</v>
      </c>
      <c r="E15" s="709">
        <f t="shared" ca="1" si="0"/>
        <v>130014.42342105904</v>
      </c>
      <c r="F15" s="709">
        <f t="shared" si="0"/>
        <v>3924.4258935536232</v>
      </c>
      <c r="G15" s="709">
        <f t="shared" ca="1" si="0"/>
        <v>35386.185102046518</v>
      </c>
      <c r="H15" s="709">
        <f t="shared" si="0"/>
        <v>0</v>
      </c>
      <c r="I15" s="709">
        <f t="shared" si="0"/>
        <v>0</v>
      </c>
      <c r="J15" s="709">
        <f t="shared" si="0"/>
        <v>0</v>
      </c>
      <c r="K15" s="709">
        <f t="shared" si="0"/>
        <v>12.683355568314957</v>
      </c>
      <c r="L15" s="709">
        <f t="shared" si="0"/>
        <v>0</v>
      </c>
      <c r="M15" s="709">
        <f t="shared" ca="1" si="0"/>
        <v>0</v>
      </c>
      <c r="N15" s="709">
        <f t="shared" si="0"/>
        <v>0</v>
      </c>
      <c r="O15" s="709">
        <f t="shared" ca="1" si="0"/>
        <v>22968.825514450335</v>
      </c>
      <c r="P15" s="709">
        <f t="shared" si="0"/>
        <v>159.46</v>
      </c>
      <c r="Q15" s="710">
        <f t="shared" si="0"/>
        <v>438.5333333333333</v>
      </c>
      <c r="R15" s="711">
        <f ca="1">SUM(R9:R14)</f>
        <v>320178.64565649891</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2350.6614229552351</v>
      </c>
      <c r="I18" s="704">
        <f>transport!H54</f>
        <v>0</v>
      </c>
      <c r="J18" s="704">
        <f>transport!I54</f>
        <v>0</v>
      </c>
      <c r="K18" s="704">
        <f>transport!J54</f>
        <v>0</v>
      </c>
      <c r="L18" s="704">
        <f>transport!K54</f>
        <v>0</v>
      </c>
      <c r="M18" s="704">
        <f>transport!L54</f>
        <v>0</v>
      </c>
      <c r="N18" s="704">
        <f>transport!M54</f>
        <v>104.53966300009377</v>
      </c>
      <c r="O18" s="704">
        <f>transport!N54</f>
        <v>0</v>
      </c>
      <c r="P18" s="704">
        <f>transport!O54</f>
        <v>0</v>
      </c>
      <c r="Q18" s="705">
        <f>transport!P54</f>
        <v>0</v>
      </c>
      <c r="R18" s="707">
        <f>SUM(C18:Q18)</f>
        <v>2455.2010859553288</v>
      </c>
      <c r="S18" s="67"/>
    </row>
    <row r="19" spans="1:19" s="459" customFormat="1" ht="15" thickBot="1">
      <c r="A19" s="858" t="s">
        <v>307</v>
      </c>
      <c r="B19" s="863"/>
      <c r="C19" s="713">
        <f>transport!B14</f>
        <v>11.457936460648504</v>
      </c>
      <c r="D19" s="713">
        <f>transport!C14</f>
        <v>0</v>
      </c>
      <c r="E19" s="713">
        <f>transport!D14</f>
        <v>17.449192482047856</v>
      </c>
      <c r="F19" s="713">
        <f>transport!E14</f>
        <v>648.49903020160843</v>
      </c>
      <c r="G19" s="713">
        <f>transport!F14</f>
        <v>0</v>
      </c>
      <c r="H19" s="713">
        <f>transport!G14</f>
        <v>209027.49268133187</v>
      </c>
      <c r="I19" s="713">
        <f>transport!H14</f>
        <v>27280.860623750079</v>
      </c>
      <c r="J19" s="713">
        <f>transport!I14</f>
        <v>0</v>
      </c>
      <c r="K19" s="713">
        <f>transport!J14</f>
        <v>0</v>
      </c>
      <c r="L19" s="713">
        <f>transport!K14</f>
        <v>0</v>
      </c>
      <c r="M19" s="713">
        <f>transport!L14</f>
        <v>0</v>
      </c>
      <c r="N19" s="713">
        <f>transport!M14</f>
        <v>10597.388368133532</v>
      </c>
      <c r="O19" s="713">
        <f>transport!N14</f>
        <v>0</v>
      </c>
      <c r="P19" s="713">
        <f>transport!O14</f>
        <v>0</v>
      </c>
      <c r="Q19" s="714">
        <f>transport!P14</f>
        <v>0</v>
      </c>
      <c r="R19" s="715">
        <f>SUM(C19:Q19)</f>
        <v>247583.1478323598</v>
      </c>
      <c r="S19" s="67"/>
    </row>
    <row r="20" spans="1:19" s="459" customFormat="1" ht="15.75" thickBot="1">
      <c r="A20" s="716" t="s">
        <v>230</v>
      </c>
      <c r="B20" s="866"/>
      <c r="C20" s="861">
        <f>SUM(C17:C19)</f>
        <v>11.457936460648504</v>
      </c>
      <c r="D20" s="717">
        <f t="shared" ref="D20:R20" si="1">SUM(D17:D19)</f>
        <v>0</v>
      </c>
      <c r="E20" s="717">
        <f t="shared" si="1"/>
        <v>17.449192482047856</v>
      </c>
      <c r="F20" s="717">
        <f t="shared" si="1"/>
        <v>648.49903020160843</v>
      </c>
      <c r="G20" s="717">
        <f t="shared" si="1"/>
        <v>0</v>
      </c>
      <c r="H20" s="717">
        <f t="shared" si="1"/>
        <v>211378.1541042871</v>
      </c>
      <c r="I20" s="717">
        <f t="shared" si="1"/>
        <v>27280.860623750079</v>
      </c>
      <c r="J20" s="717">
        <f t="shared" si="1"/>
        <v>0</v>
      </c>
      <c r="K20" s="717">
        <f t="shared" si="1"/>
        <v>0</v>
      </c>
      <c r="L20" s="717">
        <f t="shared" si="1"/>
        <v>0</v>
      </c>
      <c r="M20" s="717">
        <f t="shared" si="1"/>
        <v>0</v>
      </c>
      <c r="N20" s="717">
        <f t="shared" si="1"/>
        <v>10701.928031133626</v>
      </c>
      <c r="O20" s="717">
        <f t="shared" si="1"/>
        <v>0</v>
      </c>
      <c r="P20" s="717">
        <f t="shared" si="1"/>
        <v>0</v>
      </c>
      <c r="Q20" s="718">
        <f t="shared" si="1"/>
        <v>0</v>
      </c>
      <c r="R20" s="719">
        <f t="shared" si="1"/>
        <v>250038.34891831514</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512.00704986933204</v>
      </c>
      <c r="D22" s="713">
        <f>+landbouw!C8</f>
        <v>10131.428571428571</v>
      </c>
      <c r="E22" s="713">
        <f>+landbouw!D8</f>
        <v>0</v>
      </c>
      <c r="F22" s="713">
        <f>+landbouw!E8</f>
        <v>6.4519484275439023</v>
      </c>
      <c r="G22" s="713">
        <f>+landbouw!F8</f>
        <v>1766.5525874793614</v>
      </c>
      <c r="H22" s="713">
        <f>+landbouw!G8</f>
        <v>0</v>
      </c>
      <c r="I22" s="713">
        <f>+landbouw!H8</f>
        <v>0</v>
      </c>
      <c r="J22" s="713">
        <f>+landbouw!I8</f>
        <v>0</v>
      </c>
      <c r="K22" s="713">
        <f>+landbouw!J8</f>
        <v>77.000040009621785</v>
      </c>
      <c r="L22" s="713">
        <f>+landbouw!K8</f>
        <v>0</v>
      </c>
      <c r="M22" s="713">
        <f>+landbouw!L8</f>
        <v>0</v>
      </c>
      <c r="N22" s="713">
        <f>+landbouw!M8</f>
        <v>0</v>
      </c>
      <c r="O22" s="713">
        <f>+landbouw!N8</f>
        <v>0</v>
      </c>
      <c r="P22" s="713">
        <f>+landbouw!O8</f>
        <v>0</v>
      </c>
      <c r="Q22" s="714">
        <f>+landbouw!P8</f>
        <v>0</v>
      </c>
      <c r="R22" s="715">
        <f>SUM(C22:Q22)</f>
        <v>12493.44019721443</v>
      </c>
      <c r="S22" s="67"/>
    </row>
    <row r="23" spans="1:19" s="459" customFormat="1" ht="17.25" thickTop="1" thickBot="1">
      <c r="A23" s="720" t="s">
        <v>116</v>
      </c>
      <c r="B23" s="852"/>
      <c r="C23" s="721">
        <f ca="1">C20+C15+C22</f>
        <v>100810.43116567489</v>
      </c>
      <c r="D23" s="721">
        <f t="shared" ref="D23:Q23" ca="1" si="2">D20+D15+D22</f>
        <v>37118.571428571428</v>
      </c>
      <c r="E23" s="721">
        <f t="shared" ca="1" si="2"/>
        <v>130031.87261354108</v>
      </c>
      <c r="F23" s="721">
        <f t="shared" si="2"/>
        <v>4579.3768721827755</v>
      </c>
      <c r="G23" s="721">
        <f t="shared" ca="1" si="2"/>
        <v>37152.737689525879</v>
      </c>
      <c r="H23" s="721">
        <f t="shared" si="2"/>
        <v>211378.1541042871</v>
      </c>
      <c r="I23" s="721">
        <f t="shared" si="2"/>
        <v>27280.860623750079</v>
      </c>
      <c r="J23" s="721">
        <f t="shared" si="2"/>
        <v>0</v>
      </c>
      <c r="K23" s="721">
        <f t="shared" si="2"/>
        <v>89.683395577936736</v>
      </c>
      <c r="L23" s="721">
        <f t="shared" si="2"/>
        <v>0</v>
      </c>
      <c r="M23" s="721">
        <f t="shared" ca="1" si="2"/>
        <v>0</v>
      </c>
      <c r="N23" s="721">
        <f t="shared" si="2"/>
        <v>10701.928031133626</v>
      </c>
      <c r="O23" s="721">
        <f t="shared" ca="1" si="2"/>
        <v>22968.825514450335</v>
      </c>
      <c r="P23" s="721">
        <f t="shared" si="2"/>
        <v>159.46</v>
      </c>
      <c r="Q23" s="722">
        <f t="shared" si="2"/>
        <v>438.5333333333333</v>
      </c>
      <c r="R23" s="723">
        <f ca="1">R20+R15+R22</f>
        <v>582710.43477202859</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6662.2290724918912</v>
      </c>
      <c r="D36" s="704">
        <f ca="1">tertiair!C20</f>
        <v>0</v>
      </c>
      <c r="E36" s="704">
        <f ca="1">tertiair!D20</f>
        <v>7938.1400942099572</v>
      </c>
      <c r="F36" s="704">
        <f>tertiair!E20</f>
        <v>84.447030360111853</v>
      </c>
      <c r="G36" s="704">
        <f ca="1">tertiair!F20</f>
        <v>1529.0351804394916</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16213.851377501453</v>
      </c>
    </row>
    <row r="37" spans="1:18">
      <c r="A37" s="873" t="s">
        <v>225</v>
      </c>
      <c r="B37" s="880"/>
      <c r="C37" s="704">
        <f ca="1">huishoudens!B12</f>
        <v>4819.1297201828102</v>
      </c>
      <c r="D37" s="704">
        <f ca="1">huishoudens!C12</f>
        <v>0</v>
      </c>
      <c r="E37" s="704">
        <f>huishoudens!D12</f>
        <v>14266.563867922881</v>
      </c>
      <c r="F37" s="704">
        <f>huishoudens!E12</f>
        <v>315.39947546856013</v>
      </c>
      <c r="G37" s="704">
        <f>huishoudens!F12</f>
        <v>0</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19401.093063574252</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10064.642019086385</v>
      </c>
      <c r="D39" s="704">
        <f ca="1">industrie!C22</f>
        <v>6413.4151260504223</v>
      </c>
      <c r="E39" s="704">
        <f>industrie!D22</f>
        <v>4058.2095689210896</v>
      </c>
      <c r="F39" s="704">
        <f>industrie!E22</f>
        <v>490.99817200800055</v>
      </c>
      <c r="G39" s="704">
        <f>industrie!F22</f>
        <v>7919.0762418069289</v>
      </c>
      <c r="H39" s="704">
        <f>industrie!G22</f>
        <v>0</v>
      </c>
      <c r="I39" s="704">
        <f>industrie!H22</f>
        <v>0</v>
      </c>
      <c r="J39" s="704">
        <f>industrie!I22</f>
        <v>0</v>
      </c>
      <c r="K39" s="704">
        <f>industrie!J22</f>
        <v>4.4899078711834948</v>
      </c>
      <c r="L39" s="704">
        <f>industrie!K22</f>
        <v>0</v>
      </c>
      <c r="M39" s="704">
        <f>industrie!L22</f>
        <v>0</v>
      </c>
      <c r="N39" s="704">
        <f>industrie!M22</f>
        <v>0</v>
      </c>
      <c r="O39" s="704">
        <f>industrie!N22</f>
        <v>0</v>
      </c>
      <c r="P39" s="704">
        <f>industrie!O22</f>
        <v>0</v>
      </c>
      <c r="Q39" s="814">
        <f>industrie!P22</f>
        <v>0</v>
      </c>
      <c r="R39" s="906">
        <f ca="1">SUM(C39:Q39)</f>
        <v>28950.83103574401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21546.000811761085</v>
      </c>
      <c r="D41" s="749">
        <f t="shared" ref="D41:R41" ca="1" si="4">SUM(D35:D40)</f>
        <v>6413.4151260504223</v>
      </c>
      <c r="E41" s="749">
        <f t="shared" ca="1" si="4"/>
        <v>26262.913531053928</v>
      </c>
      <c r="F41" s="749">
        <f t="shared" si="4"/>
        <v>890.84467783667253</v>
      </c>
      <c r="G41" s="749">
        <f t="shared" ca="1" si="4"/>
        <v>9448.1114222464203</v>
      </c>
      <c r="H41" s="749">
        <f t="shared" si="4"/>
        <v>0</v>
      </c>
      <c r="I41" s="749">
        <f t="shared" si="4"/>
        <v>0</v>
      </c>
      <c r="J41" s="749">
        <f t="shared" si="4"/>
        <v>0</v>
      </c>
      <c r="K41" s="749">
        <f t="shared" si="4"/>
        <v>4.4899078711834948</v>
      </c>
      <c r="L41" s="749">
        <f t="shared" si="4"/>
        <v>0</v>
      </c>
      <c r="M41" s="749">
        <f t="shared" ca="1" si="4"/>
        <v>0</v>
      </c>
      <c r="N41" s="749">
        <f t="shared" si="4"/>
        <v>0</v>
      </c>
      <c r="O41" s="749">
        <f t="shared" ca="1" si="4"/>
        <v>0</v>
      </c>
      <c r="P41" s="749">
        <f t="shared" si="4"/>
        <v>0</v>
      </c>
      <c r="Q41" s="750">
        <f t="shared" si="4"/>
        <v>0</v>
      </c>
      <c r="R41" s="751">
        <f t="shared" ca="1" si="4"/>
        <v>64565.775476819719</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627.62659992904787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627.62659992904787</v>
      </c>
    </row>
    <row r="45" spans="1:18" ht="15" thickBot="1">
      <c r="A45" s="876" t="s">
        <v>307</v>
      </c>
      <c r="B45" s="886"/>
      <c r="C45" s="713">
        <f ca="1">transport!B18</f>
        <v>2.461662942727302</v>
      </c>
      <c r="D45" s="713">
        <f>transport!C18</f>
        <v>0</v>
      </c>
      <c r="E45" s="713">
        <f>transport!D18</f>
        <v>3.5247368813736673</v>
      </c>
      <c r="F45" s="713">
        <f>transport!E18</f>
        <v>147.20927985576512</v>
      </c>
      <c r="G45" s="713">
        <f>transport!F18</f>
        <v>0</v>
      </c>
      <c r="H45" s="713">
        <f>transport!G18</f>
        <v>55810.340545915613</v>
      </c>
      <c r="I45" s="713">
        <f>transport!H18</f>
        <v>6792.9342953137693</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62756.47052090925</v>
      </c>
    </row>
    <row r="46" spans="1:18" ht="15.75" thickBot="1">
      <c r="A46" s="874" t="s">
        <v>230</v>
      </c>
      <c r="B46" s="887"/>
      <c r="C46" s="749">
        <f t="shared" ref="C46:R46" ca="1" si="5">SUM(C43:C45)</f>
        <v>2.461662942727302</v>
      </c>
      <c r="D46" s="749">
        <f t="shared" ca="1" si="5"/>
        <v>0</v>
      </c>
      <c r="E46" s="749">
        <f t="shared" si="5"/>
        <v>3.5247368813736673</v>
      </c>
      <c r="F46" s="749">
        <f t="shared" si="5"/>
        <v>147.20927985576512</v>
      </c>
      <c r="G46" s="749">
        <f t="shared" si="5"/>
        <v>0</v>
      </c>
      <c r="H46" s="749">
        <f t="shared" si="5"/>
        <v>56437.967145844661</v>
      </c>
      <c r="I46" s="749">
        <f t="shared" si="5"/>
        <v>6792.9342953137693</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63384.097120838298</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110.00137637411265</v>
      </c>
      <c r="D48" s="704">
        <f ca="1">+landbouw!C12</f>
        <v>2407.7042016806727</v>
      </c>
      <c r="E48" s="704">
        <f>+landbouw!D12</f>
        <v>0</v>
      </c>
      <c r="F48" s="704">
        <f>+landbouw!E12</f>
        <v>1.464592293052466</v>
      </c>
      <c r="G48" s="704">
        <f>+landbouw!F12</f>
        <v>471.6695408569895</v>
      </c>
      <c r="H48" s="704">
        <f>+landbouw!G12</f>
        <v>0</v>
      </c>
      <c r="I48" s="704">
        <f>+landbouw!H12</f>
        <v>0</v>
      </c>
      <c r="J48" s="704">
        <f>+landbouw!I12</f>
        <v>0</v>
      </c>
      <c r="K48" s="704">
        <f>+landbouw!J12</f>
        <v>27.258014163406109</v>
      </c>
      <c r="L48" s="704">
        <f>+landbouw!K12</f>
        <v>0</v>
      </c>
      <c r="M48" s="704">
        <f>+landbouw!L12</f>
        <v>0</v>
      </c>
      <c r="N48" s="704">
        <f>+landbouw!M12</f>
        <v>0</v>
      </c>
      <c r="O48" s="704">
        <f>+landbouw!N12</f>
        <v>0</v>
      </c>
      <c r="P48" s="704">
        <f>+landbouw!O12</f>
        <v>0</v>
      </c>
      <c r="Q48" s="705">
        <f>+landbouw!P12</f>
        <v>0</v>
      </c>
      <c r="R48" s="747">
        <f ca="1">SUM(C48:Q48)</f>
        <v>3018.0977253682336</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21658.463851077922</v>
      </c>
      <c r="D53" s="759">
        <f t="shared" ref="D53:Q53" ca="1" si="6">D41+D46+D48</f>
        <v>8821.1193277310958</v>
      </c>
      <c r="E53" s="759">
        <f t="shared" ca="1" si="6"/>
        <v>26266.4382679353</v>
      </c>
      <c r="F53" s="759">
        <f t="shared" si="6"/>
        <v>1039.5185499854902</v>
      </c>
      <c r="G53" s="759">
        <f t="shared" ca="1" si="6"/>
        <v>9919.7809631034106</v>
      </c>
      <c r="H53" s="759">
        <f t="shared" si="6"/>
        <v>56437.967145844661</v>
      </c>
      <c r="I53" s="759">
        <f t="shared" si="6"/>
        <v>6792.9342953137693</v>
      </c>
      <c r="J53" s="759">
        <f t="shared" si="6"/>
        <v>0</v>
      </c>
      <c r="K53" s="759">
        <f t="shared" si="6"/>
        <v>31.747922034589603</v>
      </c>
      <c r="L53" s="759">
        <f t="shared" si="6"/>
        <v>0</v>
      </c>
      <c r="M53" s="759">
        <f t="shared" ca="1" si="6"/>
        <v>0</v>
      </c>
      <c r="N53" s="759">
        <f t="shared" si="6"/>
        <v>0</v>
      </c>
      <c r="O53" s="759">
        <f t="shared" ca="1" si="6"/>
        <v>0</v>
      </c>
      <c r="P53" s="759">
        <f>P41+P46+P48</f>
        <v>0</v>
      </c>
      <c r="Q53" s="760">
        <f t="shared" si="6"/>
        <v>0</v>
      </c>
      <c r="R53" s="761">
        <f ca="1">R41+R46+R48</f>
        <v>130967.97032302625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0.21484347999150755</v>
      </c>
      <c r="D55" s="824">
        <f t="shared" ca="1" si="7"/>
        <v>0.23764705882352952</v>
      </c>
      <c r="E55" s="824">
        <f t="shared" ca="1" si="7"/>
        <v>0.20200000000000001</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0</v>
      </c>
      <c r="C64" s="781">
        <f>'lokale energieproductie'!B4</f>
        <v>0</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4765.5292576832071</v>
      </c>
      <c r="C66" s="781">
        <f>'lokale energieproductie'!B6</f>
        <v>4765.5292576832071</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25983</v>
      </c>
      <c r="C67" s="780">
        <f>B67*IFERROR(SUM(J67:L67)/SUM(D67:M67),0)</f>
        <v>0</v>
      </c>
      <c r="D67" s="812">
        <f>'lokale energieproductie'!C7</f>
        <v>30568.235294117643</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6174.783529411764</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30748.529257683207</v>
      </c>
      <c r="C69" s="789">
        <f>SUM(C64:C68)</f>
        <v>4765.5292576832071</v>
      </c>
      <c r="D69" s="790">
        <f t="shared" ref="D69:M69" si="8">SUM(D67:D68)</f>
        <v>30568.235294117643</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6174.783529411764</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37118.571428571428</v>
      </c>
      <c r="C78" s="803">
        <f>B78*IFERROR(SUM(I78:L78)/SUM(D78:M78),0)</f>
        <v>0</v>
      </c>
      <c r="D78" s="818">
        <f>'lokale energieproductie'!C16</f>
        <v>43668.907563025212</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8821.119327731094</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37118.571428571428</v>
      </c>
      <c r="C81" s="789">
        <f>SUM(C78:C80)</f>
        <v>0</v>
      </c>
      <c r="D81" s="789">
        <f t="shared" ref="D81:P81" si="9">SUM(D78:D80)</f>
        <v>43668.907563025212</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8821.119327731094</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22430.88652433531</v>
      </c>
      <c r="C4" s="463">
        <f>huishoudens!C8</f>
        <v>0</v>
      </c>
      <c r="D4" s="463">
        <f>huishoudens!D8</f>
        <v>70626.55380159842</v>
      </c>
      <c r="E4" s="463">
        <f>huishoudens!E8</f>
        <v>1389.4250020641414</v>
      </c>
      <c r="F4" s="463">
        <f>huishoudens!F8</f>
        <v>0</v>
      </c>
      <c r="G4" s="463">
        <f>huishoudens!G8</f>
        <v>0</v>
      </c>
      <c r="H4" s="463">
        <f>huishoudens!H8</f>
        <v>0</v>
      </c>
      <c r="I4" s="463">
        <f>huishoudens!I8</f>
        <v>0</v>
      </c>
      <c r="J4" s="463">
        <f>huishoudens!J8</f>
        <v>0</v>
      </c>
      <c r="K4" s="463">
        <f>huishoudens!K8</f>
        <v>0</v>
      </c>
      <c r="L4" s="463">
        <f>huishoudens!L8</f>
        <v>0</v>
      </c>
      <c r="M4" s="463">
        <f>huishoudens!M8</f>
        <v>0</v>
      </c>
      <c r="N4" s="463">
        <f>huishoudens!N8</f>
        <v>7487.7267956594515</v>
      </c>
      <c r="O4" s="463">
        <f>huishoudens!O8</f>
        <v>157.89666666666668</v>
      </c>
      <c r="P4" s="464">
        <f>huishoudens!P8</f>
        <v>400.4</v>
      </c>
      <c r="Q4" s="465">
        <f>SUM(B4:P4)</f>
        <v>102492.88879032398</v>
      </c>
    </row>
    <row r="5" spans="1:17">
      <c r="A5" s="462" t="s">
        <v>156</v>
      </c>
      <c r="B5" s="463">
        <f ca="1">tertiair!B16</f>
        <v>30127.897018452866</v>
      </c>
      <c r="C5" s="463">
        <f ca="1">tertiair!C16</f>
        <v>0</v>
      </c>
      <c r="D5" s="463">
        <f ca="1">tertiair!D16</f>
        <v>39297.723238663151</v>
      </c>
      <c r="E5" s="463">
        <f>tertiair!E16</f>
        <v>372.01334960401698</v>
      </c>
      <c r="F5" s="463">
        <f ca="1">tertiair!F16</f>
        <v>5726.7235222452864</v>
      </c>
      <c r="G5" s="463">
        <f>tertiair!G16</f>
        <v>0</v>
      </c>
      <c r="H5" s="463">
        <f>tertiair!H16</f>
        <v>0</v>
      </c>
      <c r="I5" s="463">
        <f>tertiair!I16</f>
        <v>0</v>
      </c>
      <c r="J5" s="463">
        <f>tertiair!J16</f>
        <v>0</v>
      </c>
      <c r="K5" s="463">
        <f>tertiair!K16</f>
        <v>0</v>
      </c>
      <c r="L5" s="463">
        <f ca="1">tertiair!L16</f>
        <v>0</v>
      </c>
      <c r="M5" s="463">
        <f>tertiair!M16</f>
        <v>0</v>
      </c>
      <c r="N5" s="463">
        <f ca="1">tertiair!N16</f>
        <v>2256.0338173004275</v>
      </c>
      <c r="O5" s="463">
        <f>tertiair!O16</f>
        <v>1.5633333333333335</v>
      </c>
      <c r="P5" s="464">
        <f>tertiair!P16</f>
        <v>38.133333333333333</v>
      </c>
      <c r="Q5" s="462">
        <f t="shared" ref="Q5:Q13" ca="1" si="0">SUM(B5:P5)</f>
        <v>77820.087612932417</v>
      </c>
    </row>
    <row r="6" spans="1:17">
      <c r="A6" s="462" t="s">
        <v>194</v>
      </c>
      <c r="B6" s="463">
        <f>'openbare verlichting'!B8</f>
        <v>881.79</v>
      </c>
      <c r="C6" s="463"/>
      <c r="D6" s="463"/>
      <c r="E6" s="463"/>
      <c r="F6" s="463"/>
      <c r="G6" s="463"/>
      <c r="H6" s="463"/>
      <c r="I6" s="463"/>
      <c r="J6" s="463"/>
      <c r="K6" s="463"/>
      <c r="L6" s="463"/>
      <c r="M6" s="463"/>
      <c r="N6" s="463"/>
      <c r="O6" s="463"/>
      <c r="P6" s="464"/>
      <c r="Q6" s="462">
        <f t="shared" si="0"/>
        <v>881.79</v>
      </c>
    </row>
    <row r="7" spans="1:17">
      <c r="A7" s="462" t="s">
        <v>112</v>
      </c>
      <c r="B7" s="463">
        <f>landbouw!B8</f>
        <v>512.00704986933204</v>
      </c>
      <c r="C7" s="463">
        <f>landbouw!C8</f>
        <v>10131.428571428571</v>
      </c>
      <c r="D7" s="463">
        <f>landbouw!D8</f>
        <v>0</v>
      </c>
      <c r="E7" s="463">
        <f>landbouw!E8</f>
        <v>6.4519484275439023</v>
      </c>
      <c r="F7" s="463">
        <f>landbouw!F8</f>
        <v>1766.5525874793614</v>
      </c>
      <c r="G7" s="463">
        <f>landbouw!G8</f>
        <v>0</v>
      </c>
      <c r="H7" s="463">
        <f>landbouw!H8</f>
        <v>0</v>
      </c>
      <c r="I7" s="463">
        <f>landbouw!I8</f>
        <v>0</v>
      </c>
      <c r="J7" s="463">
        <f>landbouw!J8</f>
        <v>77.000040009621785</v>
      </c>
      <c r="K7" s="463">
        <f>landbouw!K8</f>
        <v>0</v>
      </c>
      <c r="L7" s="463">
        <f>landbouw!L8</f>
        <v>0</v>
      </c>
      <c r="M7" s="463">
        <f>landbouw!M8</f>
        <v>0</v>
      </c>
      <c r="N7" s="463">
        <f>landbouw!N8</f>
        <v>0</v>
      </c>
      <c r="O7" s="463">
        <f>landbouw!O8</f>
        <v>0</v>
      </c>
      <c r="P7" s="464">
        <f>landbouw!P8</f>
        <v>0</v>
      </c>
      <c r="Q7" s="462">
        <f t="shared" si="0"/>
        <v>12493.44019721443</v>
      </c>
    </row>
    <row r="8" spans="1:17">
      <c r="A8" s="462" t="s">
        <v>657</v>
      </c>
      <c r="B8" s="463">
        <f>industrie!B18</f>
        <v>46846.392636556731</v>
      </c>
      <c r="C8" s="463">
        <f>industrie!C18</f>
        <v>26987.142857142859</v>
      </c>
      <c r="D8" s="463">
        <f>industrie!D18</f>
        <v>20090.146380797472</v>
      </c>
      <c r="E8" s="463">
        <f>industrie!E18</f>
        <v>2162.9875418854649</v>
      </c>
      <c r="F8" s="463">
        <f>industrie!F18</f>
        <v>29659.461579801231</v>
      </c>
      <c r="G8" s="463">
        <f>industrie!G18</f>
        <v>0</v>
      </c>
      <c r="H8" s="463">
        <f>industrie!H18</f>
        <v>0</v>
      </c>
      <c r="I8" s="463">
        <f>industrie!I18</f>
        <v>0</v>
      </c>
      <c r="J8" s="463">
        <f>industrie!J18</f>
        <v>12.683355568314957</v>
      </c>
      <c r="K8" s="463">
        <f>industrie!K18</f>
        <v>0</v>
      </c>
      <c r="L8" s="463">
        <f>industrie!L18</f>
        <v>0</v>
      </c>
      <c r="M8" s="463">
        <f>industrie!M18</f>
        <v>0</v>
      </c>
      <c r="N8" s="463">
        <f>industrie!N18</f>
        <v>13225.064901490454</v>
      </c>
      <c r="O8" s="463">
        <f>industrie!O18</f>
        <v>0</v>
      </c>
      <c r="P8" s="464">
        <f>industrie!P18</f>
        <v>0</v>
      </c>
      <c r="Q8" s="462">
        <f t="shared" si="0"/>
        <v>138983.87925324251</v>
      </c>
    </row>
    <row r="9" spans="1:17" s="468" customFormat="1">
      <c r="A9" s="466" t="s">
        <v>574</v>
      </c>
      <c r="B9" s="467">
        <f>transport!B14</f>
        <v>11.457936460648504</v>
      </c>
      <c r="C9" s="467">
        <f>transport!C14</f>
        <v>0</v>
      </c>
      <c r="D9" s="467">
        <f>transport!D14</f>
        <v>17.449192482047856</v>
      </c>
      <c r="E9" s="467">
        <f>transport!E14</f>
        <v>648.49903020160843</v>
      </c>
      <c r="F9" s="467">
        <f>transport!F14</f>
        <v>0</v>
      </c>
      <c r="G9" s="467">
        <f>transport!G14</f>
        <v>209027.49268133187</v>
      </c>
      <c r="H9" s="467">
        <f>transport!H14</f>
        <v>27280.860623750079</v>
      </c>
      <c r="I9" s="467">
        <f>transport!I14</f>
        <v>0</v>
      </c>
      <c r="J9" s="467">
        <f>transport!J14</f>
        <v>0</v>
      </c>
      <c r="K9" s="467">
        <f>transport!K14</f>
        <v>0</v>
      </c>
      <c r="L9" s="467">
        <f>transport!L14</f>
        <v>0</v>
      </c>
      <c r="M9" s="467">
        <f>transport!M14</f>
        <v>10597.388368133532</v>
      </c>
      <c r="N9" s="467">
        <f>transport!N14</f>
        <v>0</v>
      </c>
      <c r="O9" s="467">
        <f>transport!O14</f>
        <v>0</v>
      </c>
      <c r="P9" s="467">
        <f>transport!P14</f>
        <v>0</v>
      </c>
      <c r="Q9" s="466">
        <f>SUM(B9:P9)</f>
        <v>247583.1478323598</v>
      </c>
    </row>
    <row r="10" spans="1:17">
      <c r="A10" s="462" t="s">
        <v>564</v>
      </c>
      <c r="B10" s="463">
        <f>transport!B54</f>
        <v>0</v>
      </c>
      <c r="C10" s="463">
        <f>transport!C54</f>
        <v>0</v>
      </c>
      <c r="D10" s="463">
        <f>transport!D54</f>
        <v>0</v>
      </c>
      <c r="E10" s="463">
        <f>transport!E54</f>
        <v>0</v>
      </c>
      <c r="F10" s="463">
        <f>transport!F54</f>
        <v>0</v>
      </c>
      <c r="G10" s="463">
        <f>transport!G54</f>
        <v>2350.6614229552351</v>
      </c>
      <c r="H10" s="463">
        <f>transport!H54</f>
        <v>0</v>
      </c>
      <c r="I10" s="463">
        <f>transport!I54</f>
        <v>0</v>
      </c>
      <c r="J10" s="463">
        <f>transport!J54</f>
        <v>0</v>
      </c>
      <c r="K10" s="463">
        <f>transport!K54</f>
        <v>0</v>
      </c>
      <c r="L10" s="463">
        <f>transport!L54</f>
        <v>0</v>
      </c>
      <c r="M10" s="463">
        <f>transport!M54</f>
        <v>104.53966300009377</v>
      </c>
      <c r="N10" s="463">
        <f>transport!N54</f>
        <v>0</v>
      </c>
      <c r="O10" s="463">
        <f>transport!O54</f>
        <v>0</v>
      </c>
      <c r="P10" s="464">
        <f>transport!P54</f>
        <v>0</v>
      </c>
      <c r="Q10" s="462">
        <f t="shared" si="0"/>
        <v>2455.2010859553288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100810.43116567489</v>
      </c>
      <c r="C14" s="473">
        <f t="shared" ref="C14:Q14" ca="1" si="1">SUM(C4:C13)</f>
        <v>37118.571428571428</v>
      </c>
      <c r="D14" s="473">
        <f t="shared" ca="1" si="1"/>
        <v>130031.87261354108</v>
      </c>
      <c r="E14" s="473">
        <f t="shared" si="1"/>
        <v>4579.3768721827755</v>
      </c>
      <c r="F14" s="473">
        <f t="shared" ca="1" si="1"/>
        <v>37152.737689525879</v>
      </c>
      <c r="G14" s="473">
        <f t="shared" si="1"/>
        <v>211378.1541042871</v>
      </c>
      <c r="H14" s="473">
        <f t="shared" si="1"/>
        <v>27280.860623750079</v>
      </c>
      <c r="I14" s="473">
        <f t="shared" si="1"/>
        <v>0</v>
      </c>
      <c r="J14" s="473">
        <f t="shared" si="1"/>
        <v>89.683395577936736</v>
      </c>
      <c r="K14" s="473">
        <f t="shared" si="1"/>
        <v>0</v>
      </c>
      <c r="L14" s="473">
        <f t="shared" ca="1" si="1"/>
        <v>0</v>
      </c>
      <c r="M14" s="473">
        <f t="shared" si="1"/>
        <v>10701.928031133626</v>
      </c>
      <c r="N14" s="473">
        <f t="shared" ca="1" si="1"/>
        <v>22968.825514450335</v>
      </c>
      <c r="O14" s="473">
        <f t="shared" si="1"/>
        <v>159.46</v>
      </c>
      <c r="P14" s="474">
        <f t="shared" si="1"/>
        <v>438.5333333333333</v>
      </c>
      <c r="Q14" s="474">
        <f t="shared" ca="1" si="1"/>
        <v>582710.43477202847</v>
      </c>
    </row>
    <row r="16" spans="1:17">
      <c r="A16" s="476" t="s">
        <v>569</v>
      </c>
      <c r="B16" s="829">
        <f ca="1">huishoudens!B10</f>
        <v>0.21484347999150757</v>
      </c>
      <c r="C16" s="829">
        <f ca="1">huishoudens!C10</f>
        <v>0.23764705882352946</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4819.1297201828102</v>
      </c>
      <c r="C21" s="463">
        <f t="shared" ref="C21:C30" ca="1" si="3">C4*$C$16</f>
        <v>0</v>
      </c>
      <c r="D21" s="463">
        <f t="shared" ref="D21:D30" si="4">D4*$D$16</f>
        <v>14266.563867922881</v>
      </c>
      <c r="E21" s="463">
        <f t="shared" ref="E21:E30" si="5">E4*$E$16</f>
        <v>315.39947546856013</v>
      </c>
      <c r="F21" s="463">
        <f t="shared" ref="F21:F30" si="6">F4*$F$16</f>
        <v>0</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19401.093063574252</v>
      </c>
    </row>
    <row r="22" spans="1:17">
      <c r="A22" s="462" t="s">
        <v>156</v>
      </c>
      <c r="B22" s="463">
        <f t="shared" ca="1" si="2"/>
        <v>6472.7822402701795</v>
      </c>
      <c r="C22" s="463">
        <f t="shared" ca="1" si="3"/>
        <v>0</v>
      </c>
      <c r="D22" s="463">
        <f t="shared" ca="1" si="4"/>
        <v>7938.1400942099572</v>
      </c>
      <c r="E22" s="463">
        <f t="shared" si="5"/>
        <v>84.447030360111853</v>
      </c>
      <c r="F22" s="463">
        <f t="shared" ca="1" si="6"/>
        <v>1529.0351804394916</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16024.40454527974</v>
      </c>
    </row>
    <row r="23" spans="1:17">
      <c r="A23" s="462" t="s">
        <v>194</v>
      </c>
      <c r="B23" s="463">
        <f t="shared" ca="1" si="2"/>
        <v>189.44683222171145</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189.44683222171145</v>
      </c>
    </row>
    <row r="24" spans="1:17">
      <c r="A24" s="462" t="s">
        <v>112</v>
      </c>
      <c r="B24" s="463">
        <f t="shared" ca="1" si="2"/>
        <v>110.00137637411265</v>
      </c>
      <c r="C24" s="463">
        <f t="shared" ca="1" si="3"/>
        <v>2407.7042016806727</v>
      </c>
      <c r="D24" s="463">
        <f t="shared" si="4"/>
        <v>0</v>
      </c>
      <c r="E24" s="463">
        <f t="shared" si="5"/>
        <v>1.464592293052466</v>
      </c>
      <c r="F24" s="463">
        <f t="shared" si="6"/>
        <v>471.6695408569895</v>
      </c>
      <c r="G24" s="463">
        <f t="shared" si="7"/>
        <v>0</v>
      </c>
      <c r="H24" s="463">
        <f t="shared" si="8"/>
        <v>0</v>
      </c>
      <c r="I24" s="463">
        <f t="shared" si="9"/>
        <v>0</v>
      </c>
      <c r="J24" s="463">
        <f t="shared" si="10"/>
        <v>27.258014163406109</v>
      </c>
      <c r="K24" s="463">
        <f t="shared" si="11"/>
        <v>0</v>
      </c>
      <c r="L24" s="463">
        <f t="shared" si="12"/>
        <v>0</v>
      </c>
      <c r="M24" s="463">
        <f t="shared" si="13"/>
        <v>0</v>
      </c>
      <c r="N24" s="463">
        <f t="shared" si="14"/>
        <v>0</v>
      </c>
      <c r="O24" s="463">
        <f t="shared" si="15"/>
        <v>0</v>
      </c>
      <c r="P24" s="464">
        <f t="shared" si="16"/>
        <v>0</v>
      </c>
      <c r="Q24" s="462">
        <f t="shared" ca="1" si="17"/>
        <v>3018.0977253682336</v>
      </c>
    </row>
    <row r="25" spans="1:17">
      <c r="A25" s="462" t="s">
        <v>657</v>
      </c>
      <c r="B25" s="463">
        <f t="shared" ca="1" si="2"/>
        <v>10064.642019086385</v>
      </c>
      <c r="C25" s="463">
        <f t="shared" ca="1" si="3"/>
        <v>6413.4151260504223</v>
      </c>
      <c r="D25" s="463">
        <f t="shared" si="4"/>
        <v>4058.2095689210896</v>
      </c>
      <c r="E25" s="463">
        <f t="shared" si="5"/>
        <v>490.99817200800055</v>
      </c>
      <c r="F25" s="463">
        <f t="shared" si="6"/>
        <v>7919.0762418069289</v>
      </c>
      <c r="G25" s="463">
        <f t="shared" si="7"/>
        <v>0</v>
      </c>
      <c r="H25" s="463">
        <f t="shared" si="8"/>
        <v>0</v>
      </c>
      <c r="I25" s="463">
        <f t="shared" si="9"/>
        <v>0</v>
      </c>
      <c r="J25" s="463">
        <f t="shared" si="10"/>
        <v>4.4899078711834948</v>
      </c>
      <c r="K25" s="463">
        <f t="shared" si="11"/>
        <v>0</v>
      </c>
      <c r="L25" s="463">
        <f t="shared" si="12"/>
        <v>0</v>
      </c>
      <c r="M25" s="463">
        <f t="shared" si="13"/>
        <v>0</v>
      </c>
      <c r="N25" s="463">
        <f t="shared" si="14"/>
        <v>0</v>
      </c>
      <c r="O25" s="463">
        <f t="shared" si="15"/>
        <v>0</v>
      </c>
      <c r="P25" s="464">
        <f t="shared" si="16"/>
        <v>0</v>
      </c>
      <c r="Q25" s="462">
        <f t="shared" ca="1" si="17"/>
        <v>28950.83103574401</v>
      </c>
    </row>
    <row r="26" spans="1:17" s="468" customFormat="1">
      <c r="A26" s="466" t="s">
        <v>574</v>
      </c>
      <c r="B26" s="823">
        <f t="shared" ca="1" si="2"/>
        <v>2.461662942727302</v>
      </c>
      <c r="C26" s="467">
        <f t="shared" ca="1" si="3"/>
        <v>0</v>
      </c>
      <c r="D26" s="467">
        <f t="shared" si="4"/>
        <v>3.5247368813736673</v>
      </c>
      <c r="E26" s="467">
        <f t="shared" si="5"/>
        <v>147.20927985576512</v>
      </c>
      <c r="F26" s="467">
        <f t="shared" si="6"/>
        <v>0</v>
      </c>
      <c r="G26" s="467">
        <f t="shared" si="7"/>
        <v>55810.340545915613</v>
      </c>
      <c r="H26" s="467">
        <f t="shared" si="8"/>
        <v>6792.9342953137693</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62756.47052090925</v>
      </c>
    </row>
    <row r="27" spans="1:17">
      <c r="A27" s="462" t="s">
        <v>564</v>
      </c>
      <c r="B27" s="463">
        <f t="shared" ca="1" si="2"/>
        <v>0</v>
      </c>
      <c r="C27" s="463">
        <f t="shared" ca="1" si="3"/>
        <v>0</v>
      </c>
      <c r="D27" s="463">
        <f t="shared" si="4"/>
        <v>0</v>
      </c>
      <c r="E27" s="463">
        <f t="shared" si="5"/>
        <v>0</v>
      </c>
      <c r="F27" s="463">
        <f t="shared" si="6"/>
        <v>0</v>
      </c>
      <c r="G27" s="463">
        <f t="shared" si="7"/>
        <v>627.62659992904787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627.62659992904787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21658.463851077926</v>
      </c>
      <c r="C31" s="473">
        <f t="shared" ca="1" si="18"/>
        <v>8821.1193277310958</v>
      </c>
      <c r="D31" s="473">
        <f t="shared" ca="1" si="18"/>
        <v>26266.4382679353</v>
      </c>
      <c r="E31" s="473">
        <f t="shared" si="18"/>
        <v>1039.5185499854902</v>
      </c>
      <c r="F31" s="473">
        <f t="shared" ca="1" si="18"/>
        <v>9919.7809631034106</v>
      </c>
      <c r="G31" s="473">
        <f t="shared" si="18"/>
        <v>56437.967145844661</v>
      </c>
      <c r="H31" s="473">
        <f t="shared" si="18"/>
        <v>6792.9342953137693</v>
      </c>
      <c r="I31" s="473">
        <f t="shared" si="18"/>
        <v>0</v>
      </c>
      <c r="J31" s="473">
        <f t="shared" si="18"/>
        <v>31.747922034589603</v>
      </c>
      <c r="K31" s="473">
        <f t="shared" si="18"/>
        <v>0</v>
      </c>
      <c r="L31" s="473">
        <f t="shared" ca="1" si="18"/>
        <v>0</v>
      </c>
      <c r="M31" s="473">
        <f t="shared" si="18"/>
        <v>0</v>
      </c>
      <c r="N31" s="473">
        <f t="shared" ca="1" si="18"/>
        <v>0</v>
      </c>
      <c r="O31" s="473">
        <f t="shared" si="18"/>
        <v>0</v>
      </c>
      <c r="P31" s="474">
        <f t="shared" si="18"/>
        <v>0</v>
      </c>
      <c r="Q31" s="474">
        <f t="shared" ca="1" si="18"/>
        <v>130967.97032302625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0.21484347999150757</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0.21484347999150757</v>
      </c>
      <c r="C17" s="513">
        <f ca="1">'EF ele_warmte'!B22</f>
        <v>0.23764705882352946</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0.21484347999150757</v>
      </c>
      <c r="C29" s="514">
        <f ca="1">'EF ele_warmte'!B22</f>
        <v>0.23764705882352946</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2018-06-27T09:28:54Z</dcterms:modified>
</cp:coreProperties>
</file>