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7" i="48" l="1"/>
  <c r="J24" s="1"/>
  <c r="J15" i="14"/>
  <c r="J12" i="17"/>
  <c r="K48" i="14"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12" i="17" l="1"/>
  <c r="F48" i="14" s="1"/>
  <c r="G14" i="22"/>
  <c r="L7" i="48"/>
  <c r="L24" s="1"/>
  <c r="E7"/>
  <c r="E2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L31" i="48" l="1"/>
  <c r="J20" i="15"/>
  <c r="K36" i="14" s="1"/>
  <c r="B22" i="6"/>
  <c r="C17" i="49" s="1"/>
  <c r="J5" i="48"/>
  <c r="J22"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56" i="22"/>
  <c r="C58" s="1"/>
  <c r="D44" i="14" s="1"/>
  <c r="D46" s="1"/>
  <c r="Q5" i="48"/>
  <c r="O13" i="14"/>
  <c r="O15" s="1"/>
  <c r="F22" i="16"/>
  <c r="G39" i="14" s="1"/>
  <c r="G41" s="1"/>
  <c r="N22" i="16"/>
  <c r="O39" i="14" s="1"/>
  <c r="O41" s="1"/>
  <c r="Q4" i="48"/>
  <c r="N22"/>
  <c r="R11" i="14"/>
  <c r="J21" i="48"/>
  <c r="R10" i="14"/>
  <c r="C20" i="16" l="1"/>
  <c r="C22" s="1"/>
  <c r="D39" i="14" s="1"/>
  <c r="F8" i="48"/>
  <c r="F14" s="1"/>
  <c r="C17" i="19"/>
  <c r="C19" s="1"/>
  <c r="D35" i="14" s="1"/>
  <c r="C29" i="20"/>
  <c r="C18" i="15"/>
  <c r="C20" s="1"/>
  <c r="D36" i="14" s="1"/>
  <c r="K41"/>
  <c r="K53" s="1"/>
  <c r="N25" i="48"/>
  <c r="N14"/>
  <c r="E25"/>
  <c r="E31" s="1"/>
  <c r="E14"/>
  <c r="N31"/>
  <c r="H55" i="14"/>
  <c r="E55"/>
  <c r="C78"/>
  <c r="C81" s="1"/>
  <c r="J14" i="48"/>
  <c r="J31"/>
  <c r="Q8"/>
  <c r="Q14" s="1"/>
  <c r="R19" i="14"/>
  <c r="R20" s="1"/>
  <c r="H14" i="48"/>
  <c r="G31"/>
  <c r="H26"/>
  <c r="H31" s="1"/>
  <c r="F55" i="14"/>
  <c r="O53"/>
  <c r="G53"/>
  <c r="G55" s="1"/>
  <c r="O69" s="1"/>
  <c r="B9" i="6" s="1"/>
  <c r="B12" s="1"/>
  <c r="M53" i="14"/>
  <c r="M55" s="1"/>
  <c r="C12" i="13"/>
  <c r="D37" i="14" s="1"/>
  <c r="C23" i="48"/>
  <c r="C24"/>
  <c r="C27"/>
  <c r="C28"/>
  <c r="C22"/>
  <c r="C25"/>
  <c r="C29"/>
  <c r="C21"/>
  <c r="C26"/>
  <c r="K55" i="14"/>
  <c r="R13"/>
  <c r="R15" s="1"/>
  <c r="F25" i="48" l="1"/>
  <c r="F31" s="1"/>
  <c r="D41" i="14"/>
  <c r="D53" s="1"/>
  <c r="D5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<sst xmlns="http://schemas.openxmlformats.org/spreadsheetml/2006/main" count="1970" uniqueCount="846">
  <si>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</si>
  <si>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</si>
  <si>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</si>
  <si>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</si>
  <si>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</si>
  <si>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</si>
  <si>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</si>
  <si>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</si>
  <si>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</si>
  <si>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</si>
  <si>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</si>
  <si>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</si>
  <si>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</si>
  <si>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</si>
  <si>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</si>
  <si>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</si>
  <si>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</si>
  <si>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</si>
  <si>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</si>
  <si>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</si>
  <si>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</si>
  <si>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</si>
  <si>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</si>
  <si>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</si>
  <si>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</si>
  <si>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</si>
  <si>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</si>
  <si>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</si>
  <si>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</si>
  <si>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</si>
  <si>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</si>
  <si>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</si>
  <si>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</si>
  <si>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</si>
  <si>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</si>
  <si>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</si>
  <si>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</si>
  <si>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</si>
  <si>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</si>
  <si>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</si>
  <si>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</si>
  <si>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</si>
  <si>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</si>
  <si>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</si>
  <si>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</si>
  <si>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</si>
  <si>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</si>
  <si>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</si>
  <si>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</si>
  <si>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</si>
  <si>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</si>
  <si>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</si>
  <si>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</si>
  <si>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</si>
  <si>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</si>
  <si>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</si>
  <si>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</si>
  <si>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</si>
  <si>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</si>
  <si>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</si>
  <si>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</si>
  <si>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</si>
  <si>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</si>
  <si>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</si>
  <si>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</si>
  <si>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</si>
  <si>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</si>
  <si>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</si>
  <si>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</si>
  <si>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</si>
  <si>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</si>
  <si>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</si>
  <si>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</si>
  <si>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</si>
  <si>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</si>
  <si>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</si>
  <si>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</si>
  <si>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</si>
  <si>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</si>
  <si>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</si>
  <si>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</si>
  <si>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</si>
  <si>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</si>
  <si>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</si>
  <si>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</si>
  <si>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</si>
  <si>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</si>
  <si>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</si>
  <si>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</si>
  <si>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</si>
  <si>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</si>
  <si>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</si>
  <si>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</si>
  <si>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</si>
  <si>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</si>
  <si>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</si>
  <si>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</si>
  <si>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</si>
  <si>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</si>
  <si>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</si>
  <si>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</si>
  <si>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</si>
  <si>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</si>
  <si>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</si>
  <si>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</si>
  <si>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</si>
  <si>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</si>
  <si>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</si>
  <si>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</si>
  <si>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</si>
  <si>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</si>
  <si>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</si>
  <si>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</si>
  <si>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</si>
  <si>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</si>
  <si>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</si>
  <si>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</si>
  <si>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</si>
  <si>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</si>
  <si>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</si>
  <si>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</si>
  <si>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</si>
  <si>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</si>
  <si>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</si>
  <si>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</si>
  <si>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</si>
  <si>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</si>
  <si>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</si>
  <si>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</si>
  <si>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</si>
  <si>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</si>
  <si>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</si>
  <si>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</si>
  <si>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</si>
  <si>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</si>
  <si>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</si>
  <si>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</si>
  <si>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</si>
  <si>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</si>
  <si>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</si>
  <si>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</si>
  <si>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</si>
  <si>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</si>
  <si>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</si>
  <si>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</si>
  <si>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</si>
  <si>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</si>
  <si>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</si>
  <si>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</si>
  <si>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</si>
  <si>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</si>
  <si>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</si>
  <si>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</si>
  <si>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</si>
  <si>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</si>
  <si>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</si>
  <si>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</si>
  <si>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</si>
  <si>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</si>
  <si>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</si>
  <si>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</si>
  <si>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</si>
  <si>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</si>
  <si>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</si>
  <si>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</si>
  <si>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</si>
  <si>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</si>
  <si>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</si>
  <si>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</si>
  <si>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</si>
  <si>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</si>
  <si>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</si>
  <si>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</si>
  <si>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</si>
  <si>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</si>
  <si>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</si>
  <si>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</si>
  <si>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</si>
  <si>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</si>
  <si>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</si>
  <si>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</si>
  <si>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</si>
  <si>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</si>
  <si>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</si>
  <si>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</si>
  <si>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</si>
  <si>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</si>
  <si>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</si>
  <si>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</si>
  <si>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</si>
  <si>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</si>
  <si>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</si>
  <si>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</si>
  <si>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</si>
  <si>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</si>
  <si>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</si>
  <si>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</si>
  <si>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</si>
  <si>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</si>
  <si>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</si>
  <si>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</si>
  <si>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</si>
  <si>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</si>
  <si>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</si>
  <si>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</si>
  <si>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</si>
  <si>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</si>
  <si>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</si>
  <si>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</si>
  <si>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</si>
  <si>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</si>
  <si>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</si>
  <si>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</si>
  <si>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</si>
  <si>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</si>
  <si>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</si>
  <si>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</si>
  <si>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</si>
  <si>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</si>
  <si>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</si>
  <si>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</si>
  <si>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</si>
  <si>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</si>
  <si>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</si>
  <si>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</si>
  <si>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</si>
  <si>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</si>
  <si>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</si>
  <si>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</si>
  <si>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</si>
  <si>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</si>
  <si>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</si>
  <si>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</si>
  <si>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</si>
  <si>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</si>
  <si>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</si>
  <si>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</si>
  <si>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</si>
  <si>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</si>
  <si>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</si>
  <si>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</si>
  <si>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</si>
  <si>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</si>
  <si>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</si>
  <si>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</si>
  <si>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</si>
  <si>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</si>
  <si>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</si>
  <si>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</si>
  <si>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</si>
  <si>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</si>
  <si>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</si>
  <si>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</si>
  <si>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</si>
  <si>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</si>
  <si>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</si>
  <si>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</si>
  <si>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</si>
  <si>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</si>
  <si>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</si>
  <si>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</si>
  <si>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</si>
  <si>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</si>
  <si>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</si>
  <si>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</si>
  <si>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</si>
  <si>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</si>
  <si>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</si>
  <si>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</si>
  <si>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</si>
  <si>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</si>
  <si>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</si>
  <si>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</si>
  <si>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</si>
  <si>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</si>
  <si>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</si>
  <si>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</si>
  <si>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</si>
  <si>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</si>
  <si>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</si>
  <si>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</si>
  <si>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</si>
  <si>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</si>
  <si>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</si>
  <si>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</si>
  <si>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</si>
  <si>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</si>
  <si>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</si>
  <si>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</si>
  <si>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</si>
  <si>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</si>
  <si>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</si>
  <si>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</si>
  <si>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</si>
  <si>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</si>
  <si>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</si>
  <si>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</si>
  <si>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</si>
  <si>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</si>
  <si>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</si>
  <si>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</si>
  <si>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</si>
  <si>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</si>
  <si>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</si>
  <si>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</si>
  <si>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</si>
  <si>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</si>
  <si>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</si>
  <si>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</si>
  <si>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</si>
  <si>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</si>
  <si>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</si>
  <si>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</si>
  <si>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</si>
  <si>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</si>
  <si>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</si>
  <si>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</si>
  <si>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</si>
  <si>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</si>
  <si>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</si>
  <si>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</si>
  <si>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</si>
  <si>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</si>
  <si>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</si>
  <si>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</si>
  <si>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</si>
  <si>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</si>
  <si>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</si>
  <si>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</si>
  <si>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</si>
  <si>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</si>
  <si>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</si>
  <si>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</si>
  <si>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</si>
  <si>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</si>
  <si>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</si>
  <si>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</si>
  <si>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</si>
  <si>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</si>
  <si>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</si>
  <si>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</si>
  <si>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</si>
  <si>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</si>
  <si>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</si>
  <si>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</si>
  <si>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</si>
  <si>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</si>
  <si>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</si>
  <si>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</si>
  <si>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</si>
  <si>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</si>
  <si>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</si>
  <si>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</si>
  <si>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</si>
  <si>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</si>
  <si>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</si>
  <si>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</si>
  <si>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</si>
  <si>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</si>
  <si>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</si>
  <si>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</si>
  <si>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</si>
  <si>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</si>
  <si>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</si>
  <si>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</si>
  <si>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</si>
  <si>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</si>
  <si>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</si>
  <si>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</si>
  <si>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</si>
  <si>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</si>
  <si>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</si>
  <si>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</si>
  <si>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</si>
  <si>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</si>
  <si>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</si>
  <si>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</si>
  <si>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</si>
  <si>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</si>
  <si>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</si>
  <si>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</si>
  <si>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</si>
  <si>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</si>
  <si>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</si>
  <si>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</si>
  <si>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</si>
  <si>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</si>
  <si>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</si>
  <si>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</si>
  <si>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</si>
  <si>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</si>
  <si>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</si>
  <si>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</si>
  <si>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</si>
  <si>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</si>
  <si>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</si>
  <si>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</si>
  <si>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</si>
  <si>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</si>
  <si>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</si>
  <si>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</si>
  <si>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</si>
  <si>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</si>
  <si>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</si>
  <si>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</si>
  <si>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</si>
  <si>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</si>
  <si>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</si>
  <si>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</si>
  <si>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</si>
  <si>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</si>
  <si>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</si>
  <si>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</si>
  <si>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</si>
  <si>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</si>
  <si>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</si>
  <si>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</si>
  <si>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</si>
  <si>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</si>
  <si>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</si>
  <si>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</si>
  <si>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</si>
  <si>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</si>
  <si>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</si>
  <si>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</si>
  <si>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</si>
  <si>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</si>
  <si>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</si>
  <si>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</si>
  <si>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</si>
  <si>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</si>
  <si>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</si>
  <si>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</si>
  <si>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</si>
  <si>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</si>
  <si>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</si>
  <si>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</si>
  <si>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</si>
  <si>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</si>
  <si>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</si>
  <si>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</si>
  <si>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</si>
  <si>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</si>
  <si>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</si>
  <si>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</si>
  <si>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</si>
  <si>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</si>
  <si>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</si>
  <si>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</si>
  <si>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</si>
  <si>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</si>
  <si>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</si>
  <si>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</si>
  <si>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</si>
  <si>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</si>
  <si>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</si>
  <si>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</si>
  <si>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</si>
  <si>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</si>
  <si>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</si>
  <si>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</si>
  <si>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</si>
  <si>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</si>
  <si>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</si>
  <si>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</si>
  <si>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</si>
  <si>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</si>
  <si>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</si>
  <si>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</si>
  <si>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</si>
  <si>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</si>
  <si>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</si>
  <si>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</si>
  <si>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</si>
  <si>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</si>
  <si>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</si>
  <si>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</si>
  <si>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</si>
  <si>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</si>
  <si>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</si>
  <si>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</si>
  <si>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</si>
  <si>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</si>
  <si>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</si>
  <si>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</si>
  <si>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</si>
  <si>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</si>
  <si>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</si>
  <si>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</si>
  <si>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</si>
  <si>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</si>
  <si>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</si>
  <si>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</si>
  <si>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</si>
  <si>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</si>
  <si>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</si>
  <si>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</si>
  <si>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</si>
  <si>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</si>
  <si>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</si>
  <si>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</si>
  <si>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</si>
  <si>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</si>
  <si>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</si>
  <si>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</si>
  <si>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</si>
  <si>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</si>
  <si>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</si>
  <si>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</si>
  <si>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</si>
  <si>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</si>
  <si>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</si>
  <si>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</si>
  <si>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</si>
  <si>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</si>
  <si>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</si>
  <si>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</si>
  <si>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</si>
  <si>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</si>
  <si>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</si>
  <si>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</si>
  <si>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</si>
  <si>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</si>
  <si>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</si>
  <si>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</si>
  <si>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</si>
  <si>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</si>
  <si>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</si>
  <si>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</si>
  <si>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</si>
  <si>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</si>
  <si>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</si>
  <si>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</si>
  <si>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</si>
  <si>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</si>
  <si>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</si>
  <si>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</si>
  <si>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</si>
  <si>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</si>
  <si>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</si>
  <si>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</si>
  <si>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</si>
  <si>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</si>
  <si>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</si>
  <si>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</si>
  <si>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</si>
  <si>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</si>
  <si>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</si>
  <si>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</si>
  <si>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</si>
  <si>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</si>
  <si>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</si>
  <si>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</si>
  <si>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</si>
  <si>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</si>
  <si>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</si>
  <si>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</si>
  <si>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</si>
  <si>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</si>
  <si>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</si>
  <si>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</si>
  <si>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</si>
  <si>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</si>
  <si>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</si>
  <si>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</si>
  <si>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</si>
  <si>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</si>
  <si>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</si>
  <si>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</si>
  <si>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</si>
  <si>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</si>
  <si>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</si>
  <si>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</si>
  <si>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</si>
  <si>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</si>
  <si>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</si>
  <si>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</si>
  <si>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</si>
  <si>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</si>
  <si>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</si>
  <si>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</si>
  <si>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</si>
  <si>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</si>
  <si>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</si>
  <si>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</si>
  <si>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</si>
  <si>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</si>
  <si>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</si>
  <si>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</si>
  <si>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</si>
  <si>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</si>
  <si>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</si>
  <si>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</si>
  <si>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</si>
  <si>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</si>
  <si>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</si>
  <si>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</si>
  <si>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</si>
  <si>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</si>
  <si>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</si>
  <si>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</si>
  <si>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</si>
  <si>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</si>
  <si>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</si>
  <si>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</si>
  <si>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</si>
  <si>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</si>
  <si>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</si>
  <si>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</si>
  <si>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</si>
  <si>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</si>
  <si>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</si>
  <si>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</si>
  <si>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</si>
  <si>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</si>
  <si>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</si>
  <si>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</si>
  <si>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</si>
  <si>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</si>
  <si>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</si>
  <si>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</si>
  <si>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</si>
  <si>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</si>
  <si>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</si>
  <si>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</si>
  <si>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</si>
  <si>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</si>
  <si>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</si>
  <si>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</si>
  <si>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</si>
  <si>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</si>
  <si>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</si>
  <si>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</si>
  <si>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</si>
  <si>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</si>
  <si>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</si>
  <si>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</si>
  <si>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</si>
  <si>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</si>
  <si>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</si>
  <si>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</si>
  <si>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</si>
  <si>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</si>
  <si>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</si>
  <si>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</si>
  <si>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</si>
  <si>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</si>
  <si>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</si>
  <si>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</si>
  <si>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</si>
  <si>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</si>
  <si>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</si>
  <si>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</si>
  <si>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</si>
  <si>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</si>
  <si>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</si>
  <si>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</si>
  <si>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</si>
  <si>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</si>
  <si>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</si>
  <si>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</si>
  <si>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</si>
  <si>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</si>
  <si>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</si>
  <si>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</si>
  <si>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</si>
  <si>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</si>
  <si>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</si>
  <si>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</si>
  <si>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</si>
  <si>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</si>
  <si>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</si>
  <si>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</si>
  <si>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</si>
  <si>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</si>
  <si>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</si>
  <si>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</si>
  <si>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</si>
  <si>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</si>
  <si>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</si>
  <si>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</si>
  <si>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</si>
  <si>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</si>
  <si>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</si>
  <si>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</si>
  <si>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</si>
  <si>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</si>
  <si>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</si>
  <si>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</si>
  <si>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</si>
  <si>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</si>
  <si>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</si>
  <si>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</si>
  <si>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</si>
  <si>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</si>
  <si>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</si>
  <si>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</si>
  <si>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</si>
  <si>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</si>
  <si>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</si>
  <si>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</si>
  <si>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</si>
  <si>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</si>
  <si>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</si>
  <si>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</si>
  <si>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</si>
  <si>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</si>
  <si>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</si>
  <si>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</si>
  <si>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</si>
  <si>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</si>
  <si>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</si>
  <si>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</si>
  <si>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</si>
  <si>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</si>
  <si>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</si>
  <si>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</si>
  <si>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</si>
  <si>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</si>
  <si>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</si>
  <si>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</si>
  <si>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</si>
  <si>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</si>
  <si>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</si>
  <si>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</si>
  <si>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</si>
  <si>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</si>
  <si>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</si>
  <si>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</si>
  <si>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</si>
  <si>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</si>
  <si>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</si>
  <si>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</si>
  <si>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</si>
  <si>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</si>
  <si>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</si>
  <si>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</si>
  <si>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</si>
  <si>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</si>
  <si>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</si>
  <si>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</si>
  <si>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</si>
  <si>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</si>
  <si>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</si>
  <si>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</si>
  <si>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</si>
  <si>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</si>
  <si>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</si>
  <si>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</si>
  <si>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</si>
  <si>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</si>
  <si>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</si>
  <si>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</si>
  <si>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</si>
  <si>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</si>
  <si>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</si>
  <si>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</si>
  <si>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</si>
  <si>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</si>
  <si>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</si>
  <si>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</si>
  <si>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</si>
  <si>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</si>
  <si>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</si>
  <si>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</si>
  <si>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</si>
  <si>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</si>
  <si>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</si>
  <si>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</si>
  <si>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</si>
  <si>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</si>
  <si>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</si>
  <si>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</si>
  <si>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</si>
  <si>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</si>
  <si>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</si>
  <si>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</si>
  <si>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</si>
  <si>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</si>
  <si>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</si>
  <si>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</si>
  <si>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</si>
  <si>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</si>
  <si>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</si>
  <si>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</si>
  <si>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</si>
  <si>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</si>
  <si>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</si>
  <si>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</si>
  <si>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</si>
  <si>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</si>
  <si>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</si>
  <si>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</si>
  <si>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</si>
  <si>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</si>
  <si>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</si>
  <si>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</si>
  <si>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</si>
  <si>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</si>
  <si>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</si>
  <si>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</si>
  <si>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</si>
  <si>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</si>
  <si>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</si>
  <si>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</si>
  <si>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</si>
  <si>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</si>
  <si>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</si>
  <si>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</si>
  <si>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</si>
  <si>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</si>
  <si>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</si>
  <si>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</si>
  <si>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</si>
  <si>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</si>
  <si>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</si>
  <si>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</si>
  <si>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</si>
  <si>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</si>
  <si>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</si>
  <si>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</si>
  <si>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</si>
  <si>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</si>
  <si>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</si>
  <si>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</si>
  <si>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</si>
  <si>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</si>
  <si>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</si>
  <si>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</si>
  <si>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</si>
  <si>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</si>
  <si>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</si>
  <si>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</si>
  <si>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11050</t>
  </si>
  <si>
    <t>WIJNEGEM</t>
  </si>
  <si>
    <t>Cultuurgrond (ha)</t>
  </si>
  <si>
    <t>Paarden&amp;pony's 200 - 600 kg</t>
  </si>
  <si>
    <t>Paarden&amp;pony's &lt; 200 kg</t>
  </si>
  <si>
    <t>op basis van VEA (maart 2018) en Inventaris Hernieuwbare Energiebronnen (juni 2018)</t>
  </si>
  <si>
    <t>VEA (juni 2018)</t>
  </si>
  <si>
    <t>OCMW Wijnegem</t>
  </si>
  <si>
    <t>Koolsveldlaan 94 , 2110 Wijnegem</t>
  </si>
  <si>
    <t>WKK-0560 OCMW Wijnegem</t>
  </si>
  <si>
    <t>interne verbrandingsmotor</t>
  </si>
  <si>
    <t>WKK interne verbrandinsgmotor (gas)</t>
  </si>
  <si>
    <t>IVEKA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</si>
</sst>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76804.972819033879</c:v>
                </c:pt>
                <c:pt idx="1">
                  <c:v>75465.438142240077</c:v>
                </c:pt>
                <c:pt idx="2">
                  <c:v>674.34</c:v>
                </c:pt>
                <c:pt idx="3">
                  <c:v>3152.0322448929401</c:v>
                </c:pt>
                <c:pt idx="4">
                  <c:v>40528.021629028459</c:v>
                </c:pt>
                <c:pt idx="5">
                  <c:v>51847.540525101816</c:v>
                </c:pt>
                <c:pt idx="6">
                  <c:v>1860.7406603130926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90784"/>
        <c:axId val="182392320"/>
      </c:barChart>
      <c:catAx>
        <c:axId val="182390784"/>
        <c:scaling>
          <c:orientation val="minMax"/>
        </c:scaling>
        <c:axPos val="b"/>
        <c:numFmt formatCode="General" sourceLinked="0"/>
        <c:tickLblPos val="nextTo"/>
        <c:crossAx val="182392320"/>
        <c:crosses val="autoZero"/>
        <c:auto val="1"/>
        <c:lblAlgn val="ctr"/>
        <c:lblOffset val="100"/>
      </c:catAx>
      <c:valAx>
        <c:axId val="182392320"/>
        <c:scaling>
          <c:orientation val="minMax"/>
        </c:scaling>
        <c:axPos val="l"/>
        <c:majorGridlines/>
        <c:numFmt formatCode="#,##0" sourceLinked="1"/>
        <c:tickLblPos val="nextTo"/>
        <c:crossAx val="1823907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76804.972819033879</c:v>
                </c:pt>
                <c:pt idx="1">
                  <c:v>75465.438142240077</c:v>
                </c:pt>
                <c:pt idx="2">
                  <c:v>674.34</c:v>
                </c:pt>
                <c:pt idx="3">
                  <c:v>3152.0322448929401</c:v>
                </c:pt>
                <c:pt idx="4">
                  <c:v>40528.021629028459</c:v>
                </c:pt>
                <c:pt idx="5">
                  <c:v>51847.540525101816</c:v>
                </c:pt>
                <c:pt idx="6">
                  <c:v>1860.7406603130926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14438.147718727432</c:v>
                </c:pt>
                <c:pt idx="1">
                  <c:v>15351.0751970606</c:v>
                </c:pt>
                <c:pt idx="2">
                  <c:v>132.36431510336152</c:v>
                </c:pt>
                <c:pt idx="3">
                  <c:v>647.36980157568701</c:v>
                </c:pt>
                <c:pt idx="4">
                  <c:v>7941.9187844877706</c:v>
                </c:pt>
                <c:pt idx="5">
                  <c:v>13114.067144198812</c:v>
                </c:pt>
                <c:pt idx="6">
                  <c:v>442.71097087133523</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91776"/>
        <c:axId val="182501760"/>
      </c:barChart>
      <c:catAx>
        <c:axId val="182491776"/>
        <c:scaling>
          <c:orientation val="minMax"/>
        </c:scaling>
        <c:axPos val="b"/>
        <c:numFmt formatCode="General" sourceLinked="0"/>
        <c:tickLblPos val="nextTo"/>
        <c:crossAx val="182501760"/>
        <c:crosses val="autoZero"/>
        <c:auto val="1"/>
        <c:lblAlgn val="ctr"/>
        <c:lblOffset val="100"/>
      </c:catAx>
      <c:valAx>
        <c:axId val="182501760"/>
        <c:scaling>
          <c:orientation val="minMax"/>
        </c:scaling>
        <c:axPos val="l"/>
        <c:majorGridlines/>
        <c:numFmt formatCode="#,##0" sourceLinked="1"/>
        <c:tickLblPos val="nextTo"/>
        <c:crossAx val="18249177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14438.147718727432</c:v>
                </c:pt>
                <c:pt idx="1">
                  <c:v>15351.0751970606</c:v>
                </c:pt>
                <c:pt idx="2">
                  <c:v>132.36431510336152</c:v>
                </c:pt>
                <c:pt idx="3">
                  <c:v>647.36980157568701</c:v>
                </c:pt>
                <c:pt idx="4">
                  <c:v>7941.9187844877706</c:v>
                </c:pt>
                <c:pt idx="5">
                  <c:v>13114.067144198812</c:v>
                </c:pt>
                <c:pt idx="6">
                  <c:v>442.71097087133523</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11050</v>
      </c>
      <c r="B6" s="398"/>
      <c r="C6" s="399"/>
    </row>
    <row r="7" spans="1:7" s="396" customFormat="1" ht="15.75" customHeight="1">
      <c r="A7" s="400" t="str">
        <f>txtMunicipality</f>
        <v>WIJNEGEM</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11050</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3799</v>
      </c>
      <c r="C9" s="338">
        <v>3910</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104</v>
      </c>
    </row>
    <row r="15" spans="1:6">
      <c r="A15" s="1212" t="s">
        <v>184</v>
      </c>
      <c r="B15" s="335">
        <v>0</v>
      </c>
    </row>
    <row r="16" spans="1:6">
      <c r="A16" s="1212" t="s">
        <v>6</v>
      </c>
      <c r="B16" s="335">
        <v>0</v>
      </c>
    </row>
    <row r="17" spans="1:6">
      <c r="A17" s="1212" t="s">
        <v>7</v>
      </c>
      <c r="B17" s="335">
        <v>7</v>
      </c>
    </row>
    <row r="18" spans="1:6">
      <c r="A18" s="1212" t="s">
        <v>8</v>
      </c>
      <c r="B18" s="335">
        <v>8</v>
      </c>
    </row>
    <row r="19" spans="1:6">
      <c r="A19" s="1212" t="s">
        <v>9</v>
      </c>
      <c r="B19" s="335">
        <v>5</v>
      </c>
    </row>
    <row r="20" spans="1:6">
      <c r="A20" s="1212" t="s">
        <v>10</v>
      </c>
      <c r="B20" s="335">
        <v>8</v>
      </c>
    </row>
    <row r="21" spans="1:6">
      <c r="A21" s="1212" t="s">
        <v>11</v>
      </c>
      <c r="B21" s="335">
        <v>0</v>
      </c>
    </row>
    <row r="22" spans="1:6">
      <c r="A22" s="1212" t="s">
        <v>12</v>
      </c>
      <c r="B22" s="335">
        <v>0</v>
      </c>
    </row>
    <row r="23" spans="1:6">
      <c r="A23" s="1212" t="s">
        <v>13</v>
      </c>
      <c r="B23" s="335">
        <v>0</v>
      </c>
    </row>
    <row r="24" spans="1:6">
      <c r="A24" s="1212" t="s">
        <v>14</v>
      </c>
      <c r="B24" s="335">
        <v>0</v>
      </c>
    </row>
    <row r="25" spans="1:6">
      <c r="A25" s="1212" t="s">
        <v>15</v>
      </c>
      <c r="B25" s="335">
        <v>0</v>
      </c>
    </row>
    <row r="26" spans="1:6">
      <c r="A26" s="1212" t="s">
        <v>16</v>
      </c>
      <c r="B26" s="335">
        <v>0</v>
      </c>
    </row>
    <row r="27" spans="1:6">
      <c r="A27" s="1212" t="s">
        <v>17</v>
      </c>
      <c r="B27" s="335">
        <v>0</v>
      </c>
    </row>
    <row r="28" spans="1:6" s="341" customFormat="1">
      <c r="A28" s="1213" t="s">
        <v>18</v>
      </c>
      <c r="B28" s="1213">
        <v>0</v>
      </c>
    </row>
    <row r="29" spans="1:6">
      <c r="A29" s="1213" t="s">
        <v>836</v>
      </c>
      <c r="B29" s="1213">
        <v>8</v>
      </c>
      <c r="C29" s="341"/>
      <c r="D29" s="341"/>
      <c r="E29" s="341"/>
      <c r="F29" s="341"/>
    </row>
    <row r="30" spans="1:6">
      <c r="A30" s="1208" t="s">
        <v>837</v>
      </c>
      <c r="B30" s="1208">
        <v>17</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0</v>
      </c>
      <c r="D38" s="335">
        <v>0</v>
      </c>
      <c r="E38" s="335">
        <v>1</v>
      </c>
      <c r="F38" s="335">
        <v>2167</v>
      </c>
    </row>
    <row r="39" spans="1:6">
      <c r="A39" s="1212" t="s">
        <v>30</v>
      </c>
      <c r="B39" s="1212" t="s">
        <v>31</v>
      </c>
      <c r="C39" s="335">
        <v>3295</v>
      </c>
      <c r="D39" s="335">
        <v>61604940.398033597</v>
      </c>
      <c r="E39" s="335">
        <v>3842</v>
      </c>
      <c r="F39" s="335">
        <v>14920331.8275552</v>
      </c>
    </row>
    <row r="40" spans="1:6">
      <c r="A40" s="1212" t="s">
        <v>30</v>
      </c>
      <c r="B40" s="1212" t="s">
        <v>29</v>
      </c>
      <c r="C40" s="335">
        <v>0</v>
      </c>
      <c r="D40" s="335">
        <v>0</v>
      </c>
      <c r="E40" s="335">
        <v>0</v>
      </c>
      <c r="F40" s="335">
        <v>0</v>
      </c>
    </row>
    <row r="41" spans="1:6">
      <c r="A41" s="1212" t="s">
        <v>32</v>
      </c>
      <c r="B41" s="1212" t="s">
        <v>33</v>
      </c>
      <c r="C41" s="335">
        <v>43</v>
      </c>
      <c r="D41" s="335">
        <v>2508898.14152152</v>
      </c>
      <c r="E41" s="335">
        <v>73</v>
      </c>
      <c r="F41" s="335">
        <v>3497848.9364511599</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3</v>
      </c>
      <c r="D44" s="335">
        <v>388750.74627234798</v>
      </c>
      <c r="E44" s="335">
        <v>8</v>
      </c>
      <c r="F44" s="335">
        <v>1587679.9342200099</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3</v>
      </c>
      <c r="F47" s="335">
        <v>267645.74352444999</v>
      </c>
    </row>
    <row r="48" spans="1:6">
      <c r="A48" s="1212" t="s">
        <v>32</v>
      </c>
      <c r="B48" s="1212" t="s">
        <v>29</v>
      </c>
      <c r="C48" s="335">
        <v>18</v>
      </c>
      <c r="D48" s="335">
        <v>23424416.089330599</v>
      </c>
      <c r="E48" s="335">
        <v>26</v>
      </c>
      <c r="F48" s="335">
        <v>2817704.67363944</v>
      </c>
    </row>
    <row r="49" spans="1:6">
      <c r="A49" s="1212" t="s">
        <v>32</v>
      </c>
      <c r="B49" s="1212" t="s">
        <v>40</v>
      </c>
      <c r="C49" s="335">
        <v>0</v>
      </c>
      <c r="D49" s="335">
        <v>0</v>
      </c>
      <c r="E49" s="335">
        <v>0</v>
      </c>
      <c r="F49" s="335">
        <v>0</v>
      </c>
    </row>
    <row r="50" spans="1:6">
      <c r="A50" s="1212" t="s">
        <v>32</v>
      </c>
      <c r="B50" s="1212" t="s">
        <v>41</v>
      </c>
      <c r="C50" s="335">
        <v>6</v>
      </c>
      <c r="D50" s="335">
        <v>374788.68850364402</v>
      </c>
      <c r="E50" s="335">
        <v>5</v>
      </c>
      <c r="F50" s="335">
        <v>483989.93729805999</v>
      </c>
    </row>
    <row r="51" spans="1:6">
      <c r="A51" s="1212" t="s">
        <v>42</v>
      </c>
      <c r="B51" s="1212" t="s">
        <v>43</v>
      </c>
      <c r="C51" s="335">
        <v>0</v>
      </c>
      <c r="D51" s="335">
        <v>0</v>
      </c>
      <c r="E51" s="335">
        <v>0</v>
      </c>
      <c r="F51" s="335">
        <v>0</v>
      </c>
    </row>
    <row r="52" spans="1:6">
      <c r="A52" s="1212" t="s">
        <v>42</v>
      </c>
      <c r="B52" s="1212" t="s">
        <v>29</v>
      </c>
      <c r="C52" s="335">
        <v>5</v>
      </c>
      <c r="D52" s="335">
        <v>565720.97399824602</v>
      </c>
      <c r="E52" s="335">
        <v>6</v>
      </c>
      <c r="F52" s="335">
        <v>44096.281685113798</v>
      </c>
    </row>
    <row r="53" spans="1:6">
      <c r="A53" s="1212" t="s">
        <v>44</v>
      </c>
      <c r="B53" s="1212" t="s">
        <v>45</v>
      </c>
      <c r="C53" s="335">
        <v>155</v>
      </c>
      <c r="D53" s="335">
        <v>2703242.9895961601</v>
      </c>
      <c r="E53" s="335">
        <v>233</v>
      </c>
      <c r="F53" s="335">
        <v>1168793.31681218</v>
      </c>
    </row>
    <row r="54" spans="1:6">
      <c r="A54" s="1212" t="s">
        <v>46</v>
      </c>
      <c r="B54" s="1212" t="s">
        <v>47</v>
      </c>
      <c r="C54" s="335">
        <v>0</v>
      </c>
      <c r="D54" s="335">
        <v>0</v>
      </c>
      <c r="E54" s="335">
        <v>1</v>
      </c>
      <c r="F54" s="335">
        <v>674340</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24</v>
      </c>
      <c r="D57" s="335">
        <v>3718811.9213678902</v>
      </c>
      <c r="E57" s="335">
        <v>29</v>
      </c>
      <c r="F57" s="335">
        <v>288635.44238526601</v>
      </c>
    </row>
    <row r="58" spans="1:6">
      <c r="A58" s="1212" t="s">
        <v>49</v>
      </c>
      <c r="B58" s="1212" t="s">
        <v>51</v>
      </c>
      <c r="C58" s="335">
        <v>18</v>
      </c>
      <c r="D58" s="335">
        <v>1943093.03672899</v>
      </c>
      <c r="E58" s="335">
        <v>21</v>
      </c>
      <c r="F58" s="335">
        <v>421363.77335529501</v>
      </c>
    </row>
    <row r="59" spans="1:6">
      <c r="A59" s="1212" t="s">
        <v>49</v>
      </c>
      <c r="B59" s="1212" t="s">
        <v>52</v>
      </c>
      <c r="C59" s="335">
        <v>69</v>
      </c>
      <c r="D59" s="335">
        <v>5758138.0569917401</v>
      </c>
      <c r="E59" s="335">
        <v>348</v>
      </c>
      <c r="F59" s="335">
        <v>16419207.0363132</v>
      </c>
    </row>
    <row r="60" spans="1:6">
      <c r="A60" s="1212" t="s">
        <v>49</v>
      </c>
      <c r="B60" s="1212" t="s">
        <v>53</v>
      </c>
      <c r="C60" s="335">
        <v>43</v>
      </c>
      <c r="D60" s="335">
        <v>3770494.2301400299</v>
      </c>
      <c r="E60" s="335">
        <v>74</v>
      </c>
      <c r="F60" s="335">
        <v>4712402.6400622502</v>
      </c>
    </row>
    <row r="61" spans="1:6">
      <c r="A61" s="1212" t="s">
        <v>49</v>
      </c>
      <c r="B61" s="1212" t="s">
        <v>54</v>
      </c>
      <c r="C61" s="335">
        <v>87</v>
      </c>
      <c r="D61" s="335">
        <v>5253957.2287672097</v>
      </c>
      <c r="E61" s="335">
        <v>216</v>
      </c>
      <c r="F61" s="335">
        <v>10874421.8385003</v>
      </c>
    </row>
    <row r="62" spans="1:6">
      <c r="A62" s="1212" t="s">
        <v>49</v>
      </c>
      <c r="B62" s="1212" t="s">
        <v>55</v>
      </c>
      <c r="C62" s="335">
        <v>5</v>
      </c>
      <c r="D62" s="335">
        <v>927109.60899298301</v>
      </c>
      <c r="E62" s="335">
        <v>6</v>
      </c>
      <c r="F62" s="335">
        <v>62677.625067005902</v>
      </c>
    </row>
    <row r="63" spans="1:6">
      <c r="A63" s="1212" t="s">
        <v>49</v>
      </c>
      <c r="B63" s="1212" t="s">
        <v>29</v>
      </c>
      <c r="C63" s="335">
        <v>96</v>
      </c>
      <c r="D63" s="335">
        <v>7922556.8497133199</v>
      </c>
      <c r="E63" s="335">
        <v>115</v>
      </c>
      <c r="F63" s="335">
        <v>7327367.0509385401</v>
      </c>
    </row>
    <row r="64" spans="1:6">
      <c r="A64" s="1212" t="s">
        <v>56</v>
      </c>
      <c r="B64" s="1212" t="s">
        <v>57</v>
      </c>
      <c r="C64" s="335">
        <v>0</v>
      </c>
      <c r="D64" s="335">
        <v>0</v>
      </c>
      <c r="E64" s="335">
        <v>0</v>
      </c>
      <c r="F64" s="335">
        <v>0</v>
      </c>
    </row>
    <row r="65" spans="1:6">
      <c r="A65" s="1212" t="s">
        <v>56</v>
      </c>
      <c r="B65" s="1212" t="s">
        <v>29</v>
      </c>
      <c r="C65" s="335">
        <v>3</v>
      </c>
      <c r="D65" s="335">
        <v>77794.454095431502</v>
      </c>
      <c r="E65" s="335">
        <v>4</v>
      </c>
      <c r="F65" s="335">
        <v>15108.330823897</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6</v>
      </c>
      <c r="F68" s="335">
        <v>248598.05439433001</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55149861</v>
      </c>
      <c r="E73" s="335">
        <v>56556309.078826807</v>
      </c>
    </row>
    <row r="74" spans="1:6">
      <c r="A74" s="1212" t="s">
        <v>64</v>
      </c>
      <c r="B74" s="1212" t="s">
        <v>727</v>
      </c>
      <c r="C74" s="1212" t="s">
        <v>728</v>
      </c>
      <c r="D74" s="335">
        <v>5655321.8391767517</v>
      </c>
      <c r="E74" s="335">
        <v>5888659.0561196161</v>
      </c>
    </row>
    <row r="75" spans="1:6">
      <c r="A75" s="1212" t="s">
        <v>65</v>
      </c>
      <c r="B75" s="1212" t="s">
        <v>725</v>
      </c>
      <c r="C75" s="1212" t="s">
        <v>729</v>
      </c>
      <c r="D75" s="335">
        <v>4056238</v>
      </c>
      <c r="E75" s="335">
        <v>4584694.6259161448</v>
      </c>
    </row>
    <row r="76" spans="1:6">
      <c r="A76" s="1212" t="s">
        <v>65</v>
      </c>
      <c r="B76" s="1212" t="s">
        <v>727</v>
      </c>
      <c r="C76" s="1212" t="s">
        <v>730</v>
      </c>
      <c r="D76" s="335">
        <v>161518.83917675214</v>
      </c>
      <c r="E76" s="335">
        <v>227866.58232415802</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344886.32164649572</v>
      </c>
      <c r="C83" s="335">
        <v>340725.23260386923</v>
      </c>
    </row>
    <row r="84" spans="1:6">
      <c r="A84" s="1208" t="s">
        <v>337</v>
      </c>
      <c r="B84" s="338">
        <v>157527.11880893982</v>
      </c>
      <c r="C84" s="338">
        <v>162208.82478884156</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638.98654708520189</v>
      </c>
    </row>
    <row r="90" spans="1:6">
      <c r="A90" s="1212" t="s">
        <v>562</v>
      </c>
      <c r="B90" s="1225">
        <v>0</v>
      </c>
    </row>
    <row r="91" spans="1:6">
      <c r="A91" s="1212" t="s">
        <v>68</v>
      </c>
      <c r="B91" s="335">
        <v>989.41836524579548</v>
      </c>
    </row>
    <row r="92" spans="1:6">
      <c r="A92" s="1208" t="s">
        <v>69</v>
      </c>
      <c r="B92" s="338">
        <v>5761.1910408549829</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2433</v>
      </c>
    </row>
    <row r="98" spans="1:6">
      <c r="A98" s="1212" t="s">
        <v>72</v>
      </c>
      <c r="B98" s="335">
        <v>7</v>
      </c>
    </row>
    <row r="99" spans="1:6">
      <c r="A99" s="1212" t="s">
        <v>73</v>
      </c>
      <c r="B99" s="335">
        <v>11</v>
      </c>
    </row>
    <row r="100" spans="1:6">
      <c r="A100" s="1212" t="s">
        <v>74</v>
      </c>
      <c r="B100" s="335">
        <v>240</v>
      </c>
    </row>
    <row r="101" spans="1:6">
      <c r="A101" s="1212" t="s">
        <v>75</v>
      </c>
      <c r="B101" s="335">
        <v>35</v>
      </c>
    </row>
    <row r="102" spans="1:6">
      <c r="A102" s="1212" t="s">
        <v>76</v>
      </c>
      <c r="B102" s="335">
        <v>54</v>
      </c>
    </row>
    <row r="103" spans="1:6">
      <c r="A103" s="1212" t="s">
        <v>77</v>
      </c>
      <c r="B103" s="335">
        <v>51</v>
      </c>
    </row>
    <row r="104" spans="1:6">
      <c r="A104" s="1212" t="s">
        <v>78</v>
      </c>
      <c r="B104" s="335">
        <v>534</v>
      </c>
    </row>
    <row r="105" spans="1:6">
      <c r="A105" s="1208" t="s">
        <v>79</v>
      </c>
      <c r="B105" s="1208">
        <v>1</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2</v>
      </c>
      <c r="C123" s="335">
        <v>2</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32</v>
      </c>
    </row>
    <row r="130" spans="1:6">
      <c r="A130" s="1212" t="s">
        <v>295</v>
      </c>
      <c r="B130" s="335">
        <v>0</v>
      </c>
    </row>
    <row r="131" spans="1:6">
      <c r="A131" s="1212" t="s">
        <v>296</v>
      </c>
      <c r="B131" s="335">
        <v>0</v>
      </c>
    </row>
    <row r="132" spans="1:6">
      <c r="A132" s="1208" t="s">
        <v>297</v>
      </c>
      <c r="B132" s="338">
        <v>4</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66028.647086674886</v>
      </c>
      <c r="C3" s="43" t="s">
        <v>170</v>
      </c>
      <c r="D3" s="43"/>
      <c r="E3" s="156"/>
      <c r="F3" s="43"/>
      <c r="G3" s="43"/>
      <c r="H3" s="43"/>
      <c r="I3" s="43"/>
      <c r="J3" s="43"/>
      <c r="K3" s="96"/>
    </row>
    <row r="4" spans="1:11">
      <c r="A4" s="366" t="s">
        <v>171</v>
      </c>
      <c r="B4" s="49">
        <f>IF(ISERROR('SEAP template'!B69),0,'SEAP template'!B69)</f>
        <v>7470.5959531859808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19.249411764705883</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0.19628720690358203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27.499159663865555</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115.71428571428572</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0.23764705882352946</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674.34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674.34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0.19628720690358203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132.36431510336152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14920.331827555199</v>
      </c>
      <c r="C5" s="17">
        <f>IF(ISERROR('Eigen informatie GS &amp; warmtenet'!B57),0,'Eigen informatie GS &amp; warmtenet'!B57)</f>
        <v>0</v>
      </c>
      <c r="D5" s="30">
        <f>(SUM(HH_hh_gas_kWh,HH_rest_gas_kWh)/1000)*0.902</f>
        <v>55567.656239026306</v>
      </c>
      <c r="E5" s="17">
        <f>B46*B57</f>
        <v>399.12216108143326</v>
      </c>
      <c r="F5" s="17">
        <f>B51*B62</f>
        <v>0</v>
      </c>
      <c r="G5" s="18"/>
      <c r="H5" s="17"/>
      <c r="I5" s="17"/>
      <c r="J5" s="17">
        <f>B50*B61+C50*C61</f>
        <v>0</v>
      </c>
      <c r="K5" s="17"/>
      <c r="L5" s="17"/>
      <c r="M5" s="17"/>
      <c r="N5" s="17">
        <f>B48*B59+C48*C59</f>
        <v>4760.8908927918073</v>
      </c>
      <c r="O5" s="17">
        <f>B69*B70*B71</f>
        <v>53.153333333333336</v>
      </c>
      <c r="P5" s="17">
        <f>B77*B78*B79/1000-B77*B78*B79/1000/B80</f>
        <v>114.4</v>
      </c>
    </row>
    <row r="6" spans="1:16">
      <c r="A6" s="16" t="s">
        <v>634</v>
      </c>
      <c r="B6" s="831">
        <f>kWh_PV_kleiner_dan_10kW</f>
        <v>989.41836524579548</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15909.750192800995</v>
      </c>
      <c r="C8" s="21">
        <f>C5</f>
        <v>0</v>
      </c>
      <c r="D8" s="21">
        <f>D5</f>
        <v>55567.656239026306</v>
      </c>
      <c r="E8" s="21">
        <f>E5</f>
        <v>399.12216108143326</v>
      </c>
      <c r="F8" s="21">
        <f>F5</f>
        <v>0</v>
      </c>
      <c r="G8" s="21"/>
      <c r="H8" s="21"/>
      <c r="I8" s="21"/>
      <c r="J8" s="21">
        <f>J5</f>
        <v>0</v>
      </c>
      <c r="K8" s="21"/>
      <c r="L8" s="21">
        <f>L5</f>
        <v>0</v>
      </c>
      <c r="M8" s="21">
        <f>M5</f>
        <v>0</v>
      </c>
      <c r="N8" s="21">
        <f>N5</f>
        <v>4760.8908927918073</v>
      </c>
      <c r="O8" s="21">
        <f>O5</f>
        <v>53.153333333333336</v>
      </c>
      <c r="P8" s="21">
        <f>P5</f>
        <v>114.4</v>
      </c>
    </row>
    <row r="9" spans="1:16">
      <c r="B9" s="19"/>
      <c r="C9" s="19"/>
      <c r="D9" s="261"/>
      <c r="E9" s="19"/>
      <c r="F9" s="19"/>
      <c r="G9" s="19"/>
      <c r="H9" s="19"/>
      <c r="I9" s="19"/>
      <c r="J9" s="19"/>
      <c r="K9" s="19"/>
      <c r="L9" s="19"/>
      <c r="M9" s="19"/>
      <c r="N9" s="19"/>
      <c r="O9" s="19"/>
      <c r="P9" s="19"/>
    </row>
    <row r="10" spans="1:16">
      <c r="A10" s="24" t="s">
        <v>214</v>
      </c>
      <c r="B10" s="25">
        <f ca="1">'EF ele_warmte'!B12</f>
        <v>0.19628720690358203</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3122.8804278786329</v>
      </c>
      <c r="C12" s="23">
        <f ca="1">C10*C8</f>
        <v>0</v>
      </c>
      <c r="D12" s="23">
        <f>D8*D10</f>
        <v>11224.666560283315</v>
      </c>
      <c r="E12" s="23">
        <f>E10*E8</f>
        <v>90.60073056548535</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2433</v>
      </c>
      <c r="C18" s="168" t="s">
        <v>111</v>
      </c>
      <c r="D18" s="230"/>
      <c r="E18" s="15"/>
    </row>
    <row r="19" spans="1:7">
      <c r="A19" s="173" t="s">
        <v>72</v>
      </c>
      <c r="B19" s="37">
        <f>aantalw2001_ander</f>
        <v>7</v>
      </c>
      <c r="C19" s="168" t="s">
        <v>111</v>
      </c>
      <c r="D19" s="231"/>
      <c r="E19" s="15"/>
    </row>
    <row r="20" spans="1:7">
      <c r="A20" s="173" t="s">
        <v>73</v>
      </c>
      <c r="B20" s="37">
        <f>aantalw2001_propaan</f>
        <v>11</v>
      </c>
      <c r="C20" s="169">
        <f>IF(ISERROR(B20/SUM($B$20,$B$21,$B$22)*100),0,B20/SUM($B$20,$B$21,$B$22)*100)</f>
        <v>3.8461538461538463</v>
      </c>
      <c r="D20" s="231"/>
      <c r="E20" s="15"/>
    </row>
    <row r="21" spans="1:7">
      <c r="A21" s="173" t="s">
        <v>74</v>
      </c>
      <c r="B21" s="37">
        <f>aantalw2001_elektriciteit</f>
        <v>240</v>
      </c>
      <c r="C21" s="169">
        <f>IF(ISERROR(B21/SUM($B$20,$B$21,$B$22)*100),0,B21/SUM($B$20,$B$21,$B$22)*100)</f>
        <v>83.91608391608392</v>
      </c>
      <c r="D21" s="231"/>
      <c r="E21" s="15"/>
    </row>
    <row r="22" spans="1:7">
      <c r="A22" s="173" t="s">
        <v>75</v>
      </c>
      <c r="B22" s="37">
        <f>aantalw2001_hout</f>
        <v>35</v>
      </c>
      <c r="C22" s="169">
        <f>IF(ISERROR(B22/SUM($B$20,$B$21,$B$22)*100),0,B22/SUM($B$20,$B$21,$B$22)*100)</f>
        <v>12.237762237762238</v>
      </c>
      <c r="D22" s="231"/>
      <c r="E22" s="15"/>
    </row>
    <row r="23" spans="1:7">
      <c r="A23" s="173" t="s">
        <v>76</v>
      </c>
      <c r="B23" s="37">
        <f>aantalw2001_niet_gespec</f>
        <v>54</v>
      </c>
      <c r="C23" s="168" t="s">
        <v>111</v>
      </c>
      <c r="D23" s="230"/>
      <c r="E23" s="15"/>
    </row>
    <row r="24" spans="1:7">
      <c r="A24" s="173" t="s">
        <v>77</v>
      </c>
      <c r="B24" s="37">
        <f>aantalw2001_steenkool</f>
        <v>51</v>
      </c>
      <c r="C24" s="168" t="s">
        <v>111</v>
      </c>
      <c r="D24" s="231"/>
      <c r="E24" s="15"/>
    </row>
    <row r="25" spans="1:7">
      <c r="A25" s="173" t="s">
        <v>78</v>
      </c>
      <c r="B25" s="37">
        <f>aantalw2001_stookolie</f>
        <v>534</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3799</v>
      </c>
      <c r="C28" s="36"/>
      <c r="D28" s="230"/>
    </row>
    <row r="29" spans="1:7" s="15" customFormat="1">
      <c r="A29" s="232" t="s">
        <v>746</v>
      </c>
      <c r="B29" s="37">
        <f>SUM(HH_hh_gas_aantal,HH_rest_gas_aantal)</f>
        <v>3295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3295</v>
      </c>
      <c r="C32" s="169">
        <f>IF(ISERROR(B32/SUM($B$32,$B$34,$B$35,$B$36,$B$38,$B$39)*100),0,B32/SUM($B$32,$B$34,$B$35,$B$36,$B$38,$B$39)*100)</f>
        <v>86.870551015027687</v>
      </c>
      <c r="D32" s="235"/>
      <c r="G32" s="15"/>
    </row>
    <row r="33" spans="1:7">
      <c r="A33" s="173" t="s">
        <v>72</v>
      </c>
      <c r="B33" s="34" t="s">
        <v>111</v>
      </c>
      <c r="C33" s="169"/>
      <c r="D33" s="235"/>
      <c r="G33" s="15"/>
    </row>
    <row r="34" spans="1:7">
      <c r="A34" s="173" t="s">
        <v>73</v>
      </c>
      <c r="B34" s="33">
        <f>IF((($B$28-$B$32-$B$39-$B$77-$B$38)*C20/100)&lt;0,0,($B$28-$B$32-$B$39-$B$77-$B$38)*C20/100)</f>
        <v>19.153846153846153</v>
      </c>
      <c r="C34" s="169">
        <f>IF(ISERROR(B34/SUM($B$32,$B$34,$B$35,$B$36,$B$38,$B$39)*100),0,B34/SUM($B$32,$B$34,$B$35,$B$36,$B$38,$B$39)*100)</f>
        <v>0.50497880711431986</v>
      </c>
      <c r="D34" s="235"/>
      <c r="G34" s="15"/>
    </row>
    <row r="35" spans="1:7">
      <c r="A35" s="173" t="s">
        <v>74</v>
      </c>
      <c r="B35" s="33">
        <f>IF((($B$28-$B$32-$B$39-$B$77-$B$38)*C21/100)&lt;0,0,($B$28-$B$32-$B$39-$B$77-$B$38)*C21/100)</f>
        <v>417.90209790209798</v>
      </c>
      <c r="C35" s="169">
        <f>IF(ISERROR(B35/SUM($B$32,$B$34,$B$35,$B$36,$B$38,$B$39)*100),0,B35/SUM($B$32,$B$34,$B$35,$B$36,$B$38,$B$39)*100)</f>
        <v>11.0177194279488</v>
      </c>
      <c r="D35" s="235"/>
      <c r="G35" s="15"/>
    </row>
    <row r="36" spans="1:7">
      <c r="A36" s="173" t="s">
        <v>75</v>
      </c>
      <c r="B36" s="33">
        <f>IF((($B$28-$B$32-$B$39-$B$77-$B$38)*C22/100)&lt;0,0,($B$28-$B$32-$B$39-$B$77-$B$38)*C22/100)</f>
        <v>60.944055944055947</v>
      </c>
      <c r="C36" s="169">
        <f>IF(ISERROR(B36/SUM($B$32,$B$34,$B$35,$B$36,$B$38,$B$39)*100),0,B36/SUM($B$32,$B$34,$B$35,$B$36,$B$38,$B$39)*100)</f>
        <v>1.6067507499092</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3295</v>
      </c>
      <c r="C44" s="34" t="s">
        <v>111</v>
      </c>
      <c r="D44" s="176"/>
    </row>
    <row r="45" spans="1:7">
      <c r="A45" s="173" t="s">
        <v>72</v>
      </c>
      <c r="B45" s="33" t="str">
        <f t="shared" si="0"/>
        <v>-</v>
      </c>
      <c r="C45" s="34" t="s">
        <v>111</v>
      </c>
      <c r="D45" s="176"/>
    </row>
    <row r="46" spans="1:7">
      <c r="A46" s="173" t="s">
        <v>73</v>
      </c>
      <c r="B46" s="33">
        <f t="shared" si="0"/>
        <v>19.153846153846153</v>
      </c>
      <c r="C46" s="34" t="s">
        <v>111</v>
      </c>
      <c r="D46" s="176"/>
    </row>
    <row r="47" spans="1:7">
      <c r="A47" s="173" t="s">
        <v>74</v>
      </c>
      <c r="B47" s="33">
        <f t="shared" si="0"/>
        <v>417.90209790209798</v>
      </c>
      <c r="C47" s="34" t="s">
        <v>111</v>
      </c>
      <c r="D47" s="176"/>
    </row>
    <row r="48" spans="1:7">
      <c r="A48" s="173" t="s">
        <v>75</v>
      </c>
      <c r="B48" s="33">
        <f t="shared" si="0"/>
        <v>60.944055944055947</v>
      </c>
      <c r="C48" s="33">
        <f>B48*10</f>
        <v>609.44055944055947</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34</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6</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40106.075406621858</v>
      </c>
      <c r="C5" s="17">
        <f>IF(ISERROR('Eigen informatie GS &amp; warmtenet'!B58),0,'Eigen informatie GS &amp; warmtenet'!B58)</f>
        <v>0</v>
      </c>
      <c r="D5" s="30">
        <f>SUM(D6:D12)</f>
        <v>26423.333161297352</v>
      </c>
      <c r="E5" s="17">
        <f>SUM(E6:E12)</f>
        <v>635.06978743647096</v>
      </c>
      <c r="F5" s="17">
        <f>SUM(F6:F12)</f>
        <v>7492.290948710579</v>
      </c>
      <c r="G5" s="18"/>
      <c r="H5" s="17"/>
      <c r="I5" s="17"/>
      <c r="J5" s="17">
        <f>SUM(J6:J12)</f>
        <v>0</v>
      </c>
      <c r="K5" s="17"/>
      <c r="L5" s="17"/>
      <c r="M5" s="17"/>
      <c r="N5" s="17">
        <f>SUM(N6:N12)</f>
        <v>843.38312388811687</v>
      </c>
      <c r="O5" s="17">
        <f>B38*B39*B40</f>
        <v>0</v>
      </c>
      <c r="P5" s="17">
        <f>B46*B47*B48/1000-B46*B47*B48/1000/B49</f>
        <v>0</v>
      </c>
      <c r="R5" s="32"/>
    </row>
    <row r="6" spans="1:18">
      <c r="A6" s="32" t="s">
        <v>54</v>
      </c>
      <c r="B6" s="37">
        <f>B26</f>
        <v>10874.421838500301</v>
      </c>
      <c r="C6" s="33"/>
      <c r="D6" s="37">
        <f>IF(ISERROR(TER_kantoor_gas_kWh/1000),0,TER_kantoor_gas_kWh/1000)*0.902</f>
        <v>4739.0694203480234</v>
      </c>
      <c r="E6" s="33">
        <f>$C$26*'E Balans VL '!I12/100/3.6*1000000</f>
        <v>42.249431091817073</v>
      </c>
      <c r="F6" s="33">
        <f>$C$26*('E Balans VL '!L12+'E Balans VL '!N12)/100/3.6*1000000</f>
        <v>1653.9006122860924</v>
      </c>
      <c r="G6" s="34"/>
      <c r="H6" s="33"/>
      <c r="I6" s="33"/>
      <c r="J6" s="33">
        <f>$C$26*('E Balans VL '!D12+'E Balans VL '!E12)/100/3.6*1000000</f>
        <v>0</v>
      </c>
      <c r="K6" s="33"/>
      <c r="L6" s="33"/>
      <c r="M6" s="33"/>
      <c r="N6" s="33">
        <f>$C$26*'E Balans VL '!Y12/100/3.6*1000000</f>
        <v>5.993109156667817</v>
      </c>
      <c r="O6" s="33"/>
      <c r="P6" s="33"/>
      <c r="R6" s="32"/>
    </row>
    <row r="7" spans="1:18">
      <c r="A7" s="32" t="s">
        <v>53</v>
      </c>
      <c r="B7" s="37">
        <f t="shared" ref="B7:B12" si="0">B27</f>
        <v>4712.4026400622506</v>
      </c>
      <c r="C7" s="33"/>
      <c r="D7" s="37">
        <f>IF(ISERROR(TER_horeca_gas_kWh/1000),0,TER_horeca_gas_kWh/1000)*0.902</f>
        <v>3400.9857955863072</v>
      </c>
      <c r="E7" s="33">
        <f>$C$27*'E Balans VL '!I9/100/3.6*1000000</f>
        <v>265.45090060243126</v>
      </c>
      <c r="F7" s="33">
        <f>$C$27*('E Balans VL '!L9+'E Balans VL '!N9)/100/3.6*1000000</f>
        <v>1358.7747956072078</v>
      </c>
      <c r="G7" s="34"/>
      <c r="H7" s="33"/>
      <c r="I7" s="33"/>
      <c r="J7" s="33">
        <f>$C$27*('E Balans VL '!D9+'E Balans VL '!E9)/100/3.6*1000000</f>
        <v>0</v>
      </c>
      <c r="K7" s="33"/>
      <c r="L7" s="33"/>
      <c r="M7" s="33"/>
      <c r="N7" s="33">
        <f>$C$27*'E Balans VL '!Y9/100/3.6*1000000</f>
        <v>1.3010698809730741</v>
      </c>
      <c r="O7" s="33"/>
      <c r="P7" s="33"/>
      <c r="R7" s="32"/>
    </row>
    <row r="8" spans="1:18">
      <c r="A8" s="6" t="s">
        <v>52</v>
      </c>
      <c r="B8" s="37">
        <f t="shared" si="0"/>
        <v>16419.207036313201</v>
      </c>
      <c r="C8" s="33"/>
      <c r="D8" s="37">
        <f>IF(ISERROR(TER_handel_gas_kWh/1000),0,TER_handel_gas_kWh/1000)*0.902</f>
        <v>5193.8405274065499</v>
      </c>
      <c r="E8" s="33">
        <f>$C$28*'E Balans VL '!I13/100/3.6*1000000</f>
        <v>236.65647822147196</v>
      </c>
      <c r="F8" s="33">
        <f>$C$28*('E Balans VL '!L13+'E Balans VL '!N13)/100/3.6*1000000</f>
        <v>2852.3986397370818</v>
      </c>
      <c r="G8" s="34"/>
      <c r="H8" s="33"/>
      <c r="I8" s="33"/>
      <c r="J8" s="33">
        <f>$C$28*('E Balans VL '!D13+'E Balans VL '!E13)/100/3.6*1000000</f>
        <v>0</v>
      </c>
      <c r="K8" s="33"/>
      <c r="L8" s="33"/>
      <c r="M8" s="33"/>
      <c r="N8" s="33">
        <f>$C$28*'E Balans VL '!Y13/100/3.6*1000000</f>
        <v>49.193772104575075</v>
      </c>
      <c r="O8" s="33"/>
      <c r="P8" s="33"/>
      <c r="R8" s="32"/>
    </row>
    <row r="9" spans="1:18">
      <c r="A9" s="32" t="s">
        <v>51</v>
      </c>
      <c r="B9" s="37">
        <f t="shared" si="0"/>
        <v>421.363773355295</v>
      </c>
      <c r="C9" s="33"/>
      <c r="D9" s="37">
        <f>IF(ISERROR(TER_gezond_gas_kWh/1000),0,TER_gezond_gas_kWh/1000)*0.902</f>
        <v>1752.669919129549</v>
      </c>
      <c r="E9" s="33">
        <f>$C$29*'E Balans VL '!I10/100/3.6*1000000</f>
        <v>0.45012572342277085</v>
      </c>
      <c r="F9" s="33">
        <f>$C$29*('E Balans VL '!L10+'E Balans VL '!N10)/100/3.6*1000000</f>
        <v>68.737237159858793</v>
      </c>
      <c r="G9" s="34"/>
      <c r="H9" s="33"/>
      <c r="I9" s="33"/>
      <c r="J9" s="33">
        <f>$C$29*('E Balans VL '!D10+'E Balans VL '!E10)/100/3.6*1000000</f>
        <v>0</v>
      </c>
      <c r="K9" s="33"/>
      <c r="L9" s="33"/>
      <c r="M9" s="33"/>
      <c r="N9" s="33">
        <f>$C$29*'E Balans VL '!Y10/100/3.6*1000000</f>
        <v>4.3376996213202457</v>
      </c>
      <c r="O9" s="33"/>
      <c r="P9" s="33"/>
      <c r="R9" s="32"/>
    </row>
    <row r="10" spans="1:18">
      <c r="A10" s="32" t="s">
        <v>50</v>
      </c>
      <c r="B10" s="37">
        <f t="shared" si="0"/>
        <v>288.635442385266</v>
      </c>
      <c r="C10" s="33"/>
      <c r="D10" s="37">
        <f>IF(ISERROR(TER_ander_gas_kWh/1000),0,TER_ander_gas_kWh/1000)*0.902</f>
        <v>3354.3683530738372</v>
      </c>
      <c r="E10" s="33">
        <f>$C$30*'E Balans VL '!I14/100/3.6*1000000</f>
        <v>1.3273904948198454</v>
      </c>
      <c r="F10" s="33">
        <f>$C$30*('E Balans VL '!L14+'E Balans VL '!N14)/100/3.6*1000000</f>
        <v>86.513146463003253</v>
      </c>
      <c r="G10" s="34"/>
      <c r="H10" s="33"/>
      <c r="I10" s="33"/>
      <c r="J10" s="33">
        <f>$C$30*('E Balans VL '!D14+'E Balans VL '!E14)/100/3.6*1000000</f>
        <v>0</v>
      </c>
      <c r="K10" s="33"/>
      <c r="L10" s="33"/>
      <c r="M10" s="33"/>
      <c r="N10" s="33">
        <f>$C$30*'E Balans VL '!Y14/100/3.6*1000000</f>
        <v>200.9093209475669</v>
      </c>
      <c r="O10" s="33"/>
      <c r="P10" s="33"/>
      <c r="R10" s="32"/>
    </row>
    <row r="11" spans="1:18">
      <c r="A11" s="32" t="s">
        <v>55</v>
      </c>
      <c r="B11" s="37">
        <f t="shared" si="0"/>
        <v>62.677625067005899</v>
      </c>
      <c r="C11" s="33"/>
      <c r="D11" s="37">
        <f>IF(ISERROR(TER_onderwijs_gas_kWh/1000),0,TER_onderwijs_gas_kWh/1000)*0.902</f>
        <v>836.25286731167068</v>
      </c>
      <c r="E11" s="33">
        <f>$C$31*'E Balans VL '!I11/100/3.6*1000000</f>
        <v>5.814173990754249E-2</v>
      </c>
      <c r="F11" s="33">
        <f>$C$31*('E Balans VL '!L11+'E Balans VL '!N11)/100/3.6*1000000</f>
        <v>22.017209144396489</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7327.3670509385402</v>
      </c>
      <c r="C12" s="33"/>
      <c r="D12" s="37">
        <f>IF(ISERROR(TER_rest_gas_kWh/1000),0,TER_rest_gas_kWh/1000)*0.902</f>
        <v>7146.1462784414143</v>
      </c>
      <c r="E12" s="33">
        <f>$C$32*'E Balans VL '!I8/100/3.6*1000000</f>
        <v>88.877319562600476</v>
      </c>
      <c r="F12" s="33">
        <f>$C$32*('E Balans VL '!L8+'E Balans VL '!N8)/100/3.6*1000000</f>
        <v>1449.9493083129389</v>
      </c>
      <c r="G12" s="34"/>
      <c r="H12" s="33"/>
      <c r="I12" s="33"/>
      <c r="J12" s="33">
        <f>$C$32*('E Balans VL '!D8+'E Balans VL '!E8)/100/3.6*1000000</f>
        <v>0</v>
      </c>
      <c r="K12" s="33"/>
      <c r="L12" s="33"/>
      <c r="M12" s="33"/>
      <c r="N12" s="33">
        <f>$C$32*'E Balans VL '!Y8/100/3.6*1000000</f>
        <v>581.6481521770138</v>
      </c>
      <c r="O12" s="33"/>
      <c r="P12" s="33"/>
      <c r="R12" s="32"/>
    </row>
    <row r="13" spans="1:18">
      <c r="A13" s="16" t="s">
        <v>497</v>
      </c>
      <c r="B13" s="249">
        <f ca="1">'lokale energieproductie'!N90+'lokale energieproductie'!N59</f>
        <v>81</v>
      </c>
      <c r="C13" s="249">
        <f ca="1">'lokale energieproductie'!O90+'lokale energieproductie'!O59</f>
        <v>115.71428571428572</v>
      </c>
      <c r="D13" s="312">
        <f ca="1">('lokale energieproductie'!P59+'lokale energieproductie'!P90)*(-1)</f>
        <v>-231.42857142857144</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40187.075406621858</v>
      </c>
      <c r="C16" s="21">
        <f t="shared" ca="1" si="1"/>
        <v>115.71428571428572</v>
      </c>
      <c r="D16" s="21">
        <f t="shared" ca="1" si="1"/>
        <v>26191.90458986878</v>
      </c>
      <c r="E16" s="21">
        <f t="shared" si="1"/>
        <v>635.06978743647096</v>
      </c>
      <c r="F16" s="21">
        <f t="shared" ca="1" si="1"/>
        <v>7492.290948710579</v>
      </c>
      <c r="G16" s="21">
        <f t="shared" si="1"/>
        <v>0</v>
      </c>
      <c r="H16" s="21">
        <f t="shared" si="1"/>
        <v>0</v>
      </c>
      <c r="I16" s="21">
        <f t="shared" si="1"/>
        <v>0</v>
      </c>
      <c r="J16" s="21">
        <f t="shared" si="1"/>
        <v>0</v>
      </c>
      <c r="K16" s="21">
        <f t="shared" si="1"/>
        <v>0</v>
      </c>
      <c r="L16" s="21">
        <f t="shared" ca="1" si="1"/>
        <v>0</v>
      </c>
      <c r="M16" s="21">
        <f t="shared" si="1"/>
        <v>0</v>
      </c>
      <c r="N16" s="21">
        <f t="shared" ca="1" si="1"/>
        <v>843.38312388811687</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0.19628720690358203</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7888.2087851894375</v>
      </c>
      <c r="C20" s="23">
        <f t="shared" ref="C20:P20" ca="1" si="2">C16*C18</f>
        <v>27.499159663865555</v>
      </c>
      <c r="D20" s="23">
        <f t="shared" ca="1" si="2"/>
        <v>5290.7647271534943</v>
      </c>
      <c r="E20" s="23">
        <f t="shared" si="2"/>
        <v>144.16084174807892</v>
      </c>
      <c r="F20" s="23">
        <f t="shared" ca="1" si="2"/>
        <v>2000.4416833057246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10874.421838500301</v>
      </c>
      <c r="C26" s="39">
        <f>IF(ISERROR(B26*3.6/1000000/'E Balans VL '!Z12*100),0,B26*3.6/1000000/'E Balans VL '!Z12*100)</f>
        <v>0.23097810633809129</v>
      </c>
      <c r="D26" s="239" t="s">
        <v>692</v>
      </c>
      <c r="F26" s="6"/>
    </row>
    <row r="27" spans="1:18">
      <c r="A27" s="233" t="s">
        <v>53</v>
      </c>
      <c r="B27" s="33">
        <f>IF(ISERROR(TER_horeca_ele_kWh/1000),0,TER_horeca_ele_kWh/1000)</f>
        <v>4712.4026400622506</v>
      </c>
      <c r="C27" s="39">
        <f>IF(ISERROR(B27*3.6/1000000/'E Balans VL '!Z9*100),0,B27*3.6/1000000/'E Balans VL '!Z9*100)</f>
        <v>0.36641800416587933</v>
      </c>
      <c r="D27" s="239" t="s">
        <v>692</v>
      </c>
      <c r="F27" s="6"/>
    </row>
    <row r="28" spans="1:18">
      <c r="A28" s="173" t="s">
        <v>52</v>
      </c>
      <c r="B28" s="33">
        <f>IF(ISERROR(TER_handel_ele_kWh/1000),0,TER_handel_ele_kWh/1000)</f>
        <v>16419.207036313201</v>
      </c>
      <c r="C28" s="39">
        <f>IF(ISERROR(B28*3.6/1000000/'E Balans VL '!Z13*100),0,B28*3.6/1000000/'E Balans VL '!Z13*100)</f>
        <v>0.46977283678257714</v>
      </c>
      <c r="D28" s="239" t="s">
        <v>692</v>
      </c>
      <c r="F28" s="6"/>
    </row>
    <row r="29" spans="1:18">
      <c r="A29" s="233" t="s">
        <v>51</v>
      </c>
      <c r="B29" s="33">
        <f>IF(ISERROR(TER_gezond_ele_kWh/1000),0,TER_gezond_ele_kWh/1000)</f>
        <v>421.363773355295</v>
      </c>
      <c r="C29" s="39">
        <f>IF(ISERROR(B29*3.6/1000000/'E Balans VL '!Z10*100),0,B29*3.6/1000000/'E Balans VL '!Z10*100)</f>
        <v>4.5938442615529068E-2</v>
      </c>
      <c r="D29" s="239" t="s">
        <v>692</v>
      </c>
      <c r="F29" s="6"/>
    </row>
    <row r="30" spans="1:18">
      <c r="A30" s="233" t="s">
        <v>50</v>
      </c>
      <c r="B30" s="33">
        <f>IF(ISERROR(TER_ander_ele_kWh/1000),0,TER_ander_ele_kWh/1000)</f>
        <v>288.635442385266</v>
      </c>
      <c r="C30" s="39">
        <f>IF(ISERROR(B30*3.6/1000000/'E Balans VL '!Z14*100),0,B30*3.6/1000000/'E Balans VL '!Z14*100)</f>
        <v>2.1121686919773952E-2</v>
      </c>
      <c r="D30" s="239" t="s">
        <v>692</v>
      </c>
      <c r="F30" s="6"/>
    </row>
    <row r="31" spans="1:18">
      <c r="A31" s="233" t="s">
        <v>55</v>
      </c>
      <c r="B31" s="33">
        <f>IF(ISERROR(TER_onderwijs_ele_kWh/1000),0,TER_onderwijs_ele_kWh/1000)</f>
        <v>62.677625067005899</v>
      </c>
      <c r="C31" s="39">
        <f>IF(ISERROR(B31*3.6/1000000/'E Balans VL '!Z11*100),0,B31*3.6/1000000/'E Balans VL '!Z11*100)</f>
        <v>1.2588847537829087E-2</v>
      </c>
      <c r="D31" s="239" t="s">
        <v>692</v>
      </c>
    </row>
    <row r="32" spans="1:18">
      <c r="A32" s="233" t="s">
        <v>260</v>
      </c>
      <c r="B32" s="33">
        <f>IF(ISERROR(TER_rest_ele_kWh/1000),0,TER_rest_ele_kWh/1000)</f>
        <v>7327.3670509385402</v>
      </c>
      <c r="C32" s="39">
        <f>IF(ISERROR(B32*3.6/1000000/'E Balans VL '!Z8*100),0,B32*3.6/1000000/'E Balans VL '!Z8*100)</f>
        <v>5.9713594712021825E-2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8654.8692251331195</v>
      </c>
      <c r="C5" s="17">
        <f>IF(ISERROR('Eigen informatie GS &amp; warmtenet'!B59),0,'Eigen informatie GS &amp; warmtenet'!B59)</f>
        <v>0</v>
      </c>
      <c r="D5" s="30">
        <f>SUM(D6:D15)</f>
        <v>24080.562006396558</v>
      </c>
      <c r="E5" s="17">
        <f>SUM(E6:E15)</f>
        <v>1191.8598139725959</v>
      </c>
      <c r="F5" s="17">
        <f>SUM(F6:F15)</f>
        <v>4141.176542223915</v>
      </c>
      <c r="G5" s="18"/>
      <c r="H5" s="17"/>
      <c r="I5" s="17"/>
      <c r="J5" s="17">
        <f>SUM(J6:J15)</f>
        <v>7.2283568727431415</v>
      </c>
      <c r="K5" s="17"/>
      <c r="L5" s="17"/>
      <c r="M5" s="17"/>
      <c r="N5" s="17">
        <f>SUM(N6:N15)</f>
        <v>2452.3256844295211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1587.67993422001</v>
      </c>
      <c r="C8" s="33"/>
      <c r="D8" s="37">
        <f>IF( ISERROR(IND_metaal_Gas_kWH/1000),0,IND_metaal_Gas_kWH/1000)*0.902</f>
        <v>350.65317313765792</v>
      </c>
      <c r="E8" s="33">
        <f>C30*'E Balans VL '!I18/100/3.6*1000000</f>
        <v>45.604127130178789</v>
      </c>
      <c r="F8" s="33">
        <f>C30*'E Balans VL '!L18/100/3.6*1000000+C30*'E Balans VL '!N18/100/3.6*1000000</f>
        <v>407.20936765400558</v>
      </c>
      <c r="G8" s="34"/>
      <c r="H8" s="33"/>
      <c r="I8" s="33"/>
      <c r="J8" s="40">
        <f>C30*'E Balans VL '!D18/100/3.6*1000000+C30*'E Balans VL '!E18/100/3.6*1000000</f>
        <v>0</v>
      </c>
      <c r="K8" s="33"/>
      <c r="L8" s="33"/>
      <c r="M8" s="33"/>
      <c r="N8" s="33">
        <f>C30*'E Balans VL '!Y18/100/3.6*1000000</f>
        <v>43.10875112798432</v>
      </c>
      <c r="O8" s="33"/>
      <c r="P8" s="33"/>
      <c r="R8" s="32"/>
    </row>
    <row r="9" spans="1:18">
      <c r="A9" s="6" t="s">
        <v>33</v>
      </c>
      <c r="B9" s="37">
        <f t="shared" si="0"/>
        <v>3497.8489364511597</v>
      </c>
      <c r="C9" s="33"/>
      <c r="D9" s="37">
        <f>IF( ISERROR(IND_andere_gas_kWh/1000),0,IND_andere_gas_kWh/1000)*0.902</f>
        <v>2263.0261236524111</v>
      </c>
      <c r="E9" s="33">
        <f>C31*'E Balans VL '!I19/100/3.6*1000000</f>
        <v>946.78170534405535</v>
      </c>
      <c r="F9" s="33">
        <f>C31*'E Balans VL '!L19/100/3.6*1000000+C31*'E Balans VL '!N19/100/3.6*1000000</f>
        <v>2329.9375414146202</v>
      </c>
      <c r="G9" s="34"/>
      <c r="H9" s="33"/>
      <c r="I9" s="33"/>
      <c r="J9" s="40">
        <f>C31*'E Balans VL '!D19/100/3.6*1000000+C31*'E Balans VL '!E19/100/3.6*1000000</f>
        <v>0</v>
      </c>
      <c r="K9" s="33"/>
      <c r="L9" s="33"/>
      <c r="M9" s="33"/>
      <c r="N9" s="33">
        <f>C31*'E Balans VL '!Y19/100/3.6*1000000</f>
        <v>1141.9895735061066</v>
      </c>
      <c r="O9" s="33"/>
      <c r="P9" s="33"/>
      <c r="R9" s="32"/>
    </row>
    <row r="10" spans="1:18">
      <c r="A10" s="6" t="s">
        <v>41</v>
      </c>
      <c r="B10" s="37">
        <f t="shared" si="0"/>
        <v>483.98993729806</v>
      </c>
      <c r="C10" s="33"/>
      <c r="D10" s="37">
        <f>IF( ISERROR(IND_voed_gas_kWh/1000),0,IND_voed_gas_kWh/1000)*0.902</f>
        <v>338.05939703028696</v>
      </c>
      <c r="E10" s="33">
        <f>C32*'E Balans VL '!I20/100/3.6*1000000</f>
        <v>39.475331223976582</v>
      </c>
      <c r="F10" s="33">
        <f>C32*'E Balans VL '!L20/100/3.6*1000000+C32*'E Balans VL '!N20/100/3.6*1000000</f>
        <v>721.67290792609401</v>
      </c>
      <c r="G10" s="34"/>
      <c r="H10" s="33"/>
      <c r="I10" s="33"/>
      <c r="J10" s="40">
        <f>C32*'E Balans VL '!D20/100/3.6*1000000+C32*'E Balans VL '!E20/100/3.6*1000000</f>
        <v>6.4025993854809216E-3</v>
      </c>
      <c r="K10" s="33"/>
      <c r="L10" s="33"/>
      <c r="M10" s="33"/>
      <c r="N10" s="33">
        <f>C32*'E Balans VL '!Y20/100/3.6*1000000</f>
        <v>142.17916541478459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267.64574352444998</v>
      </c>
      <c r="C13" s="33"/>
      <c r="D13" s="37">
        <f>IF( ISERROR(IND_papier_gas_kWh/1000),0,IND_papier_gas_kWh/1000)*0.902</f>
        <v>0</v>
      </c>
      <c r="E13" s="33">
        <f>C35*'E Balans VL '!I23/100/3.6*1000000</f>
        <v>2.8040767544575811</v>
      </c>
      <c r="F13" s="33">
        <f>C35*'E Balans VL '!L23/100/3.6*1000000+C35*'E Balans VL '!N23/100/3.6*1000000</f>
        <v>19.971772820940746</v>
      </c>
      <c r="G13" s="34"/>
      <c r="H13" s="33"/>
      <c r="I13" s="33"/>
      <c r="J13" s="40">
        <f>C35*'E Balans VL '!D23/100/3.6*1000000+C35*'E Balans VL '!E23/100/3.6*1000000</f>
        <v>0</v>
      </c>
      <c r="K13" s="33"/>
      <c r="L13" s="33"/>
      <c r="M13" s="33"/>
      <c r="N13" s="33">
        <f>C35*'E Balans VL '!Y23/100/3.6*1000000</f>
        <v>572.0648407696093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2817.70467363944</v>
      </c>
      <c r="C15" s="33"/>
      <c r="D15" s="37">
        <f>IF( ISERROR(IND_rest_gas_kWh/1000),0,IND_rest_gas_kWh/1000)*0.902</f>
        <v>21128.823312576202</v>
      </c>
      <c r="E15" s="33">
        <f>C37*'E Balans VL '!I15/100/3.6*1000000</f>
        <v>157.19457351992759</v>
      </c>
      <c r="F15" s="33">
        <f>C37*'E Balans VL '!L15/100/3.6*1000000+C37*'E Balans VL '!N15/100/3.6*1000000</f>
        <v>662.38495240825466</v>
      </c>
      <c r="G15" s="34"/>
      <c r="H15" s="33"/>
      <c r="I15" s="33"/>
      <c r="J15" s="40">
        <f>C37*'E Balans VL '!D15/100/3.6*1000000+C37*'E Balans VL '!E15/100/3.6*1000000</f>
        <v>7.2219542733576603</v>
      </c>
      <c r="K15" s="33"/>
      <c r="L15" s="33"/>
      <c r="M15" s="33"/>
      <c r="N15" s="33">
        <f>C37*'E Balans VL '!Y15/100/3.6*1000000</f>
        <v>552.98335361103648</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8654.8692251331195</v>
      </c>
      <c r="C18" s="21">
        <f>C5+C16</f>
        <v>0</v>
      </c>
      <c r="D18" s="21">
        <f>MAX((D5+D16),0)</f>
        <v>24080.562006396558</v>
      </c>
      <c r="E18" s="21">
        <f>MAX((E5+E16),0)</f>
        <v>1191.8598139725959</v>
      </c>
      <c r="F18" s="21">
        <f>MAX((F5+F16),0)</f>
        <v>4141.176542223915</v>
      </c>
      <c r="G18" s="21"/>
      <c r="H18" s="21"/>
      <c r="I18" s="21"/>
      <c r="J18" s="21">
        <f>MAX((J5+J16),0)</f>
        <v>7.2283568727431415</v>
      </c>
      <c r="K18" s="21"/>
      <c r="L18" s="21">
        <f>MAX((L5+L16),0)</f>
        <v>0</v>
      </c>
      <c r="M18" s="21"/>
      <c r="N18" s="21">
        <f>MAX((N5+N16),0)</f>
        <v>2452.3256844295211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0.19628720690358203</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1698.8401063171493</v>
      </c>
      <c r="C22" s="23">
        <f ca="1">C18*C20</f>
        <v>0</v>
      </c>
      <c r="D22" s="23">
        <f>D18*D20</f>
        <v>4864.2735252921048</v>
      </c>
      <c r="E22" s="23">
        <f>E18*E20</f>
        <v>270.55217777177927</v>
      </c>
      <c r="F22" s="23">
        <f>F18*F20</f>
        <v>1105.6941367737854</v>
      </c>
      <c r="G22" s="23"/>
      <c r="H22" s="23"/>
      <c r="I22" s="23"/>
      <c r="J22" s="23">
        <f>J18*J20</f>
        <v>2.5588383329510718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1587.67993422001</v>
      </c>
      <c r="C30" s="39">
        <f>IF(ISERROR(B30*3.6/1000000/'E Balans VL '!Z18*100),0,B30*3.6/1000000/'E Balans VL '!Z18*100)</f>
        <v>0.15622365261211396</v>
      </c>
      <c r="D30" s="239" t="s">
        <v>692</v>
      </c>
    </row>
    <row r="31" spans="1:18">
      <c r="A31" s="6" t="s">
        <v>33</v>
      </c>
      <c r="B31" s="37">
        <f>IF( ISERROR(IND_ander_ele_kWh/1000),0,IND_ander_ele_kWh/1000)</f>
        <v>3497.8489364511597</v>
      </c>
      <c r="C31" s="39">
        <f>IF(ISERROR(B31*3.6/1000000/'E Balans VL '!Z19*100),0,B31*3.6/1000000/'E Balans VL '!Z19*100)</f>
        <v>0.15232853097583676</v>
      </c>
      <c r="D31" s="239" t="s">
        <v>692</v>
      </c>
    </row>
    <row r="32" spans="1:18">
      <c r="A32" s="173" t="s">
        <v>41</v>
      </c>
      <c r="B32" s="37">
        <f>IF( ISERROR(IND_voed_ele_kWh/1000),0,IND_voed_ele_kWh/1000)</f>
        <v>483.98993729806</v>
      </c>
      <c r="C32" s="39">
        <f>IF(ISERROR(B32*3.6/1000000/'E Balans VL '!Z20*100),0,B32*3.6/1000000/'E Balans VL '!Z20*100)</f>
        <v>9.1830110708089288E-2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267.64574352444998</v>
      </c>
      <c r="C35" s="39">
        <f>IF(ISERROR(B35*3.6/1000000/'E Balans VL '!Z22*100),0,B35*3.6/1000000/'E Balans VL '!Z22*100)</f>
        <v>3.7633679154322176E-2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2817.70467363944</v>
      </c>
      <c r="C37" s="39">
        <f>IF(ISERROR(B37*3.6/1000000/'E Balans VL '!Z15*100),0,B37*3.6/1000000/'E Balans VL '!Z15*100)</f>
        <v>2.1713875365112066E-2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44.096281685113794</v>
      </c>
      <c r="C5" s="17">
        <f>'Eigen informatie GS &amp; warmtenet'!B60</f>
        <v>0</v>
      </c>
      <c r="D5" s="30">
        <f>IF(ISERROR(SUM(LB_lb_gas_kWh,LB_rest_gas_kWh,onbekend_gas_kWh)/1000),0,SUM(LB_lb_gas_kWh,LB_rest_gas_kWh,onbekend_gas_kWh)/1000)*0.902</f>
        <v>2948.6054951621541</v>
      </c>
      <c r="E5" s="17">
        <f>B17*'E Balans VL '!I25/3.6*1000000/100</f>
        <v>0.55566995679339026</v>
      </c>
      <c r="F5" s="17">
        <f>B17*('E Balans VL '!L25/3.6*1000000+'E Balans VL '!N25/3.6*1000000)/100</f>
        <v>152.14321859227684</v>
      </c>
      <c r="G5" s="18"/>
      <c r="H5" s="17"/>
      <c r="I5" s="17"/>
      <c r="J5" s="17">
        <f>('E Balans VL '!D25+'E Balans VL '!E25)/3.6*1000000*landbouw!B17/100</f>
        <v>6.6315794966023427</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44.096281685113794</v>
      </c>
      <c r="C8" s="21">
        <f>C5+C6</f>
        <v>0</v>
      </c>
      <c r="D8" s="21">
        <f>MAX((D5+D6),0)</f>
        <v>2948.6054951621541</v>
      </c>
      <c r="E8" s="21">
        <f>MAX((E5+E6),0)</f>
        <v>0.55566995679339026</v>
      </c>
      <c r="F8" s="21">
        <f>MAX((F5+F6),0)</f>
        <v>152.14321859227684</v>
      </c>
      <c r="G8" s="21"/>
      <c r="H8" s="21"/>
      <c r="I8" s="21"/>
      <c r="J8" s="21">
        <f>MAX((J5+J6),0)</f>
        <v>6.6315794966023427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0.19628720690358203</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8.6555359668045657</v>
      </c>
      <c r="C12" s="23">
        <f ca="1">C8*C10</f>
        <v>0</v>
      </c>
      <c r="D12" s="23">
        <f>D8*D10</f>
        <v>595.61831002275517</v>
      </c>
      <c r="E12" s="23">
        <f>E8*E10</f>
        <v>0.1261370801920996</v>
      </c>
      <c r="F12" s="23">
        <f>F8*F10</f>
        <v>40.622239364137918</v>
      </c>
      <c r="G12" s="23"/>
      <c r="H12" s="23"/>
      <c r="I12" s="23"/>
      <c r="J12" s="23">
        <f>J8*J10</f>
        <v>2.3475791417972292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6.1500414609493891E-3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1.8269813973463513</v>
      </c>
      <c r="C26" s="249">
        <f>B26*'GWP N2O_CH4'!B5</f>
        <v>38.366609344273378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0.13276594216380386</v>
      </c>
      <c r="C27" s="249">
        <f>B27*'GWP N2O_CH4'!B5</f>
        <v>2.7880847854398811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2.8087550567928402E-2</v>
      </c>
      <c r="C28" s="249">
        <f>B28*'GWP N2O_CH4'!B4</f>
        <v>8.7071406760578043</v>
      </c>
      <c r="D28" s="50"/>
    </row>
    <row r="29" spans="1:4">
      <c r="A29" s="41" t="s">
        <v>277</v>
      </c>
      <c r="B29" s="249">
        <f>B34*'ha_N2O bodem landbouw'!B4</f>
        <v>0.61948891219056279</v>
      </c>
      <c r="C29" s="249">
        <f>B29*'GWP N2O_CH4'!B4</f>
        <v>192.04156277907447</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1.5468019126800575E-4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1.1638391876229362E-5</v>
      </c>
      <c r="C5" s="448" t="s">
        <v>211</v>
      </c>
      <c r="D5" s="433">
        <f>SUM(D6:D11)</f>
        <v>1.7364732916796594E-5</v>
      </c>
      <c r="E5" s="433">
        <f>SUM(E6:E11)</f>
        <v>5.4038217856165651E-4</v>
      </c>
      <c r="F5" s="446" t="s">
        <v>211</v>
      </c>
      <c r="G5" s="433">
        <f>SUM(G6:G11)</f>
        <v>0.15185663851904813</v>
      </c>
      <c r="H5" s="433">
        <f>SUM(H6:H11)</f>
        <v>2.6250844724951577E-2</v>
      </c>
      <c r="I5" s="448" t="s">
        <v>211</v>
      </c>
      <c r="J5" s="448" t="s">
        <v>211</v>
      </c>
      <c r="K5" s="448" t="s">
        <v>211</v>
      </c>
      <c r="L5" s="448" t="s">
        <v>211</v>
      </c>
      <c r="M5" s="433">
        <f>SUM(M6:M11)</f>
        <v>7.974277343012131E-3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1.084104011374873E-5</v>
      </c>
      <c r="C6" s="949"/>
      <c r="D6" s="949">
        <f>vkm_2011_GW_PW*SUMIFS(TableVerdeelsleutelVkm[CNG],TableVerdeelsleutelVkm[Voertuigtype],"Lichte voertuigen")*SUMIFS(TableECFTransport[EnergieConsumptieFactor (PJ per km)],TableECFTransport[Index],CONCATENATE($A6,"_CNG_CNG"))</f>
        <v>1.5353033098354881E-5</v>
      </c>
      <c r="E6" s="949">
        <f>vkm_2011_GW_PW*SUMIFS(TableVerdeelsleutelVkm[LPG],TableVerdeelsleutelVkm[Voertuigtype],"Lichte voertuigen")*SUMIFS(TableECFTransport[EnergieConsumptieFactor (PJ per km)],TableECFTransport[Index],CONCATENATE($A6,"_LPG_LPG"))</f>
        <v>4.8218822610000773E-4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8.6662427527097713E-2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2.3286982685885853E-2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4.906429960502643E-3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5.338481509394135E-2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1.9020233561216243E-5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2.4090345917170387E-3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7.9735176248063287E-7</v>
      </c>
      <c r="C8" s="949"/>
      <c r="D8" s="436">
        <f>vkm_2011_NGW_PW*SUMIFS(TableVerdeelsleutelVkm[CNG],TableVerdeelsleutelVkm[Voertuigtype],"Lichte voertuigen")*SUMIFS(TableECFTransport[EnergieConsumptieFactor (PJ per km)],TableECFTransport[Index],CONCATENATE($A8,"_CNG_CNG"))</f>
        <v>2.0116998184417134E-6</v>
      </c>
      <c r="E8" s="436">
        <f>vkm_2011_NGW_PW*SUMIFS(TableVerdeelsleutelVkm[LPG],TableVerdeelsleutelVkm[Voertuigtype],"Lichte voertuigen")*SUMIFS(TableECFTransport[EnergieConsumptieFactor (PJ per km)],TableECFTransport[Index],CONCATENATE($A8,"_LPG_LPG"))</f>
        <v>5.81939524616488E-5</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9.8644392488084504E-3</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2.9441860639130573E-3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5.7104658292765511E-4</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1.9449566492006124E-3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6.5574159144942903E-7</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8.7766207864794116E-5</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3.2328866322859335</v>
      </c>
      <c r="C14" s="21"/>
      <c r="D14" s="21">
        <f t="shared" ref="D14:M14" si="0">((D5)*10^9/3600)+D12</f>
        <v>4.8235369213323871</v>
      </c>
      <c r="E14" s="21">
        <f t="shared" si="0"/>
        <v>150.10616071157125</v>
      </c>
      <c r="F14" s="21"/>
      <c r="G14" s="21">
        <f t="shared" si="0"/>
        <v>42182.399588624481</v>
      </c>
      <c r="H14" s="21">
        <f t="shared" si="0"/>
        <v>7291.9013124865487</v>
      </c>
      <c r="I14" s="21"/>
      <c r="J14" s="21"/>
      <c r="K14" s="21"/>
      <c r="L14" s="21"/>
      <c r="M14" s="21">
        <f t="shared" si="0"/>
        <v>2215.0770397255919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0.19628720690358203</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0.63457428728733356</v>
      </c>
      <c r="C18" s="23"/>
      <c r="D18" s="23">
        <f t="shared" ref="D18:M18" si="1">D14*D16</f>
        <v>0.97435445810914223</v>
      </c>
      <c r="E18" s="23">
        <f t="shared" si="1"/>
        <v>34.074098481526676</v>
      </c>
      <c r="F18" s="23"/>
      <c r="G18" s="23">
        <f t="shared" si="1"/>
        <v>11262.700690162737</v>
      </c>
      <c r="H18" s="23">
        <f t="shared" si="1"/>
        <v>1815.6834268091507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1.9990191376854463E-3</v>
      </c>
      <c r="C50" s="323">
        <f t="shared" ref="C50:P50" si="2">SUM(C51:C52)</f>
        <v>0</v>
      </c>
      <c r="D50" s="323">
        <f t="shared" si="2"/>
        <v>0</v>
      </c>
      <c r="E50" s="323">
        <f t="shared" si="2"/>
        <v>0</v>
      </c>
      <c r="F50" s="323">
        <f t="shared" si="2"/>
        <v>0</v>
      </c>
      <c r="G50" s="323">
        <f t="shared" si="2"/>
        <v>4.4995416181787392E-3</v>
      </c>
      <c r="H50" s="323">
        <f t="shared" si="2"/>
        <v>0</v>
      </c>
      <c r="I50" s="323">
        <f t="shared" si="2"/>
        <v>0</v>
      </c>
      <c r="J50" s="323">
        <f t="shared" si="2"/>
        <v>0</v>
      </c>
      <c r="K50" s="323">
        <f t="shared" si="2"/>
        <v>0</v>
      </c>
      <c r="L50" s="323">
        <f t="shared" si="2"/>
        <v>0</v>
      </c>
      <c r="M50" s="323">
        <f t="shared" si="2"/>
        <v>2.0010562126294767E-4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4.4995416181787392E-3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2.0010562126294767E-4</v>
      </c>
      <c r="N51" s="325"/>
      <c r="O51" s="325"/>
      <c r="P51" s="328"/>
    </row>
    <row r="52" spans="1:18">
      <c r="A52" s="4" t="s">
        <v>330</v>
      </c>
      <c r="B52" s="329">
        <f>vkm_2011_tram*SUMIFS(TableECFTransport[EnergieConsumptieFactor (PJ per km)],TableECFTransport[Index],"Tram_gemiddeld_Electric_Electric")</f>
        <v>1.9990191376854463E-3</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555.2830938015129</v>
      </c>
      <c r="C54" s="21">
        <f t="shared" ref="C54:P54" si="3">(C50)*10^9/3600</f>
        <v>0</v>
      </c>
      <c r="D54" s="21">
        <f t="shared" si="3"/>
        <v>0</v>
      </c>
      <c r="E54" s="21">
        <f t="shared" si="3"/>
        <v>0</v>
      </c>
      <c r="F54" s="21">
        <f t="shared" si="3"/>
        <v>0</v>
      </c>
      <c r="G54" s="21">
        <f t="shared" si="3"/>
        <v>1249.8726717163165</v>
      </c>
      <c r="H54" s="21">
        <f t="shared" si="3"/>
        <v>0</v>
      </c>
      <c r="I54" s="21">
        <f t="shared" si="3"/>
        <v>0</v>
      </c>
      <c r="J54" s="21">
        <f t="shared" si="3"/>
        <v>0</v>
      </c>
      <c r="K54" s="21">
        <f t="shared" si="3"/>
        <v>0</v>
      </c>
      <c r="L54" s="21">
        <f t="shared" si="3"/>
        <v>0</v>
      </c>
      <c r="M54" s="21">
        <f t="shared" si="3"/>
        <v>55.584894795263246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0.19628720690358203</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108.99496752307871</v>
      </c>
      <c r="C58" s="23">
        <f t="shared" ref="C58:P58" ca="1" si="4">C54*C56</f>
        <v>0</v>
      </c>
      <c r="D58" s="23">
        <f t="shared" si="4"/>
        <v>0</v>
      </c>
      <c r="E58" s="23">
        <f t="shared" si="4"/>
        <v>0</v>
      </c>
      <c r="F58" s="23">
        <f t="shared" si="4"/>
        <v>0</v>
      </c>
      <c r="G58" s="23">
        <f t="shared" si="4"/>
        <v>333.71600334825655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638.98654708520189</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6750.6094061007789</v>
      </c>
      <c r="C6" s="1142"/>
      <c r="D6" s="1145"/>
      <c r="E6" s="1145"/>
      <c r="F6" s="1148"/>
      <c r="G6" s="1151"/>
      <c r="H6" s="1139"/>
      <c r="I6" s="1145"/>
      <c r="J6" s="1145"/>
      <c r="K6" s="1145"/>
      <c r="L6" s="1175"/>
      <c r="M6" s="561"/>
      <c r="N6" s="1187"/>
      <c r="O6" s="1188"/>
      <c r="Q6" s="559"/>
      <c r="R6" s="1172"/>
      <c r="S6" s="1172"/>
    </row>
    <row r="7" spans="1:19" s="549" customFormat="1">
      <c r="A7" s="562" t="s">
        <v>252</v>
      </c>
      <c r="B7" s="563">
        <f>N57</f>
        <v>81</v>
      </c>
      <c r="C7" s="564">
        <f>B100</f>
        <v>95.294117647058826</v>
      </c>
      <c r="D7" s="565"/>
      <c r="E7" s="565">
        <f>E100</f>
        <v>0</v>
      </c>
      <c r="F7" s="566"/>
      <c r="G7" s="567"/>
      <c r="H7" s="565">
        <f>I100</f>
        <v>0</v>
      </c>
      <c r="I7" s="565">
        <f>G100+F100</f>
        <v>0</v>
      </c>
      <c r="J7" s="565">
        <f>H100+D100+C100</f>
        <v>0</v>
      </c>
      <c r="K7" s="565"/>
      <c r="L7" s="568"/>
      <c r="M7" s="569">
        <f>C7*$C$11+D7*$D$11+E7*$E$11+F7*$F$11+G7*$G$11+H7*$H$11+I7*$I$11+J7*$J$11</f>
        <v>19.249411764705883</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7470.5959531859808</v>
      </c>
      <c r="C9" s="580">
        <f t="shared" ref="C9:L9" si="0">SUM(C7:C8)</f>
        <v>95.294117647058826</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19.249411764705883</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115.71428571428572</v>
      </c>
      <c r="C16" s="596">
        <f>B101</f>
        <v>136.13445378151263</v>
      </c>
      <c r="D16" s="597"/>
      <c r="E16" s="597">
        <f>E101</f>
        <v>0</v>
      </c>
      <c r="F16" s="598"/>
      <c r="G16" s="599"/>
      <c r="H16" s="596">
        <f>I101</f>
        <v>0</v>
      </c>
      <c r="I16" s="597">
        <f>G101+F101</f>
        <v>0</v>
      </c>
      <c r="J16" s="597">
        <f>H101+D101+C101</f>
        <v>0</v>
      </c>
      <c r="K16" s="597"/>
      <c r="L16" s="600"/>
      <c r="M16" s="601">
        <f>C16*$C$21+E16*$E$21+H16*$H$21+I16*$I$21+J16*$J$21+D16*$D$21+F16*$F$21+G16*$G$21+K16*$K$21+L16*$L$21</f>
        <v>27.499159663865555</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115.71428571428572</v>
      </c>
      <c r="C19" s="579">
        <f>SUM(C16:C18)</f>
        <v>136.13445378151263</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27.499159663865555</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38.25">
      <c r="A27" s="610"/>
      <c r="B27" s="839">
        <v>11050</v>
      </c>
      <c r="C27" s="839">
        <v>2210</v>
      </c>
      <c r="D27" s="658" t="s">
        <v>840</v>
      </c>
      <c r="E27" s="657" t="s">
        <v>841</v>
      </c>
      <c r="F27" s="657" t="s">
        <v>842</v>
      </c>
      <c r="G27" s="657" t="s">
        <v>843</v>
      </c>
      <c r="H27" s="657" t="s">
        <v>844</v>
      </c>
      <c r="I27" s="657" t="s">
        <v>841</v>
      </c>
      <c r="J27" s="838">
        <v>41288</v>
      </c>
      <c r="K27" s="838">
        <v>41240</v>
      </c>
      <c r="L27" s="657" t="s">
        <v>845</v>
      </c>
      <c r="M27" s="657">
        <v>18</v>
      </c>
      <c r="N27" s="657">
        <v>81</v>
      </c>
      <c r="O27" s="657">
        <v>115.71428571428572</v>
      </c>
      <c r="P27" s="657">
        <v>231.42857142857144</v>
      </c>
      <c r="Q27" s="657">
        <v>0</v>
      </c>
      <c r="R27" s="657">
        <v>0</v>
      </c>
      <c r="S27" s="657">
        <v>0</v>
      </c>
      <c r="T27" s="657">
        <v>0</v>
      </c>
      <c r="U27" s="657">
        <v>0</v>
      </c>
      <c r="V27" s="657">
        <v>0</v>
      </c>
      <c r="W27" s="657">
        <v>0</v>
      </c>
      <c r="X27" s="657">
        <v>1500</v>
      </c>
      <c r="Y27" s="657" t="s">
        <v>51</v>
      </c>
      <c r="Z27" s="659" t="s">
        <v>156</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18</v>
      </c>
      <c r="N57" s="615">
        <f>SUM(N27:N56)</f>
        <v>81</v>
      </c>
      <c r="O57" s="615">
        <f t="shared" ref="O57:W57" si="2">SUM(O27:O56)</f>
        <v>115.71428571428572</v>
      </c>
      <c r="P57" s="615">
        <f t="shared" si="2"/>
        <v>231.42857142857144</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18</v>
      </c>
      <c r="N59" s="615">
        <f ca="1">SUMIF($Z$27:AB56,"tertiair",N27:N56)</f>
        <v>81</v>
      </c>
      <c r="O59" s="615">
        <f ca="1">SUMIF($Z$27:AC56,"tertiair",O27:O56)</f>
        <v>115.71428571428572</v>
      </c>
      <c r="P59" s="615">
        <f ca="1">SUMIF($Z$27:AD56,"tertiair",P27:P56)</f>
        <v>231.42857142857144</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95.294117647058826</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136.13445378151263</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40861.415406621854</v>
      </c>
      <c r="D10" s="704">
        <f ca="1">tertiair!C16</f>
        <v>115.71428571428572</v>
      </c>
      <c r="E10" s="704">
        <f ca="1">tertiair!D16</f>
        <v>26191.90458986878</v>
      </c>
      <c r="F10" s="704">
        <f>tertiair!E16</f>
        <v>635.06978743647096</v>
      </c>
      <c r="G10" s="704">
        <f ca="1">tertiair!F16</f>
        <v>7492.290948710579</v>
      </c>
      <c r="H10" s="704">
        <f>tertiair!G16</f>
        <v>0</v>
      </c>
      <c r="I10" s="704">
        <f>tertiair!H16</f>
        <v>0</v>
      </c>
      <c r="J10" s="704">
        <f>tertiair!I16</f>
        <v>0</v>
      </c>
      <c r="K10" s="704">
        <f>tertiair!J16</f>
        <v>0</v>
      </c>
      <c r="L10" s="704">
        <f>tertiair!K16</f>
        <v>0</v>
      </c>
      <c r="M10" s="704">
        <f ca="1">tertiair!L16</f>
        <v>0</v>
      </c>
      <c r="N10" s="704">
        <f>tertiair!M16</f>
        <v>0</v>
      </c>
      <c r="O10" s="704">
        <f ca="1">tertiair!N16</f>
        <v>843.38312388811687</v>
      </c>
      <c r="P10" s="704">
        <f>tertiair!O16</f>
        <v>0</v>
      </c>
      <c r="Q10" s="705">
        <f>tertiair!P16</f>
        <v>0</v>
      </c>
      <c r="R10" s="707">
        <f ca="1">SUM(C10:Q10)</f>
        <v>76139.778142240073</v>
      </c>
      <c r="S10" s="67"/>
    </row>
    <row r="11" spans="1:19" s="459" customFormat="1">
      <c r="A11" s="858" t="s">
        <v>225</v>
      </c>
      <c r="B11" s="863"/>
      <c r="C11" s="704">
        <f>huishoudens!B8</f>
        <v>15909.750192800995</v>
      </c>
      <c r="D11" s="704">
        <f>huishoudens!C8</f>
        <v>0</v>
      </c>
      <c r="E11" s="704">
        <f>huishoudens!D8</f>
        <v>55567.656239026306</v>
      </c>
      <c r="F11" s="704">
        <f>huishoudens!E8</f>
        <v>399.12216108143326</v>
      </c>
      <c r="G11" s="704">
        <f>huishoudens!F8</f>
        <v>0</v>
      </c>
      <c r="H11" s="704">
        <f>huishoudens!G8</f>
        <v>0</v>
      </c>
      <c r="I11" s="704">
        <f>huishoudens!H8</f>
        <v>0</v>
      </c>
      <c r="J11" s="704">
        <f>huishoudens!I8</f>
        <v>0</v>
      </c>
      <c r="K11" s="704">
        <f>huishoudens!J8</f>
        <v>0</v>
      </c>
      <c r="L11" s="704">
        <f>huishoudens!K8</f>
        <v>0</v>
      </c>
      <c r="M11" s="704">
        <f>huishoudens!L8</f>
        <v>0</v>
      </c>
      <c r="N11" s="704">
        <f>huishoudens!M8</f>
        <v>0</v>
      </c>
      <c r="O11" s="704">
        <f>huishoudens!N8</f>
        <v>4760.8908927918073</v>
      </c>
      <c r="P11" s="704">
        <f>huishoudens!O8</f>
        <v>53.153333333333336</v>
      </c>
      <c r="Q11" s="705">
        <f>huishoudens!P8</f>
        <v>114.4</v>
      </c>
      <c r="R11" s="707">
        <f>SUM(C11:Q11)</f>
        <v>76804.972819033879</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8654.8692251331195</v>
      </c>
      <c r="D13" s="704">
        <f>industrie!C18</f>
        <v>0</v>
      </c>
      <c r="E13" s="704">
        <f>industrie!D18</f>
        <v>24080.562006396558</v>
      </c>
      <c r="F13" s="704">
        <f>industrie!E18</f>
        <v>1191.8598139725959</v>
      </c>
      <c r="G13" s="704">
        <f>industrie!F18</f>
        <v>4141.176542223915</v>
      </c>
      <c r="H13" s="704">
        <f>industrie!G18</f>
        <v>0</v>
      </c>
      <c r="I13" s="704">
        <f>industrie!H18</f>
        <v>0</v>
      </c>
      <c r="J13" s="704">
        <f>industrie!I18</f>
        <v>0</v>
      </c>
      <c r="K13" s="704">
        <f>industrie!J18</f>
        <v>7.2283568727431415</v>
      </c>
      <c r="L13" s="704">
        <f>industrie!K18</f>
        <v>0</v>
      </c>
      <c r="M13" s="704">
        <f>industrie!L18</f>
        <v>0</v>
      </c>
      <c r="N13" s="704">
        <f>industrie!M18</f>
        <v>0</v>
      </c>
      <c r="O13" s="704">
        <f>industrie!N18</f>
        <v>2452.3256844295211</v>
      </c>
      <c r="P13" s="704">
        <f>industrie!O18</f>
        <v>0</v>
      </c>
      <c r="Q13" s="705">
        <f>industrie!P18</f>
        <v>0</v>
      </c>
      <c r="R13" s="707">
        <f>SUM(C13:Q13)</f>
        <v>40528.021629028459</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65426.034824555973</v>
      </c>
      <c r="D15" s="709">
        <f t="shared" ref="D15:Q15" ca="1" si="0">SUM(D9:D14)</f>
        <v>115.71428571428572</v>
      </c>
      <c r="E15" s="709">
        <f t="shared" ca="1" si="0"/>
        <v>105840.12283529165</v>
      </c>
      <c r="F15" s="709">
        <f t="shared" si="0"/>
        <v>2226.0517624905001</v>
      </c>
      <c r="G15" s="709">
        <f t="shared" ca="1" si="0"/>
        <v>11633.467490934494</v>
      </c>
      <c r="H15" s="709">
        <f t="shared" si="0"/>
        <v>0</v>
      </c>
      <c r="I15" s="709">
        <f t="shared" si="0"/>
        <v>0</v>
      </c>
      <c r="J15" s="709">
        <f t="shared" si="0"/>
        <v>0</v>
      </c>
      <c r="K15" s="709">
        <f t="shared" si="0"/>
        <v>7.2283568727431415</v>
      </c>
      <c r="L15" s="709">
        <f t="shared" si="0"/>
        <v>0</v>
      </c>
      <c r="M15" s="709">
        <f t="shared" ca="1" si="0"/>
        <v>0</v>
      </c>
      <c r="N15" s="709">
        <f t="shared" si="0"/>
        <v>0</v>
      </c>
      <c r="O15" s="709">
        <f t="shared" ca="1" si="0"/>
        <v>8056.599701109445</v>
      </c>
      <c r="P15" s="709">
        <f t="shared" si="0"/>
        <v>53.153333333333336</v>
      </c>
      <c r="Q15" s="710">
        <f t="shared" si="0"/>
        <v>114.4</v>
      </c>
      <c r="R15" s="711">
        <f ca="1">SUM(R9:R14)</f>
        <v>193472.77259030243</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555.2830938015129</v>
      </c>
      <c r="D18" s="704">
        <f>transport!C54</f>
        <v>0</v>
      </c>
      <c r="E18" s="704">
        <f>transport!D54</f>
        <v>0</v>
      </c>
      <c r="F18" s="704">
        <f>transport!E54</f>
        <v>0</v>
      </c>
      <c r="G18" s="704">
        <f>transport!F54</f>
        <v>0</v>
      </c>
      <c r="H18" s="704">
        <f>transport!G54</f>
        <v>1249.8726717163165</v>
      </c>
      <c r="I18" s="704">
        <f>transport!H54</f>
        <v>0</v>
      </c>
      <c r="J18" s="704">
        <f>transport!I54</f>
        <v>0</v>
      </c>
      <c r="K18" s="704">
        <f>transport!J54</f>
        <v>0</v>
      </c>
      <c r="L18" s="704">
        <f>transport!K54</f>
        <v>0</v>
      </c>
      <c r="M18" s="704">
        <f>transport!L54</f>
        <v>0</v>
      </c>
      <c r="N18" s="704">
        <f>transport!M54</f>
        <v>55.584894795263246</v>
      </c>
      <c r="O18" s="704">
        <f>transport!N54</f>
        <v>0</v>
      </c>
      <c r="P18" s="704">
        <f>transport!O54</f>
        <v>0</v>
      </c>
      <c r="Q18" s="705">
        <f>transport!P54</f>
        <v>0</v>
      </c>
      <c r="R18" s="707">
        <f>SUM(C18:Q18)</f>
        <v>1860.7406603130926</v>
      </c>
      <c r="S18" s="67"/>
    </row>
    <row r="19" spans="1:19" s="459" customFormat="1" ht="15" thickBot="1">
      <c r="A19" s="858" t="s">
        <v>307</v>
      </c>
      <c r="B19" s="863"/>
      <c r="C19" s="713">
        <f>transport!B14</f>
        <v>3.2328866322859335</v>
      </c>
      <c r="D19" s="713">
        <f>transport!C14</f>
        <v>0</v>
      </c>
      <c r="E19" s="713">
        <f>transport!D14</f>
        <v>4.8235369213323871</v>
      </c>
      <c r="F19" s="713">
        <f>transport!E14</f>
        <v>150.10616071157125</v>
      </c>
      <c r="G19" s="713">
        <f>transport!F14</f>
        <v>0</v>
      </c>
      <c r="H19" s="713">
        <f>transport!G14</f>
        <v>42182.399588624481</v>
      </c>
      <c r="I19" s="713">
        <f>transport!H14</f>
        <v>7291.9013124865487</v>
      </c>
      <c r="J19" s="713">
        <f>transport!I14</f>
        <v>0</v>
      </c>
      <c r="K19" s="713">
        <f>transport!J14</f>
        <v>0</v>
      </c>
      <c r="L19" s="713">
        <f>transport!K14</f>
        <v>0</v>
      </c>
      <c r="M19" s="713">
        <f>transport!L14</f>
        <v>0</v>
      </c>
      <c r="N19" s="713">
        <f>transport!M14</f>
        <v>2215.0770397255919</v>
      </c>
      <c r="O19" s="713">
        <f>transport!N14</f>
        <v>0</v>
      </c>
      <c r="P19" s="713">
        <f>transport!O14</f>
        <v>0</v>
      </c>
      <c r="Q19" s="714">
        <f>transport!P14</f>
        <v>0</v>
      </c>
      <c r="R19" s="715">
        <f>SUM(C19:Q19)</f>
        <v>51847.540525101816</v>
      </c>
      <c r="S19" s="67"/>
    </row>
    <row r="20" spans="1:19" s="459" customFormat="1" ht="15.75" thickBot="1">
      <c r="A20" s="716" t="s">
        <v>230</v>
      </c>
      <c r="B20" s="866"/>
      <c r="C20" s="861">
        <f>SUM(C17:C19)</f>
        <v>558.51598043379886</v>
      </c>
      <c r="D20" s="717">
        <f t="shared" ref="D20:R20" si="1">SUM(D17:D19)</f>
        <v>0</v>
      </c>
      <c r="E20" s="717">
        <f t="shared" si="1"/>
        <v>4.8235369213323871</v>
      </c>
      <c r="F20" s="717">
        <f t="shared" si="1"/>
        <v>150.10616071157125</v>
      </c>
      <c r="G20" s="717">
        <f t="shared" si="1"/>
        <v>0</v>
      </c>
      <c r="H20" s="717">
        <f t="shared" si="1"/>
        <v>43432.272260340796</v>
      </c>
      <c r="I20" s="717">
        <f t="shared" si="1"/>
        <v>7291.9013124865487</v>
      </c>
      <c r="J20" s="717">
        <f t="shared" si="1"/>
        <v>0</v>
      </c>
      <c r="K20" s="717">
        <f t="shared" si="1"/>
        <v>0</v>
      </c>
      <c r="L20" s="717">
        <f t="shared" si="1"/>
        <v>0</v>
      </c>
      <c r="M20" s="717">
        <f t="shared" si="1"/>
        <v>0</v>
      </c>
      <c r="N20" s="717">
        <f t="shared" si="1"/>
        <v>2270.6619345208551</v>
      </c>
      <c r="O20" s="717">
        <f t="shared" si="1"/>
        <v>0</v>
      </c>
      <c r="P20" s="717">
        <f t="shared" si="1"/>
        <v>0</v>
      </c>
      <c r="Q20" s="718">
        <f t="shared" si="1"/>
        <v>0</v>
      </c>
      <c r="R20" s="719">
        <f t="shared" si="1"/>
        <v>53708.281185414911</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44.096281685113794</v>
      </c>
      <c r="D22" s="713">
        <f>+landbouw!C8</f>
        <v>0</v>
      </c>
      <c r="E22" s="713">
        <f>+landbouw!D8</f>
        <v>2948.6054951621541</v>
      </c>
      <c r="F22" s="713">
        <f>+landbouw!E8</f>
        <v>0.55566995679339026</v>
      </c>
      <c r="G22" s="713">
        <f>+landbouw!F8</f>
        <v>152.14321859227684</v>
      </c>
      <c r="H22" s="713">
        <f>+landbouw!G8</f>
        <v>0</v>
      </c>
      <c r="I22" s="713">
        <f>+landbouw!H8</f>
        <v>0</v>
      </c>
      <c r="J22" s="713">
        <f>+landbouw!I8</f>
        <v>0</v>
      </c>
      <c r="K22" s="713">
        <f>+landbouw!J8</f>
        <v>6.6315794966023427</v>
      </c>
      <c r="L22" s="713">
        <f>+landbouw!K8</f>
        <v>0</v>
      </c>
      <c r="M22" s="713">
        <f>+landbouw!L8</f>
        <v>0</v>
      </c>
      <c r="N22" s="713">
        <f>+landbouw!M8</f>
        <v>0</v>
      </c>
      <c r="O22" s="713">
        <f>+landbouw!N8</f>
        <v>0</v>
      </c>
      <c r="P22" s="713">
        <f>+landbouw!O8</f>
        <v>0</v>
      </c>
      <c r="Q22" s="714">
        <f>+landbouw!P8</f>
        <v>0</v>
      </c>
      <c r="R22" s="715">
        <f>SUM(C22:Q22)</f>
        <v>3152.0322448929401</v>
      </c>
      <c r="S22" s="67"/>
    </row>
    <row r="23" spans="1:19" s="459" customFormat="1" ht="17.25" thickTop="1" thickBot="1">
      <c r="A23" s="720" t="s">
        <v>116</v>
      </c>
      <c r="B23" s="852"/>
      <c r="C23" s="721">
        <f ca="1">C20+C15+C22</f>
        <v>66028.647086674886</v>
      </c>
      <c r="D23" s="721">
        <f t="shared" ref="D23:Q23" ca="1" si="2">D20+D15+D22</f>
        <v>115.71428571428572</v>
      </c>
      <c r="E23" s="721">
        <f t="shared" ca="1" si="2"/>
        <v>108793.55186737514</v>
      </c>
      <c r="F23" s="721">
        <f t="shared" si="2"/>
        <v>2376.7135931588646</v>
      </c>
      <c r="G23" s="721">
        <f t="shared" ca="1" si="2"/>
        <v>11785.610709526771</v>
      </c>
      <c r="H23" s="721">
        <f t="shared" si="2"/>
        <v>43432.272260340796</v>
      </c>
      <c r="I23" s="721">
        <f t="shared" si="2"/>
        <v>7291.9013124865487</v>
      </c>
      <c r="J23" s="721">
        <f t="shared" si="2"/>
        <v>0</v>
      </c>
      <c r="K23" s="721">
        <f t="shared" si="2"/>
        <v>13.859936369345483</v>
      </c>
      <c r="L23" s="721">
        <f t="shared" si="2"/>
        <v>0</v>
      </c>
      <c r="M23" s="721">
        <f t="shared" ca="1" si="2"/>
        <v>0</v>
      </c>
      <c r="N23" s="721">
        <f t="shared" si="2"/>
        <v>2270.6619345208551</v>
      </c>
      <c r="O23" s="721">
        <f t="shared" ca="1" si="2"/>
        <v>8056.599701109445</v>
      </c>
      <c r="P23" s="721">
        <f t="shared" si="2"/>
        <v>53.153333333333336</v>
      </c>
      <c r="Q23" s="722">
        <f t="shared" si="2"/>
        <v>114.4</v>
      </c>
      <c r="R23" s="723">
        <f ca="1">R20+R15+R22</f>
        <v>250333.08602061027</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8020.5731002927987</v>
      </c>
      <c r="D36" s="704">
        <f ca="1">tertiair!C20</f>
        <v>27.499159663865555</v>
      </c>
      <c r="E36" s="704">
        <f ca="1">tertiair!D20</f>
        <v>5290.7647271534943</v>
      </c>
      <c r="F36" s="704">
        <f>tertiair!E20</f>
        <v>144.16084174807892</v>
      </c>
      <c r="G36" s="704">
        <f ca="1">tertiair!F20</f>
        <v>2000.4416833057246</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15483.439512163961</v>
      </c>
    </row>
    <row r="37" spans="1:18">
      <c r="A37" s="873" t="s">
        <v>225</v>
      </c>
      <c r="B37" s="880"/>
      <c r="C37" s="704">
        <f ca="1">huishoudens!B12</f>
        <v>3122.8804278786329</v>
      </c>
      <c r="D37" s="704">
        <f ca="1">huishoudens!C12</f>
        <v>0</v>
      </c>
      <c r="E37" s="704">
        <f>huishoudens!D12</f>
        <v>11224.666560283315</v>
      </c>
      <c r="F37" s="704">
        <f>huishoudens!E12</f>
        <v>90.60073056548535</v>
      </c>
      <c r="G37" s="704">
        <f>huishoudens!F12</f>
        <v>0</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14438.147718727432</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1698.8401063171493</v>
      </c>
      <c r="D39" s="704">
        <f ca="1">industrie!C22</f>
        <v>0</v>
      </c>
      <c r="E39" s="704">
        <f>industrie!D22</f>
        <v>4864.2735252921048</v>
      </c>
      <c r="F39" s="704">
        <f>industrie!E22</f>
        <v>270.55217777177927</v>
      </c>
      <c r="G39" s="704">
        <f>industrie!F22</f>
        <v>1105.6941367737854</v>
      </c>
      <c r="H39" s="704">
        <f>industrie!G22</f>
        <v>0</v>
      </c>
      <c r="I39" s="704">
        <f>industrie!H22</f>
        <v>0</v>
      </c>
      <c r="J39" s="704">
        <f>industrie!I22</f>
        <v>0</v>
      </c>
      <c r="K39" s="704">
        <f>industrie!J22</f>
        <v>2.5588383329510718</v>
      </c>
      <c r="L39" s="704">
        <f>industrie!K22</f>
        <v>0</v>
      </c>
      <c r="M39" s="704">
        <f>industrie!L22</f>
        <v>0</v>
      </c>
      <c r="N39" s="704">
        <f>industrie!M22</f>
        <v>0</v>
      </c>
      <c r="O39" s="704">
        <f>industrie!N22</f>
        <v>0</v>
      </c>
      <c r="P39" s="704">
        <f>industrie!O22</f>
        <v>0</v>
      </c>
      <c r="Q39" s="814">
        <f>industrie!P22</f>
        <v>0</v>
      </c>
      <c r="R39" s="906">
        <f ca="1">SUM(C39:Q39)</f>
        <v>7941.9187844877706</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12842.29363448858</v>
      </c>
      <c r="D41" s="749">
        <f t="shared" ref="D41:R41" ca="1" si="4">SUM(D35:D40)</f>
        <v>27.499159663865555</v>
      </c>
      <c r="E41" s="749">
        <f t="shared" ca="1" si="4"/>
        <v>21379.704812728913</v>
      </c>
      <c r="F41" s="749">
        <f t="shared" si="4"/>
        <v>505.31375008534354</v>
      </c>
      <c r="G41" s="749">
        <f t="shared" ca="1" si="4"/>
        <v>3106.1358200795103</v>
      </c>
      <c r="H41" s="749">
        <f t="shared" si="4"/>
        <v>0</v>
      </c>
      <c r="I41" s="749">
        <f t="shared" si="4"/>
        <v>0</v>
      </c>
      <c r="J41" s="749">
        <f t="shared" si="4"/>
        <v>0</v>
      </c>
      <c r="K41" s="749">
        <f t="shared" si="4"/>
        <v>2.5588383329510718</v>
      </c>
      <c r="L41" s="749">
        <f t="shared" si="4"/>
        <v>0</v>
      </c>
      <c r="M41" s="749">
        <f t="shared" ca="1" si="4"/>
        <v>0</v>
      </c>
      <c r="N41" s="749">
        <f t="shared" si="4"/>
        <v>0</v>
      </c>
      <c r="O41" s="749">
        <f t="shared" ca="1" si="4"/>
        <v>0</v>
      </c>
      <c r="P41" s="749">
        <f t="shared" si="4"/>
        <v>0</v>
      </c>
      <c r="Q41" s="750">
        <f t="shared" si="4"/>
        <v>0</v>
      </c>
      <c r="R41" s="751">
        <f t="shared" ca="1" si="4"/>
        <v>37863.506015379164</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108.99496752307871</v>
      </c>
      <c r="D44" s="704">
        <f ca="1">transport!C58</f>
        <v>0</v>
      </c>
      <c r="E44" s="704">
        <f>transport!D58</f>
        <v>0</v>
      </c>
      <c r="F44" s="704">
        <f>transport!E58</f>
        <v>0</v>
      </c>
      <c r="G44" s="704">
        <f>transport!F58</f>
        <v>0</v>
      </c>
      <c r="H44" s="704">
        <f>transport!G58</f>
        <v>333.71600334825655</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442.71097087133523</v>
      </c>
    </row>
    <row r="45" spans="1:18" ht="15" thickBot="1">
      <c r="A45" s="876" t="s">
        <v>307</v>
      </c>
      <c r="B45" s="886"/>
      <c r="C45" s="713">
        <f ca="1">transport!B18</f>
        <v>0.63457428728733356</v>
      </c>
      <c r="D45" s="713">
        <f>transport!C18</f>
        <v>0</v>
      </c>
      <c r="E45" s="713">
        <f>transport!D18</f>
        <v>0.97435445810914223</v>
      </c>
      <c r="F45" s="713">
        <f>transport!E18</f>
        <v>34.074098481526676</v>
      </c>
      <c r="G45" s="713">
        <f>transport!F18</f>
        <v>0</v>
      </c>
      <c r="H45" s="713">
        <f>transport!G18</f>
        <v>11262.700690162737</v>
      </c>
      <c r="I45" s="713">
        <f>transport!H18</f>
        <v>1815.6834268091507</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13114.067144198812</v>
      </c>
    </row>
    <row r="46" spans="1:18" ht="15.75" thickBot="1">
      <c r="A46" s="874" t="s">
        <v>230</v>
      </c>
      <c r="B46" s="887"/>
      <c r="C46" s="749">
        <f t="shared" ref="C46:R46" ca="1" si="5">SUM(C43:C45)</f>
        <v>109.62954181036605</v>
      </c>
      <c r="D46" s="749">
        <f t="shared" ca="1" si="5"/>
        <v>0</v>
      </c>
      <c r="E46" s="749">
        <f t="shared" si="5"/>
        <v>0.97435445810914223</v>
      </c>
      <c r="F46" s="749">
        <f t="shared" si="5"/>
        <v>34.074098481526676</v>
      </c>
      <c r="G46" s="749">
        <f t="shared" si="5"/>
        <v>0</v>
      </c>
      <c r="H46" s="749">
        <f t="shared" si="5"/>
        <v>11596.416693510993</v>
      </c>
      <c r="I46" s="749">
        <f t="shared" si="5"/>
        <v>1815.6834268091507</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13556.778115070148</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8.6555359668045657</v>
      </c>
      <c r="D48" s="704">
        <f ca="1">+landbouw!C12</f>
        <v>0</v>
      </c>
      <c r="E48" s="704">
        <f>+landbouw!D12</f>
        <v>595.61831002275517</v>
      </c>
      <c r="F48" s="704">
        <f>+landbouw!E12</f>
        <v>0.1261370801920996</v>
      </c>
      <c r="G48" s="704">
        <f>+landbouw!F12</f>
        <v>40.622239364137918</v>
      </c>
      <c r="H48" s="704">
        <f>+landbouw!G12</f>
        <v>0</v>
      </c>
      <c r="I48" s="704">
        <f>+landbouw!H12</f>
        <v>0</v>
      </c>
      <c r="J48" s="704">
        <f>+landbouw!I12</f>
        <v>0</v>
      </c>
      <c r="K48" s="704">
        <f>+landbouw!J12</f>
        <v>2.3475791417972292</v>
      </c>
      <c r="L48" s="704">
        <f>+landbouw!K12</f>
        <v>0</v>
      </c>
      <c r="M48" s="704">
        <f>+landbouw!L12</f>
        <v>0</v>
      </c>
      <c r="N48" s="704">
        <f>+landbouw!M12</f>
        <v>0</v>
      </c>
      <c r="O48" s="704">
        <f>+landbouw!N12</f>
        <v>0</v>
      </c>
      <c r="P48" s="704">
        <f>+landbouw!O12</f>
        <v>0</v>
      </c>
      <c r="Q48" s="705">
        <f>+landbouw!P12</f>
        <v>0</v>
      </c>
      <c r="R48" s="747">
        <f ca="1">SUM(C48:Q48)</f>
        <v>647.36980157568701</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12960.578712265751</v>
      </c>
      <c r="D53" s="759">
        <f t="shared" ref="D53:Q53" ca="1" si="6">D41+D46+D48</f>
        <v>27.499159663865555</v>
      </c>
      <c r="E53" s="759">
        <f t="shared" ca="1" si="6"/>
        <v>21976.297477209777</v>
      </c>
      <c r="F53" s="759">
        <f t="shared" si="6"/>
        <v>539.51398564706221</v>
      </c>
      <c r="G53" s="759">
        <f t="shared" ca="1" si="6"/>
        <v>3146.7580594436481</v>
      </c>
      <c r="H53" s="759">
        <f t="shared" si="6"/>
        <v>11596.416693510993</v>
      </c>
      <c r="I53" s="759">
        <f t="shared" si="6"/>
        <v>1815.6834268091507</v>
      </c>
      <c r="J53" s="759">
        <f t="shared" si="6"/>
        <v>0</v>
      </c>
      <c r="K53" s="759">
        <f t="shared" si="6"/>
        <v>4.9064174747483005</v>
      </c>
      <c r="L53" s="759">
        <f t="shared" si="6"/>
        <v>0</v>
      </c>
      <c r="M53" s="759">
        <f t="shared" ca="1" si="6"/>
        <v>0</v>
      </c>
      <c r="N53" s="759">
        <f t="shared" si="6"/>
        <v>0</v>
      </c>
      <c r="O53" s="759">
        <f t="shared" ca="1" si="6"/>
        <v>0</v>
      </c>
      <c r="P53" s="759">
        <f>P41+P46+P48</f>
        <v>0</v>
      </c>
      <c r="Q53" s="760">
        <f t="shared" si="6"/>
        <v>0</v>
      </c>
      <c r="R53" s="761">
        <f ca="1">R41+R46+R48</f>
        <v>52067.653932025001</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0.19628720690358201</v>
      </c>
      <c r="D55" s="824">
        <f t="shared" ca="1" si="7"/>
        <v>0.23764705882352946</v>
      </c>
      <c r="E55" s="824">
        <f t="shared" ca="1" si="7"/>
        <v>0.20199999999999999</v>
      </c>
      <c r="F55" s="824">
        <f t="shared" si="7"/>
        <v>0.22699999999999998</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638.98654708520189</v>
      </c>
      <c r="C65" s="781">
        <f>'lokale energieproductie'!B5</f>
        <v>638.98654708520189</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6750.6094061007789</v>
      </c>
      <c r="C66" s="781">
        <f>'lokale energieproductie'!B6</f>
        <v>6750.6094061007789</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81</v>
      </c>
      <c r="C67" s="780">
        <f>B67*IFERROR(SUM(J67:L67)/SUM(D67:M67),0)</f>
        <v>0</v>
      </c>
      <c r="D67" s="812">
        <f>'lokale energieproductie'!C7</f>
        <v>95.294117647058826</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19.249411764705883</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7470.5959531859808</v>
      </c>
      <c r="C69" s="789">
        <f>SUM(C64:C68)</f>
        <v>7389.5959531859808</v>
      </c>
      <c r="D69" s="790">
        <f t="shared" ref="D69:M69" si="8">SUM(D67:D68)</f>
        <v>95.294117647058826</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19.249411764705883</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115.71428571428572</v>
      </c>
      <c r="C78" s="803">
        <f>B78*IFERROR(SUM(I78:L78)/SUM(D78:M78),0)</f>
        <v>0</v>
      </c>
      <c r="D78" s="818">
        <f>'lokale energieproductie'!C16</f>
        <v>136.13445378151263</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27.499159663865555</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115.71428571428572</v>
      </c>
      <c r="C81" s="789">
        <f>SUM(C78:C80)</f>
        <v>0</v>
      </c>
      <c r="D81" s="789">
        <f t="shared" ref="D81:P81" si="9">SUM(D78:D80)</f>
        <v>136.13445378151263</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27.499159663865555</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15909.750192800995</v>
      </c>
      <c r="C4" s="463">
        <f>huishoudens!C8</f>
        <v>0</v>
      </c>
      <c r="D4" s="463">
        <f>huishoudens!D8</f>
        <v>55567.656239026306</v>
      </c>
      <c r="E4" s="463">
        <f>huishoudens!E8</f>
        <v>399.12216108143326</v>
      </c>
      <c r="F4" s="463">
        <f>huishoudens!F8</f>
        <v>0</v>
      </c>
      <c r="G4" s="463">
        <f>huishoudens!G8</f>
        <v>0</v>
      </c>
      <c r="H4" s="463">
        <f>huishoudens!H8</f>
        <v>0</v>
      </c>
      <c r="I4" s="463">
        <f>huishoudens!I8</f>
        <v>0</v>
      </c>
      <c r="J4" s="463">
        <f>huishoudens!J8</f>
        <v>0</v>
      </c>
      <c r="K4" s="463">
        <f>huishoudens!K8</f>
        <v>0</v>
      </c>
      <c r="L4" s="463">
        <f>huishoudens!L8</f>
        <v>0</v>
      </c>
      <c r="M4" s="463">
        <f>huishoudens!M8</f>
        <v>0</v>
      </c>
      <c r="N4" s="463">
        <f>huishoudens!N8</f>
        <v>4760.8908927918073</v>
      </c>
      <c r="O4" s="463">
        <f>huishoudens!O8</f>
        <v>53.153333333333336</v>
      </c>
      <c r="P4" s="464">
        <f>huishoudens!P8</f>
        <v>114.4</v>
      </c>
      <c r="Q4" s="465">
        <f>SUM(B4:P4)</f>
        <v>76804.972819033879</v>
      </c>
    </row>
    <row r="5" spans="1:17">
      <c r="A5" s="462" t="s">
        <v>156</v>
      </c>
      <c r="B5" s="463">
        <f ca="1">tertiair!B16</f>
        <v>40187.075406621858</v>
      </c>
      <c r="C5" s="463">
        <f ca="1">tertiair!C16</f>
        <v>115.71428571428572</v>
      </c>
      <c r="D5" s="463">
        <f ca="1">tertiair!D16</f>
        <v>26191.90458986878</v>
      </c>
      <c r="E5" s="463">
        <f>tertiair!E16</f>
        <v>635.06978743647096</v>
      </c>
      <c r="F5" s="463">
        <f ca="1">tertiair!F16</f>
        <v>7492.290948710579</v>
      </c>
      <c r="G5" s="463">
        <f>tertiair!G16</f>
        <v>0</v>
      </c>
      <c r="H5" s="463">
        <f>tertiair!H16</f>
        <v>0</v>
      </c>
      <c r="I5" s="463">
        <f>tertiair!I16</f>
        <v>0</v>
      </c>
      <c r="J5" s="463">
        <f>tertiair!J16</f>
        <v>0</v>
      </c>
      <c r="K5" s="463">
        <f>tertiair!K16</f>
        <v>0</v>
      </c>
      <c r="L5" s="463">
        <f ca="1">tertiair!L16</f>
        <v>0</v>
      </c>
      <c r="M5" s="463">
        <f>tertiair!M16</f>
        <v>0</v>
      </c>
      <c r="N5" s="463">
        <f ca="1">tertiair!N16</f>
        <v>843.38312388811687</v>
      </c>
      <c r="O5" s="463">
        <f>tertiair!O16</f>
        <v>0</v>
      </c>
      <c r="P5" s="464">
        <f>tertiair!P16</f>
        <v>0</v>
      </c>
      <c r="Q5" s="462">
        <f t="shared" ref="Q5:Q13" ca="1" si="0">SUM(B5:P5)</f>
        <v>75465.438142240077</v>
      </c>
    </row>
    <row r="6" spans="1:17">
      <c r="A6" s="462" t="s">
        <v>194</v>
      </c>
      <c r="B6" s="463">
        <f>'openbare verlichting'!B8</f>
        <v>674.34</v>
      </c>
      <c r="C6" s="463"/>
      <c r="D6" s="463"/>
      <c r="E6" s="463"/>
      <c r="F6" s="463"/>
      <c r="G6" s="463"/>
      <c r="H6" s="463"/>
      <c r="I6" s="463"/>
      <c r="J6" s="463"/>
      <c r="K6" s="463"/>
      <c r="L6" s="463"/>
      <c r="M6" s="463"/>
      <c r="N6" s="463"/>
      <c r="O6" s="463"/>
      <c r="P6" s="464"/>
      <c r="Q6" s="462">
        <f t="shared" si="0"/>
        <v>674.34</v>
      </c>
    </row>
    <row r="7" spans="1:17">
      <c r="A7" s="462" t="s">
        <v>112</v>
      </c>
      <c r="B7" s="463">
        <f>landbouw!B8</f>
        <v>44.096281685113794</v>
      </c>
      <c r="C7" s="463">
        <f>landbouw!C8</f>
        <v>0</v>
      </c>
      <c r="D7" s="463">
        <f>landbouw!D8</f>
        <v>2948.6054951621541</v>
      </c>
      <c r="E7" s="463">
        <f>landbouw!E8</f>
        <v>0.55566995679339026</v>
      </c>
      <c r="F7" s="463">
        <f>landbouw!F8</f>
        <v>152.14321859227684</v>
      </c>
      <c r="G7" s="463">
        <f>landbouw!G8</f>
        <v>0</v>
      </c>
      <c r="H7" s="463">
        <f>landbouw!H8</f>
        <v>0</v>
      </c>
      <c r="I7" s="463">
        <f>landbouw!I8</f>
        <v>0</v>
      </c>
      <c r="J7" s="463">
        <f>landbouw!J8</f>
        <v>6.6315794966023427</v>
      </c>
      <c r="K7" s="463">
        <f>landbouw!K8</f>
        <v>0</v>
      </c>
      <c r="L7" s="463">
        <f>landbouw!L8</f>
        <v>0</v>
      </c>
      <c r="M7" s="463">
        <f>landbouw!M8</f>
        <v>0</v>
      </c>
      <c r="N7" s="463">
        <f>landbouw!N8</f>
        <v>0</v>
      </c>
      <c r="O7" s="463">
        <f>landbouw!O8</f>
        <v>0</v>
      </c>
      <c r="P7" s="464">
        <f>landbouw!P8</f>
        <v>0</v>
      </c>
      <c r="Q7" s="462">
        <f t="shared" si="0"/>
        <v>3152.0322448929401</v>
      </c>
    </row>
    <row r="8" spans="1:17">
      <c r="A8" s="462" t="s">
        <v>657</v>
      </c>
      <c r="B8" s="463">
        <f>industrie!B18</f>
        <v>8654.8692251331195</v>
      </c>
      <c r="C8" s="463">
        <f>industrie!C18</f>
        <v>0</v>
      </c>
      <c r="D8" s="463">
        <f>industrie!D18</f>
        <v>24080.562006396558</v>
      </c>
      <c r="E8" s="463">
        <f>industrie!E18</f>
        <v>1191.8598139725959</v>
      </c>
      <c r="F8" s="463">
        <f>industrie!F18</f>
        <v>4141.176542223915</v>
      </c>
      <c r="G8" s="463">
        <f>industrie!G18</f>
        <v>0</v>
      </c>
      <c r="H8" s="463">
        <f>industrie!H18</f>
        <v>0</v>
      </c>
      <c r="I8" s="463">
        <f>industrie!I18</f>
        <v>0</v>
      </c>
      <c r="J8" s="463">
        <f>industrie!J18</f>
        <v>7.2283568727431415</v>
      </c>
      <c r="K8" s="463">
        <f>industrie!K18</f>
        <v>0</v>
      </c>
      <c r="L8" s="463">
        <f>industrie!L18</f>
        <v>0</v>
      </c>
      <c r="M8" s="463">
        <f>industrie!M18</f>
        <v>0</v>
      </c>
      <c r="N8" s="463">
        <f>industrie!N18</f>
        <v>2452.3256844295211</v>
      </c>
      <c r="O8" s="463">
        <f>industrie!O18</f>
        <v>0</v>
      </c>
      <c r="P8" s="464">
        <f>industrie!P18</f>
        <v>0</v>
      </c>
      <c r="Q8" s="462">
        <f t="shared" si="0"/>
        <v>40528.021629028459</v>
      </c>
    </row>
    <row r="9" spans="1:17" s="468" customFormat="1">
      <c r="A9" s="466" t="s">
        <v>574</v>
      </c>
      <c r="B9" s="467">
        <f>transport!B14</f>
        <v>3.2328866322859335</v>
      </c>
      <c r="C9" s="467">
        <f>transport!C14</f>
        <v>0</v>
      </c>
      <c r="D9" s="467">
        <f>transport!D14</f>
        <v>4.8235369213323871</v>
      </c>
      <c r="E9" s="467">
        <f>transport!E14</f>
        <v>150.10616071157125</v>
      </c>
      <c r="F9" s="467">
        <f>transport!F14</f>
        <v>0</v>
      </c>
      <c r="G9" s="467">
        <f>transport!G14</f>
        <v>42182.399588624481</v>
      </c>
      <c r="H9" s="467">
        <f>transport!H14</f>
        <v>7291.9013124865487</v>
      </c>
      <c r="I9" s="467">
        <f>transport!I14</f>
        <v>0</v>
      </c>
      <c r="J9" s="467">
        <f>transport!J14</f>
        <v>0</v>
      </c>
      <c r="K9" s="467">
        <f>transport!K14</f>
        <v>0</v>
      </c>
      <c r="L9" s="467">
        <f>transport!L14</f>
        <v>0</v>
      </c>
      <c r="M9" s="467">
        <f>transport!M14</f>
        <v>2215.0770397255919</v>
      </c>
      <c r="N9" s="467">
        <f>transport!N14</f>
        <v>0</v>
      </c>
      <c r="O9" s="467">
        <f>transport!O14</f>
        <v>0</v>
      </c>
      <c r="P9" s="467">
        <f>transport!P14</f>
        <v>0</v>
      </c>
      <c r="Q9" s="466">
        <f>SUM(B9:P9)</f>
        <v>51847.540525101816</v>
      </c>
    </row>
    <row r="10" spans="1:17">
      <c r="A10" s="462" t="s">
        <v>564</v>
      </c>
      <c r="B10" s="463">
        <f>transport!B54</f>
        <v>555.2830938015129</v>
      </c>
      <c r="C10" s="463">
        <f>transport!C54</f>
        <v>0</v>
      </c>
      <c r="D10" s="463">
        <f>transport!D54</f>
        <v>0</v>
      </c>
      <c r="E10" s="463">
        <f>transport!E54</f>
        <v>0</v>
      </c>
      <c r="F10" s="463">
        <f>transport!F54</f>
        <v>0</v>
      </c>
      <c r="G10" s="463">
        <f>transport!G54</f>
        <v>1249.8726717163165</v>
      </c>
      <c r="H10" s="463">
        <f>transport!H54</f>
        <v>0</v>
      </c>
      <c r="I10" s="463">
        <f>transport!I54</f>
        <v>0</v>
      </c>
      <c r="J10" s="463">
        <f>transport!J54</f>
        <v>0</v>
      </c>
      <c r="K10" s="463">
        <f>transport!K54</f>
        <v>0</v>
      </c>
      <c r="L10" s="463">
        <f>transport!L54</f>
        <v>0</v>
      </c>
      <c r="M10" s="463">
        <f>transport!M54</f>
        <v>55.584894795263246</v>
      </c>
      <c r="N10" s="463">
        <f>transport!N54</f>
        <v>0</v>
      </c>
      <c r="O10" s="463">
        <f>transport!O54</f>
        <v>0</v>
      </c>
      <c r="P10" s="464">
        <f>transport!P54</f>
        <v>0</v>
      </c>
      <c r="Q10" s="462">
        <f t="shared" si="0"/>
        <v>1860.7406603130926</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66028.647086674886</v>
      </c>
      <c r="C14" s="473">
        <f t="shared" ref="C14:Q14" ca="1" si="1">SUM(C4:C13)</f>
        <v>115.71428571428572</v>
      </c>
      <c r="D14" s="473">
        <f t="shared" ca="1" si="1"/>
        <v>108793.55186737514</v>
      </c>
      <c r="E14" s="473">
        <f t="shared" si="1"/>
        <v>2376.7135931588646</v>
      </c>
      <c r="F14" s="473">
        <f t="shared" ca="1" si="1"/>
        <v>11785.610709526771</v>
      </c>
      <c r="G14" s="473">
        <f t="shared" si="1"/>
        <v>43432.272260340796</v>
      </c>
      <c r="H14" s="473">
        <f t="shared" si="1"/>
        <v>7291.9013124865487</v>
      </c>
      <c r="I14" s="473">
        <f t="shared" si="1"/>
        <v>0</v>
      </c>
      <c r="J14" s="473">
        <f t="shared" si="1"/>
        <v>13.859936369345483</v>
      </c>
      <c r="K14" s="473">
        <f t="shared" si="1"/>
        <v>0</v>
      </c>
      <c r="L14" s="473">
        <f t="shared" ca="1" si="1"/>
        <v>0</v>
      </c>
      <c r="M14" s="473">
        <f t="shared" si="1"/>
        <v>2270.6619345208551</v>
      </c>
      <c r="N14" s="473">
        <f t="shared" ca="1" si="1"/>
        <v>8056.599701109445</v>
      </c>
      <c r="O14" s="473">
        <f t="shared" si="1"/>
        <v>53.153333333333336</v>
      </c>
      <c r="P14" s="474">
        <f t="shared" si="1"/>
        <v>114.4</v>
      </c>
      <c r="Q14" s="474">
        <f t="shared" ca="1" si="1"/>
        <v>250333.08602061024</v>
      </c>
    </row>
    <row r="16" spans="1:17">
      <c r="A16" s="476" t="s">
        <v>569</v>
      </c>
      <c r="B16" s="829">
        <f ca="1">huishoudens!B10</f>
        <v>0.19628720690358203</v>
      </c>
      <c r="C16" s="829">
        <f ca="1">huishoudens!C10</f>
        <v>0.23764705882352946</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3122.8804278786329</v>
      </c>
      <c r="C21" s="463">
        <f t="shared" ref="C21:C30" ca="1" si="3">C4*$C$16</f>
        <v>0</v>
      </c>
      <c r="D21" s="463">
        <f t="shared" ref="D21:D30" si="4">D4*$D$16</f>
        <v>11224.666560283315</v>
      </c>
      <c r="E21" s="463">
        <f t="shared" ref="E21:E30" si="5">E4*$E$16</f>
        <v>90.60073056548535</v>
      </c>
      <c r="F21" s="463">
        <f t="shared" ref="F21:F30" si="6">F4*$F$16</f>
        <v>0</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14438.147718727432</v>
      </c>
    </row>
    <row r="22" spans="1:17">
      <c r="A22" s="462" t="s">
        <v>156</v>
      </c>
      <c r="B22" s="463">
        <f t="shared" ca="1" si="2"/>
        <v>7888.2087851894375</v>
      </c>
      <c r="C22" s="463">
        <f t="shared" ca="1" si="3"/>
        <v>27.499159663865555</v>
      </c>
      <c r="D22" s="463">
        <f t="shared" ca="1" si="4"/>
        <v>5290.7647271534943</v>
      </c>
      <c r="E22" s="463">
        <f t="shared" si="5"/>
        <v>144.16084174807892</v>
      </c>
      <c r="F22" s="463">
        <f t="shared" ca="1" si="6"/>
        <v>2000.4416833057246</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15351.0751970606</v>
      </c>
    </row>
    <row r="23" spans="1:17">
      <c r="A23" s="462" t="s">
        <v>194</v>
      </c>
      <c r="B23" s="463">
        <f t="shared" ca="1" si="2"/>
        <v>132.36431510336152</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132.36431510336152</v>
      </c>
    </row>
    <row r="24" spans="1:17">
      <c r="A24" s="462" t="s">
        <v>112</v>
      </c>
      <c r="B24" s="463">
        <f t="shared" ca="1" si="2"/>
        <v>8.6555359668045657</v>
      </c>
      <c r="C24" s="463">
        <f t="shared" ca="1" si="3"/>
        <v>0</v>
      </c>
      <c r="D24" s="463">
        <f t="shared" si="4"/>
        <v>595.61831002275517</v>
      </c>
      <c r="E24" s="463">
        <f t="shared" si="5"/>
        <v>0.1261370801920996</v>
      </c>
      <c r="F24" s="463">
        <f t="shared" si="6"/>
        <v>40.622239364137918</v>
      </c>
      <c r="G24" s="463">
        <f t="shared" si="7"/>
        <v>0</v>
      </c>
      <c r="H24" s="463">
        <f t="shared" si="8"/>
        <v>0</v>
      </c>
      <c r="I24" s="463">
        <f t="shared" si="9"/>
        <v>0</v>
      </c>
      <c r="J24" s="463">
        <f t="shared" si="10"/>
        <v>2.3475791417972292</v>
      </c>
      <c r="K24" s="463">
        <f t="shared" si="11"/>
        <v>0</v>
      </c>
      <c r="L24" s="463">
        <f t="shared" si="12"/>
        <v>0</v>
      </c>
      <c r="M24" s="463">
        <f t="shared" si="13"/>
        <v>0</v>
      </c>
      <c r="N24" s="463">
        <f t="shared" si="14"/>
        <v>0</v>
      </c>
      <c r="O24" s="463">
        <f t="shared" si="15"/>
        <v>0</v>
      </c>
      <c r="P24" s="464">
        <f t="shared" si="16"/>
        <v>0</v>
      </c>
      <c r="Q24" s="462">
        <f t="shared" ca="1" si="17"/>
        <v>647.36980157568701</v>
      </c>
    </row>
    <row r="25" spans="1:17">
      <c r="A25" s="462" t="s">
        <v>657</v>
      </c>
      <c r="B25" s="463">
        <f t="shared" ca="1" si="2"/>
        <v>1698.8401063171493</v>
      </c>
      <c r="C25" s="463">
        <f t="shared" ca="1" si="3"/>
        <v>0</v>
      </c>
      <c r="D25" s="463">
        <f t="shared" si="4"/>
        <v>4864.2735252921048</v>
      </c>
      <c r="E25" s="463">
        <f t="shared" si="5"/>
        <v>270.55217777177927</v>
      </c>
      <c r="F25" s="463">
        <f t="shared" si="6"/>
        <v>1105.6941367737854</v>
      </c>
      <c r="G25" s="463">
        <f t="shared" si="7"/>
        <v>0</v>
      </c>
      <c r="H25" s="463">
        <f t="shared" si="8"/>
        <v>0</v>
      </c>
      <c r="I25" s="463">
        <f t="shared" si="9"/>
        <v>0</v>
      </c>
      <c r="J25" s="463">
        <f t="shared" si="10"/>
        <v>2.5588383329510718</v>
      </c>
      <c r="K25" s="463">
        <f t="shared" si="11"/>
        <v>0</v>
      </c>
      <c r="L25" s="463">
        <f t="shared" si="12"/>
        <v>0</v>
      </c>
      <c r="M25" s="463">
        <f t="shared" si="13"/>
        <v>0</v>
      </c>
      <c r="N25" s="463">
        <f t="shared" si="14"/>
        <v>0</v>
      </c>
      <c r="O25" s="463">
        <f t="shared" si="15"/>
        <v>0</v>
      </c>
      <c r="P25" s="464">
        <f t="shared" si="16"/>
        <v>0</v>
      </c>
      <c r="Q25" s="462">
        <f t="shared" ca="1" si="17"/>
        <v>7941.9187844877706</v>
      </c>
    </row>
    <row r="26" spans="1:17" s="468" customFormat="1">
      <c r="A26" s="466" t="s">
        <v>574</v>
      </c>
      <c r="B26" s="823">
        <f t="shared" ca="1" si="2"/>
        <v>0.63457428728733356</v>
      </c>
      <c r="C26" s="467">
        <f t="shared" ca="1" si="3"/>
        <v>0</v>
      </c>
      <c r="D26" s="467">
        <f t="shared" si="4"/>
        <v>0.97435445810914223</v>
      </c>
      <c r="E26" s="467">
        <f t="shared" si="5"/>
        <v>34.074098481526676</v>
      </c>
      <c r="F26" s="467">
        <f t="shared" si="6"/>
        <v>0</v>
      </c>
      <c r="G26" s="467">
        <f t="shared" si="7"/>
        <v>11262.700690162737</v>
      </c>
      <c r="H26" s="467">
        <f t="shared" si="8"/>
        <v>1815.6834268091507</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13114.067144198812</v>
      </c>
    </row>
    <row r="27" spans="1:17">
      <c r="A27" s="462" t="s">
        <v>564</v>
      </c>
      <c r="B27" s="463">
        <f t="shared" ca="1" si="2"/>
        <v>108.99496752307871</v>
      </c>
      <c r="C27" s="463">
        <f t="shared" ca="1" si="3"/>
        <v>0</v>
      </c>
      <c r="D27" s="463">
        <f t="shared" si="4"/>
        <v>0</v>
      </c>
      <c r="E27" s="463">
        <f t="shared" si="5"/>
        <v>0</v>
      </c>
      <c r="F27" s="463">
        <f t="shared" si="6"/>
        <v>0</v>
      </c>
      <c r="G27" s="463">
        <f t="shared" si="7"/>
        <v>333.71600334825655</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442.71097087133523</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12960.578712265751</v>
      </c>
      <c r="C31" s="473">
        <f t="shared" ca="1" si="18"/>
        <v>27.499159663865555</v>
      </c>
      <c r="D31" s="473">
        <f t="shared" ca="1" si="18"/>
        <v>21976.297477209777</v>
      </c>
      <c r="E31" s="473">
        <f t="shared" si="18"/>
        <v>539.51398564706233</v>
      </c>
      <c r="F31" s="473">
        <f t="shared" ca="1" si="18"/>
        <v>3146.7580594436477</v>
      </c>
      <c r="G31" s="473">
        <f t="shared" si="18"/>
        <v>11596.416693510993</v>
      </c>
      <c r="H31" s="473">
        <f t="shared" si="18"/>
        <v>1815.6834268091507</v>
      </c>
      <c r="I31" s="473">
        <f t="shared" si="18"/>
        <v>0</v>
      </c>
      <c r="J31" s="473">
        <f t="shared" si="18"/>
        <v>4.9064174747483005</v>
      </c>
      <c r="K31" s="473">
        <f t="shared" si="18"/>
        <v>0</v>
      </c>
      <c r="L31" s="473">
        <f t="shared" ca="1" si="18"/>
        <v>0</v>
      </c>
      <c r="M31" s="473">
        <f t="shared" si="18"/>
        <v>0</v>
      </c>
      <c r="N31" s="473">
        <f t="shared" ca="1" si="18"/>
        <v>0</v>
      </c>
      <c r="O31" s="473">
        <f t="shared" si="18"/>
        <v>0</v>
      </c>
      <c r="P31" s="474">
        <f t="shared" si="18"/>
        <v>0</v>
      </c>
      <c r="Q31" s="474">
        <f t="shared" ca="1" si="18"/>
        <v>52067.653932024994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0.19628720690358203</v>
      </c>
      <c r="C17" s="513">
        <f ca="1">'EF ele_warmte'!B22</f>
        <v>0.23764705882352946</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0.19628720690358203</v>
      </c>
      <c r="C17" s="513">
        <f ca="1">'EF ele_warmte'!B22</f>
        <v>0.23764705882352946</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0.19628720690358203</v>
      </c>
      <c r="C29" s="514">
        <f ca="1">'EF ele_warmte'!B22</f>
        <v>0.23764705882352946</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2018-06-27T09:28:53Z</dcterms:modified>
</cp:coreProperties>
</file>