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<sst xmlns="http://schemas.openxmlformats.org/spreadsheetml/2006/main" count="1961" uniqueCount="840">
  <si>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</si>
  <si>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</si>
  <si>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</si>
  <si>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</si>
  <si>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</si>
  <si>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</si>
  <si>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</si>
  <si>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</si>
  <si>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</si>
  <si>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</si>
  <si>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</si>
  <si>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</si>
  <si>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</si>
  <si>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</si>
  <si>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</si>
  <si>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</si>
  <si>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</si>
  <si>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</si>
  <si>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</si>
  <si>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</si>
  <si>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</si>
  <si>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</si>
  <si>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</si>
  <si>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</si>
  <si>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</si>
  <si>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</si>
  <si>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</si>
  <si>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</si>
  <si>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</si>
  <si>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</si>
  <si>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</si>
  <si>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</si>
  <si>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</si>
  <si>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</si>
  <si>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</si>
  <si>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</si>
  <si>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</si>
  <si>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</si>
  <si>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</si>
  <si>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</si>
  <si>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</si>
  <si>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</si>
  <si>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</si>
  <si>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</si>
  <si>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</si>
  <si>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</si>
  <si>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</si>
  <si>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</si>
  <si>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</si>
  <si>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</si>
  <si>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</si>
  <si>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</si>
  <si>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</si>
  <si>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</si>
  <si>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</si>
  <si>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</si>
  <si>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</si>
  <si>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</si>
  <si>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</si>
  <si>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</si>
  <si>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</si>
  <si>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</si>
  <si>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</si>
  <si>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</si>
  <si>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</si>
  <si>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</si>
  <si>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</si>
  <si>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</si>
  <si>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</si>
  <si>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</si>
  <si>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</si>
  <si>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</si>
  <si>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</si>
  <si>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</si>
  <si>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</si>
  <si>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</si>
  <si>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</si>
  <si>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</si>
  <si>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</si>
  <si>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</si>
  <si>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</si>
  <si>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</si>
  <si>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</si>
  <si>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</si>
  <si>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</si>
  <si>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</si>
  <si>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</si>
  <si>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</si>
  <si>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</si>
  <si>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</si>
  <si>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</si>
  <si>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</si>
  <si>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</si>
  <si>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</si>
  <si>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</si>
  <si>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</si>
  <si>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</si>
  <si>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</si>
  <si>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</si>
  <si>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</si>
  <si>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</si>
  <si>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</si>
  <si>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</si>
  <si>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</si>
  <si>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</si>
  <si>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</si>
  <si>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</si>
  <si>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</si>
  <si>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</si>
  <si>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</si>
  <si>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</si>
  <si>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</si>
  <si>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</si>
  <si>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</si>
  <si>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</si>
  <si>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</si>
  <si>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</si>
  <si>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</si>
  <si>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</si>
  <si>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</si>
  <si>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</si>
  <si>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</si>
  <si>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</si>
  <si>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</si>
  <si>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</si>
  <si>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</si>
  <si>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</si>
  <si>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</si>
  <si>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</si>
  <si>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</si>
  <si>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</si>
  <si>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</si>
  <si>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</si>
  <si>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</si>
  <si>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</si>
  <si>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</si>
  <si>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</si>
  <si>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</si>
  <si>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</si>
  <si>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</si>
  <si>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</si>
  <si>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</si>
  <si>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</si>
  <si>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</si>
  <si>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</si>
  <si>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</si>
  <si>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</si>
  <si>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</si>
  <si>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</si>
  <si>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</si>
  <si>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</si>
  <si>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</si>
  <si>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</si>
  <si>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</si>
  <si>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</si>
  <si>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</si>
  <si>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</si>
  <si>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</si>
  <si>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</si>
  <si>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</si>
  <si>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</si>
  <si>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</si>
  <si>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</si>
  <si>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</si>
  <si>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</si>
  <si>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</si>
  <si>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</si>
  <si>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</si>
  <si>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</si>
  <si>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</si>
  <si>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</si>
  <si>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</si>
  <si>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</si>
  <si>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</si>
  <si>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</si>
  <si>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</si>
  <si>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</si>
  <si>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</si>
  <si>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</si>
  <si>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</si>
  <si>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</si>
  <si>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</si>
  <si>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</si>
  <si>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</si>
  <si>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</si>
  <si>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</si>
  <si>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</si>
  <si>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</si>
  <si>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</si>
  <si>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</si>
  <si>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</si>
  <si>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</si>
  <si>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</si>
  <si>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</si>
  <si>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</si>
  <si>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</si>
  <si>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</si>
  <si>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</si>
  <si>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</si>
  <si>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</si>
  <si>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</si>
  <si>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</si>
  <si>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</si>
  <si>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</si>
  <si>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</si>
  <si>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</si>
  <si>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</si>
  <si>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</si>
  <si>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</si>
  <si>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</si>
  <si>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</si>
  <si>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</si>
  <si>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</si>
  <si>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</si>
  <si>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</si>
  <si>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</si>
  <si>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</si>
  <si>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</si>
  <si>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</si>
  <si>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</si>
  <si>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</si>
  <si>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</si>
  <si>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</si>
  <si>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</si>
  <si>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</si>
  <si>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</si>
  <si>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</si>
  <si>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</si>
  <si>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</si>
  <si>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</si>
  <si>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</si>
  <si>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</si>
  <si>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</si>
  <si>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</si>
  <si>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</si>
  <si>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</si>
  <si>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</si>
  <si>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</si>
  <si>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</si>
  <si>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</si>
  <si>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</si>
  <si>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</si>
  <si>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</si>
  <si>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</si>
  <si>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</si>
  <si>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</si>
  <si>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</si>
  <si>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</si>
  <si>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</si>
  <si>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</si>
  <si>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</si>
  <si>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</si>
  <si>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</si>
  <si>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</si>
  <si>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</si>
  <si>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</si>
  <si>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</si>
  <si>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</si>
  <si>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</si>
  <si>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</si>
  <si>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</si>
  <si>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</si>
  <si>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</si>
  <si>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</si>
  <si>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</si>
  <si>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</si>
  <si>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</si>
  <si>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</si>
  <si>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</si>
  <si>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</si>
  <si>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</si>
  <si>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</si>
  <si>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</si>
  <si>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</si>
  <si>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</si>
  <si>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</si>
  <si>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</si>
  <si>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</si>
  <si>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</si>
  <si>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</si>
  <si>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</si>
  <si>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</si>
  <si>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</si>
  <si>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</si>
  <si>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</si>
  <si>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</si>
  <si>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</si>
  <si>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</si>
  <si>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</si>
  <si>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</si>
  <si>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</si>
  <si>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</si>
  <si>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</si>
  <si>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</si>
  <si>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</si>
  <si>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</si>
  <si>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</si>
  <si>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</si>
  <si>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</si>
  <si>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</si>
  <si>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</si>
  <si>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</si>
  <si>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</si>
  <si>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</si>
  <si>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</si>
  <si>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</si>
  <si>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</si>
  <si>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</si>
  <si>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</si>
  <si>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</si>
  <si>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</si>
  <si>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</si>
  <si>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</si>
  <si>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</si>
  <si>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</si>
  <si>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</si>
  <si>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</si>
  <si>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</si>
  <si>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</si>
  <si>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</si>
  <si>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</si>
  <si>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</si>
  <si>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</si>
  <si>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</si>
  <si>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</si>
  <si>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</si>
  <si>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</si>
  <si>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</si>
  <si>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</si>
  <si>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</si>
  <si>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</si>
  <si>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</si>
  <si>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</si>
  <si>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</si>
  <si>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</si>
  <si>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</si>
  <si>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</si>
  <si>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</si>
  <si>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</si>
  <si>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</si>
  <si>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</si>
  <si>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</si>
  <si>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</si>
  <si>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</si>
  <si>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</si>
  <si>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</si>
  <si>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</si>
  <si>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</si>
  <si>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</si>
  <si>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</si>
  <si>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</si>
  <si>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</si>
  <si>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</si>
  <si>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</si>
  <si>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</si>
  <si>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</si>
  <si>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</si>
  <si>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</si>
  <si>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</si>
  <si>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</si>
  <si>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</si>
  <si>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</si>
  <si>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</si>
  <si>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</si>
  <si>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</si>
  <si>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</si>
  <si>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</si>
  <si>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</si>
  <si>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</si>
  <si>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</si>
  <si>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</si>
  <si>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</si>
  <si>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</si>
  <si>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</si>
  <si>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</si>
  <si>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</si>
  <si>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</si>
  <si>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</si>
  <si>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</si>
  <si>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</si>
  <si>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</si>
  <si>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</si>
  <si>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</si>
  <si>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</si>
  <si>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</si>
  <si>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</si>
  <si>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</si>
  <si>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</si>
  <si>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</si>
  <si>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</si>
  <si>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</si>
  <si>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</si>
  <si>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</si>
  <si>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</si>
  <si>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</si>
  <si>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</si>
  <si>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</si>
  <si>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</si>
  <si>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</si>
  <si>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</si>
  <si>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</si>
  <si>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</si>
  <si>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</si>
  <si>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</si>
  <si>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</si>
  <si>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</si>
  <si>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</si>
  <si>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</si>
  <si>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</si>
  <si>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</si>
  <si>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</si>
  <si>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</si>
  <si>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</si>
  <si>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</si>
  <si>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</si>
  <si>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</si>
  <si>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</si>
  <si>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</si>
  <si>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</si>
  <si>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</si>
  <si>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</si>
  <si>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</si>
  <si>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</si>
  <si>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</si>
  <si>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</si>
  <si>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</si>
  <si>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</si>
  <si>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</si>
  <si>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</si>
  <si>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</si>
  <si>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</si>
  <si>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</si>
  <si>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</si>
  <si>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</si>
  <si>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</si>
  <si>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</si>
  <si>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</si>
  <si>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</si>
  <si>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</si>
  <si>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</si>
  <si>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</si>
  <si>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</si>
  <si>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</si>
  <si>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</si>
  <si>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</si>
  <si>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</si>
  <si>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</si>
  <si>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</si>
  <si>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</si>
  <si>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</si>
  <si>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</si>
  <si>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</si>
  <si>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</si>
  <si>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</si>
  <si>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</si>
  <si>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</si>
  <si>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</si>
  <si>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</si>
  <si>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</si>
  <si>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</si>
  <si>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</si>
  <si>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</si>
  <si>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</si>
  <si>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</si>
  <si>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</si>
  <si>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</si>
  <si>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</si>
  <si>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</si>
  <si>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</si>
  <si>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</si>
  <si>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</si>
  <si>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</si>
  <si>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</si>
  <si>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</si>
  <si>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</si>
  <si>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</si>
  <si>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</si>
  <si>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</si>
  <si>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</si>
  <si>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</si>
  <si>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</si>
  <si>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</si>
  <si>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</si>
  <si>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</si>
  <si>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</si>
  <si>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</si>
  <si>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</si>
  <si>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</si>
  <si>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</si>
  <si>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</si>
  <si>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</si>
  <si>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</si>
  <si>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</si>
  <si>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</si>
  <si>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</si>
  <si>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</si>
  <si>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</si>
  <si>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</si>
  <si>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</si>
  <si>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</si>
  <si>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</si>
  <si>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</si>
  <si>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</si>
  <si>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</si>
  <si>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</si>
  <si>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</si>
  <si>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</si>
  <si>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</si>
  <si>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</si>
  <si>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</si>
  <si>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</si>
  <si>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</si>
  <si>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</si>
  <si>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</si>
  <si>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</si>
  <si>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</si>
  <si>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</si>
  <si>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</si>
  <si>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</si>
  <si>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</si>
  <si>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</si>
  <si>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</si>
  <si>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</si>
  <si>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</si>
  <si>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</si>
  <si>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</si>
  <si>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</si>
  <si>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</si>
  <si>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</si>
  <si>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</si>
  <si>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</si>
  <si>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</si>
  <si>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</si>
  <si>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</si>
  <si>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</si>
  <si>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</si>
  <si>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</si>
  <si>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</si>
  <si>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</si>
  <si>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</si>
  <si>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</si>
  <si>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</si>
  <si>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</si>
  <si>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</si>
  <si>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</si>
  <si>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</si>
  <si>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</si>
  <si>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</si>
  <si>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</si>
  <si>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</si>
  <si>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</si>
  <si>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</si>
  <si>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</si>
  <si>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</si>
  <si>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</si>
  <si>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</si>
  <si>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</si>
  <si>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</si>
  <si>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</si>
  <si>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</si>
  <si>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</si>
  <si>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</si>
  <si>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</si>
  <si>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</si>
  <si>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</si>
  <si>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</si>
  <si>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</si>
  <si>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</si>
  <si>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</si>
  <si>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</si>
  <si>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</si>
  <si>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</si>
  <si>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</si>
  <si>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</si>
  <si>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</si>
  <si>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</si>
  <si>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</si>
  <si>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</si>
  <si>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</si>
  <si>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</si>
  <si>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</si>
  <si>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</si>
  <si>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</si>
  <si>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</si>
  <si>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</si>
  <si>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</si>
  <si>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</si>
  <si>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</si>
  <si>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</si>
  <si>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</si>
  <si>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</si>
  <si>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</si>
  <si>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</si>
  <si>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</si>
  <si>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</si>
  <si>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</si>
  <si>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</si>
  <si>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</si>
  <si>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</si>
  <si>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</si>
  <si>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</si>
  <si>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</si>
  <si>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</si>
  <si>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</si>
  <si>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</si>
  <si>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</si>
  <si>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</si>
  <si>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</si>
  <si>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</si>
  <si>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</si>
  <si>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</si>
  <si>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</si>
  <si>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</si>
  <si>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</si>
  <si>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</si>
  <si>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</si>
  <si>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</si>
  <si>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</si>
  <si>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</si>
  <si>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</si>
  <si>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</si>
  <si>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</si>
  <si>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</si>
  <si>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</si>
  <si>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</si>
  <si>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</si>
  <si>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</si>
  <si>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</si>
  <si>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</si>
  <si>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</si>
  <si>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</si>
  <si>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</si>
  <si>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</si>
  <si>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</si>
  <si>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</si>
  <si>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</si>
  <si>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</si>
  <si>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</si>
  <si>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</si>
  <si>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</si>
  <si>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</si>
  <si>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</si>
  <si>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</si>
  <si>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</si>
  <si>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</si>
  <si>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</si>
  <si>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</si>
  <si>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</si>
  <si>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</si>
  <si>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</si>
  <si>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</si>
  <si>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</si>
  <si>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</si>
  <si>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</si>
  <si>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</si>
  <si>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</si>
  <si>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</si>
  <si>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</si>
  <si>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</si>
  <si>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</si>
  <si>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</si>
  <si>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</si>
  <si>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</si>
  <si>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</si>
  <si>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</si>
  <si>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</si>
  <si>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</si>
  <si>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</si>
  <si>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</si>
  <si>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</si>
  <si>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</si>
  <si>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</si>
  <si>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</si>
  <si>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</si>
  <si>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</si>
  <si>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</si>
  <si>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</si>
  <si>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</si>
  <si>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</si>
  <si>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</si>
  <si>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</si>
  <si>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</si>
  <si>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</si>
  <si>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</si>
  <si>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</si>
  <si>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</si>
  <si>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</si>
  <si>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</si>
  <si>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</si>
  <si>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</si>
  <si>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</si>
  <si>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</si>
  <si>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</si>
  <si>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</si>
  <si>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</si>
  <si>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</si>
  <si>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</si>
  <si>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</si>
  <si>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</si>
  <si>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</si>
  <si>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</si>
  <si>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</si>
  <si>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</si>
  <si>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</si>
  <si>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</si>
  <si>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</si>
  <si>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</si>
  <si>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</si>
  <si>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</si>
  <si>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</si>
  <si>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</si>
  <si>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</si>
  <si>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</si>
  <si>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</si>
  <si>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</si>
  <si>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</si>
  <si>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</si>
  <si>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</si>
  <si>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</si>
  <si>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</si>
  <si>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</si>
  <si>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</si>
  <si>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</si>
  <si>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</si>
  <si>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</si>
  <si>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</si>
  <si>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</si>
  <si>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</si>
  <si>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</si>
  <si>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</si>
  <si>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</si>
  <si>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</si>
  <si>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</si>
  <si>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</si>
  <si>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</si>
  <si>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</si>
  <si>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</si>
  <si>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</si>
  <si>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</si>
  <si>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</si>
  <si>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</si>
  <si>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</si>
  <si>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</si>
  <si>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</si>
  <si>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</si>
  <si>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</si>
  <si>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</si>
  <si>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</si>
  <si>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</si>
  <si>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</si>
  <si>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</si>
  <si>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</si>
  <si>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</si>
  <si>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</si>
  <si>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</si>
  <si>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</si>
  <si>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</si>
  <si>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</si>
  <si>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</si>
  <si>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</si>
  <si>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</si>
  <si>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</si>
  <si>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</si>
  <si>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</si>
  <si>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</si>
  <si>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</si>
  <si>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</si>
  <si>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</si>
  <si>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</si>
  <si>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</si>
  <si>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</si>
  <si>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</si>
  <si>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</si>
  <si>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</si>
  <si>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</si>
  <si>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</si>
  <si>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</si>
  <si>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</si>
  <si>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</si>
  <si>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</si>
  <si>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</si>
  <si>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</si>
  <si>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</si>
  <si>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</si>
  <si>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</si>
  <si>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</si>
  <si>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</si>
  <si>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</si>
  <si>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</si>
  <si>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</si>
  <si>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</si>
  <si>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</si>
  <si>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</si>
  <si>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</si>
  <si>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</si>
  <si>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</si>
  <si>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</si>
  <si>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</si>
  <si>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</si>
  <si>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</si>
  <si>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</si>
  <si>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</si>
  <si>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</si>
  <si>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</si>
  <si>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</si>
  <si>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</si>
  <si>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</si>
  <si>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</si>
  <si>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</si>
  <si>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</si>
  <si>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</si>
  <si>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</si>
  <si>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</si>
  <si>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</si>
  <si>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</si>
  <si>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</si>
  <si>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</si>
  <si>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</si>
  <si>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</si>
  <si>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</si>
  <si>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</si>
  <si>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</si>
  <si>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</si>
  <si>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</si>
  <si>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</si>
  <si>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</si>
  <si>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</si>
  <si>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</si>
  <si>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</si>
  <si>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</si>
  <si>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</si>
  <si>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</si>
  <si>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</si>
  <si>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11040</t>
  </si>
  <si>
    <t>SCHOTEN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</si>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</sst>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281650.42329968244</c:v>
                </c:pt>
                <c:pt idx="1">
                  <c:v>124667.78902803804</c:v>
                </c:pt>
                <c:pt idx="2">
                  <c:v>1887.922</c:v>
                </c:pt>
                <c:pt idx="3">
                  <c:v>12286.060734700206</c:v>
                </c:pt>
                <c:pt idx="4">
                  <c:v>251944.20545683723</c:v>
                </c:pt>
                <c:pt idx="5">
                  <c:v>336487.19101525052</c:v>
                </c:pt>
                <c:pt idx="6">
                  <c:v>3964.7090443819807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281650.42329968244</c:v>
                </c:pt>
                <c:pt idx="1">
                  <c:v>124667.78902803804</c:v>
                </c:pt>
                <c:pt idx="2">
                  <c:v>1887.922</c:v>
                </c:pt>
                <c:pt idx="3">
                  <c:v>12286.060734700206</c:v>
                </c:pt>
                <c:pt idx="4">
                  <c:v>251944.20545683723</c:v>
                </c:pt>
                <c:pt idx="5">
                  <c:v>336487.19101525052</c:v>
                </c:pt>
                <c:pt idx="6">
                  <c:v>3964.7090443819807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54997.294011099264</c:v>
                </c:pt>
                <c:pt idx="1">
                  <c:v>26030.081851420957</c:v>
                </c:pt>
                <c:pt idx="2">
                  <c:v>408.91827734881667</c:v>
                </c:pt>
                <c:pt idx="3">
                  <c:v>2553.4461453283357</c:v>
                </c:pt>
                <c:pt idx="4">
                  <c:v>51978.501844069986</c:v>
                </c:pt>
                <c:pt idx="5">
                  <c:v>85211.838700959896</c:v>
                </c:pt>
                <c:pt idx="6">
                  <c:v>1013.5042996957526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54997.294011099264</c:v>
                </c:pt>
                <c:pt idx="1">
                  <c:v>26030.081851420957</c:v>
                </c:pt>
                <c:pt idx="2">
                  <c:v>408.91827734881667</c:v>
                </c:pt>
                <c:pt idx="3">
                  <c:v>2553.4461453283357</c:v>
                </c:pt>
                <c:pt idx="4">
                  <c:v>51978.501844069986</c:v>
                </c:pt>
                <c:pt idx="5">
                  <c:v>85211.838700959896</c:v>
                </c:pt>
                <c:pt idx="6">
                  <c:v>1013.5042996957526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11040</v>
      </c>
      <c r="B6" s="398"/>
      <c r="C6" s="399"/>
    </row>
    <row r="7" spans="1:7" s="396" customFormat="1" ht="15.75" customHeight="1">
      <c r="A7" s="400" t="str">
        <f>txtMunicipality</f>
        <v>SCHOTEN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14168</v>
      </c>
      <c r="C9" s="338">
        <v>14464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191</v>
      </c>
    </row>
    <row r="15" spans="1:6">
      <c r="A15" s="1212" t="s">
        <v>184</v>
      </c>
      <c r="B15" s="335">
        <v>2</v>
      </c>
    </row>
    <row r="16" spans="1:6">
      <c r="A16" s="1212" t="s">
        <v>6</v>
      </c>
      <c r="B16" s="335">
        <v>21</v>
      </c>
    </row>
    <row r="17" spans="1:6">
      <c r="A17" s="1212" t="s">
        <v>7</v>
      </c>
      <c r="B17" s="335">
        <v>43</v>
      </c>
    </row>
    <row r="18" spans="1:6">
      <c r="A18" s="1212" t="s">
        <v>8</v>
      </c>
      <c r="B18" s="335">
        <v>38</v>
      </c>
    </row>
    <row r="19" spans="1:6">
      <c r="A19" s="1212" t="s">
        <v>9</v>
      </c>
      <c r="B19" s="335">
        <v>24</v>
      </c>
    </row>
    <row r="20" spans="1:6">
      <c r="A20" s="1212" t="s">
        <v>10</v>
      </c>
      <c r="B20" s="335">
        <v>35</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9</v>
      </c>
    </row>
    <row r="27" spans="1:6">
      <c r="A27" s="1212" t="s">
        <v>17</v>
      </c>
      <c r="B27" s="335">
        <v>0</v>
      </c>
    </row>
    <row r="28" spans="1:6" s="341" customFormat="1">
      <c r="A28" s="1213" t="s">
        <v>18</v>
      </c>
      <c r="B28" s="1213">
        <v>30</v>
      </c>
    </row>
    <row r="29" spans="1:6">
      <c r="A29" s="1213" t="s">
        <v>836</v>
      </c>
      <c r="B29" s="1213">
        <v>32</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29249.592523323299</v>
      </c>
    </row>
    <row r="37" spans="1:6">
      <c r="A37" s="1212" t="s">
        <v>25</v>
      </c>
      <c r="B37" s="1212" t="s">
        <v>28</v>
      </c>
      <c r="C37" s="335">
        <v>0</v>
      </c>
      <c r="D37" s="335">
        <v>0</v>
      </c>
      <c r="E37" s="335">
        <v>0</v>
      </c>
      <c r="F37" s="335">
        <v>0</v>
      </c>
    </row>
    <row r="38" spans="1:6">
      <c r="A38" s="1212" t="s">
        <v>25</v>
      </c>
      <c r="B38" s="1212" t="s">
        <v>29</v>
      </c>
      <c r="C38" s="335">
        <v>3</v>
      </c>
      <c r="D38" s="335">
        <v>942647.80147333804</v>
      </c>
      <c r="E38" s="335">
        <v>6</v>
      </c>
      <c r="F38" s="335">
        <v>1475839.0671401001</v>
      </c>
    </row>
    <row r="39" spans="1:6">
      <c r="A39" s="1212" t="s">
        <v>30</v>
      </c>
      <c r="B39" s="1212" t="s">
        <v>31</v>
      </c>
      <c r="C39" s="335">
        <v>11356</v>
      </c>
      <c r="D39" s="335">
        <v>225063291.30097601</v>
      </c>
      <c r="E39" s="335">
        <v>14251</v>
      </c>
      <c r="F39" s="335">
        <v>59907545.236202799</v>
      </c>
    </row>
    <row r="40" spans="1:6">
      <c r="A40" s="1212" t="s">
        <v>30</v>
      </c>
      <c r="B40" s="1212" t="s">
        <v>29</v>
      </c>
      <c r="C40" s="335">
        <v>0</v>
      </c>
      <c r="D40" s="335">
        <v>0</v>
      </c>
      <c r="E40" s="335">
        <v>0</v>
      </c>
      <c r="F40" s="335">
        <v>0</v>
      </c>
    </row>
    <row r="41" spans="1:6">
      <c r="A41" s="1212" t="s">
        <v>32</v>
      </c>
      <c r="B41" s="1212" t="s">
        <v>33</v>
      </c>
      <c r="C41" s="335">
        <v>120</v>
      </c>
      <c r="D41" s="335">
        <v>13005518.9966587</v>
      </c>
      <c r="E41" s="335">
        <v>203</v>
      </c>
      <c r="F41" s="335">
        <v>5483483.7195862299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229283.19787276501</v>
      </c>
      <c r="E44" s="335">
        <v>23</v>
      </c>
      <c r="F44" s="335">
        <v>786248.72399681294</v>
      </c>
    </row>
    <row r="45" spans="1:6">
      <c r="A45" s="1212" t="s">
        <v>32</v>
      </c>
      <c r="B45" s="1212" t="s">
        <v>37</v>
      </c>
      <c r="C45" s="335">
        <v>0</v>
      </c>
      <c r="D45" s="335">
        <v>0</v>
      </c>
      <c r="E45" s="335">
        <v>3</v>
      </c>
      <c r="F45" s="335">
        <v>371327.25991964998</v>
      </c>
    </row>
    <row r="46" spans="1:6">
      <c r="A46" s="1212" t="s">
        <v>32</v>
      </c>
      <c r="B46" s="1212" t="s">
        <v>38</v>
      </c>
      <c r="C46" s="335">
        <v>0</v>
      </c>
      <c r="D46" s="335">
        <v>0</v>
      </c>
      <c r="E46" s="335">
        <v>0</v>
      </c>
      <c r="F46" s="335">
        <v>0</v>
      </c>
    </row>
    <row r="47" spans="1:6">
      <c r="A47" s="1212" t="s">
        <v>32</v>
      </c>
      <c r="B47" s="1212" t="s">
        <v>39</v>
      </c>
      <c r="C47" s="335">
        <v>9</v>
      </c>
      <c r="D47" s="335">
        <v>299545.19120174798</v>
      </c>
      <c r="E47" s="335">
        <v>10</v>
      </c>
      <c r="F47" s="335">
        <v>141853.29974610399</v>
      </c>
    </row>
    <row r="48" spans="1:6">
      <c r="A48" s="1212" t="s">
        <v>32</v>
      </c>
      <c r="B48" s="1212" t="s">
        <v>29</v>
      </c>
      <c r="C48" s="335">
        <v>40</v>
      </c>
      <c r="D48" s="335">
        <v>31348193.656198099</v>
      </c>
      <c r="E48" s="335">
        <v>49</v>
      </c>
      <c r="F48" s="335">
        <v>23684934.839465398</v>
      </c>
    </row>
    <row r="49" spans="1:6">
      <c r="A49" s="1212" t="s">
        <v>32</v>
      </c>
      <c r="B49" s="1212" t="s">
        <v>40</v>
      </c>
      <c r="C49" s="335">
        <v>3</v>
      </c>
      <c r="D49" s="335">
        <v>88307.509485870803</v>
      </c>
      <c r="E49" s="335">
        <v>4</v>
      </c>
      <c r="F49" s="335">
        <v>45608.322466995902</v>
      </c>
    </row>
    <row r="50" spans="1:6">
      <c r="A50" s="1212" t="s">
        <v>32</v>
      </c>
      <c r="B50" s="1212" t="s">
        <v>41</v>
      </c>
      <c r="C50" s="335">
        <v>21</v>
      </c>
      <c r="D50" s="335">
        <v>102773256.688944</v>
      </c>
      <c r="E50" s="335">
        <v>28</v>
      </c>
      <c r="F50" s="335">
        <v>24048235.452411901</v>
      </c>
    </row>
    <row r="51" spans="1:6">
      <c r="A51" s="1212" t="s">
        <v>42</v>
      </c>
      <c r="B51" s="1212" t="s">
        <v>43</v>
      </c>
      <c r="C51" s="335">
        <v>3</v>
      </c>
      <c r="D51" s="335">
        <v>103678.09347403199</v>
      </c>
      <c r="E51" s="335">
        <v>5</v>
      </c>
      <c r="F51" s="335">
        <v>188070.57205554401</v>
      </c>
    </row>
    <row r="52" spans="1:6">
      <c r="A52" s="1212" t="s">
        <v>42</v>
      </c>
      <c r="B52" s="1212" t="s">
        <v>29</v>
      </c>
      <c r="C52" s="335">
        <v>6</v>
      </c>
      <c r="D52" s="335">
        <v>748239.48226403305</v>
      </c>
      <c r="E52" s="335">
        <v>8</v>
      </c>
      <c r="F52" s="335">
        <v>85408.996325085507</v>
      </c>
    </row>
    <row r="53" spans="1:6">
      <c r="A53" s="1212" t="s">
        <v>44</v>
      </c>
      <c r="B53" s="1212" t="s">
        <v>45</v>
      </c>
      <c r="C53" s="335">
        <v>223</v>
      </c>
      <c r="D53" s="335">
        <v>11370292.7696361</v>
      </c>
      <c r="E53" s="335">
        <v>453</v>
      </c>
      <c r="F53" s="335">
        <v>2348098.2038649302</v>
      </c>
    </row>
    <row r="54" spans="1:6">
      <c r="A54" s="1212" t="s">
        <v>46</v>
      </c>
      <c r="B54" s="1212" t="s">
        <v>47</v>
      </c>
      <c r="C54" s="335">
        <v>0</v>
      </c>
      <c r="D54" s="335">
        <v>0</v>
      </c>
      <c r="E54" s="335">
        <v>1</v>
      </c>
      <c r="F54" s="335">
        <v>1887922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65</v>
      </c>
      <c r="D57" s="335">
        <v>3992800.1180044701</v>
      </c>
      <c r="E57" s="335">
        <v>106</v>
      </c>
      <c r="F57" s="335">
        <v>2634598.8983650701</v>
      </c>
    </row>
    <row r="58" spans="1:6">
      <c r="A58" s="1212" t="s">
        <v>49</v>
      </c>
      <c r="B58" s="1212" t="s">
        <v>51</v>
      </c>
      <c r="C58" s="335">
        <v>61</v>
      </c>
      <c r="D58" s="335">
        <v>3112780.9081051699</v>
      </c>
      <c r="E58" s="335">
        <v>88</v>
      </c>
      <c r="F58" s="335">
        <v>1023948.63570337</v>
      </c>
    </row>
    <row r="59" spans="1:6">
      <c r="A59" s="1212" t="s">
        <v>49</v>
      </c>
      <c r="B59" s="1212" t="s">
        <v>52</v>
      </c>
      <c r="C59" s="335">
        <v>249</v>
      </c>
      <c r="D59" s="335">
        <v>15287496.3592331</v>
      </c>
      <c r="E59" s="335">
        <v>427</v>
      </c>
      <c r="F59" s="335">
        <v>20531639.506985601</v>
      </c>
    </row>
    <row r="60" spans="1:6">
      <c r="A60" s="1212" t="s">
        <v>49</v>
      </c>
      <c r="B60" s="1212" t="s">
        <v>53</v>
      </c>
      <c r="C60" s="335">
        <v>99</v>
      </c>
      <c r="D60" s="335">
        <v>6532923.1104463805</v>
      </c>
      <c r="E60" s="335">
        <v>120</v>
      </c>
      <c r="F60" s="335">
        <v>3339370.0032826699</v>
      </c>
    </row>
    <row r="61" spans="1:6">
      <c r="A61" s="1212" t="s">
        <v>49</v>
      </c>
      <c r="B61" s="1212" t="s">
        <v>54</v>
      </c>
      <c r="C61" s="335">
        <v>424</v>
      </c>
      <c r="D61" s="335">
        <v>30678308.320338</v>
      </c>
      <c r="E61" s="335">
        <v>808</v>
      </c>
      <c r="F61" s="335">
        <v>15000983.3427973</v>
      </c>
    </row>
    <row r="62" spans="1:6">
      <c r="A62" s="1212" t="s">
        <v>49</v>
      </c>
      <c r="B62" s="1212" t="s">
        <v>55</v>
      </c>
      <c r="C62" s="335">
        <v>21</v>
      </c>
      <c r="D62" s="335">
        <v>4694947.35305057</v>
      </c>
      <c r="E62" s="335">
        <v>25</v>
      </c>
      <c r="F62" s="335">
        <v>1099245.5144704101</v>
      </c>
    </row>
    <row r="63" spans="1:6">
      <c r="A63" s="1212" t="s">
        <v>49</v>
      </c>
      <c r="B63" s="1212" t="s">
        <v>29</v>
      </c>
      <c r="C63" s="335">
        <v>113</v>
      </c>
      <c r="D63" s="335">
        <v>7232811.2505806899</v>
      </c>
      <c r="E63" s="335">
        <v>103</v>
      </c>
      <c r="F63" s="335">
        <v>4567120.4368207203</v>
      </c>
    </row>
    <row r="64" spans="1:6">
      <c r="A64" s="1212" t="s">
        <v>56</v>
      </c>
      <c r="B64" s="1212" t="s">
        <v>57</v>
      </c>
      <c r="C64" s="335">
        <v>0</v>
      </c>
      <c r="D64" s="335">
        <v>0</v>
      </c>
      <c r="E64" s="335">
        <v>0</v>
      </c>
      <c r="F64" s="335">
        <v>0</v>
      </c>
    </row>
    <row r="65" spans="1:6">
      <c r="A65" s="1212" t="s">
        <v>56</v>
      </c>
      <c r="B65" s="1212" t="s">
        <v>29</v>
      </c>
      <c r="C65" s="335">
        <v>4</v>
      </c>
      <c r="D65" s="335">
        <v>158889.92117741299</v>
      </c>
      <c r="E65" s="335">
        <v>3</v>
      </c>
      <c r="F65" s="335">
        <v>9236.8605957775999</v>
      </c>
    </row>
    <row r="66" spans="1:6">
      <c r="A66" s="1212" t="s">
        <v>56</v>
      </c>
      <c r="B66" s="1212" t="s">
        <v>58</v>
      </c>
      <c r="C66" s="335">
        <v>3</v>
      </c>
      <c r="D66" s="335">
        <v>207510.259815269</v>
      </c>
      <c r="E66" s="335">
        <v>11</v>
      </c>
      <c r="F66" s="335">
        <v>155772.394089115</v>
      </c>
    </row>
    <row r="67" spans="1:6">
      <c r="A67" s="1213" t="s">
        <v>56</v>
      </c>
      <c r="B67" s="1213" t="s">
        <v>59</v>
      </c>
      <c r="C67" s="335">
        <v>0</v>
      </c>
      <c r="D67" s="335">
        <v>0</v>
      </c>
      <c r="E67" s="335">
        <v>0</v>
      </c>
      <c r="F67" s="335">
        <v>0</v>
      </c>
    </row>
    <row r="68" spans="1:6">
      <c r="A68" s="1208" t="s">
        <v>56</v>
      </c>
      <c r="B68" s="1208" t="s">
        <v>60</v>
      </c>
      <c r="C68" s="335">
        <v>0</v>
      </c>
      <c r="D68" s="335">
        <v>0</v>
      </c>
      <c r="E68" s="335">
        <v>6</v>
      </c>
      <c r="F68" s="335">
        <v>40810.0254609564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83714147</v>
      </c>
      <c r="E73" s="335">
        <v>86594704.001701012</v>
      </c>
    </row>
    <row r="74" spans="1:6">
      <c r="A74" s="1212" t="s">
        <v>64</v>
      </c>
      <c r="B74" s="1212" t="s">
        <v>727</v>
      </c>
      <c r="C74" s="1212" t="s">
        <v>728</v>
      </c>
      <c r="D74" s="335">
        <v>3177368.5745785111</v>
      </c>
      <c r="E74" s="335">
        <v>3211945.8598309797</v>
      </c>
    </row>
    <row r="75" spans="1:6">
      <c r="A75" s="1212" t="s">
        <v>65</v>
      </c>
      <c r="B75" s="1212" t="s">
        <v>725</v>
      </c>
      <c r="C75" s="1212" t="s">
        <v>729</v>
      </c>
      <c r="D75" s="335">
        <v>42398935</v>
      </c>
      <c r="E75" s="335">
        <v>44033672.237008922</v>
      </c>
    </row>
    <row r="76" spans="1:6">
      <c r="A76" s="1212" t="s">
        <v>65</v>
      </c>
      <c r="B76" s="1212" t="s">
        <v>727</v>
      </c>
      <c r="C76" s="1212" t="s">
        <v>730</v>
      </c>
      <c r="D76" s="335">
        <v>1119738.5745785111</v>
      </c>
      <c r="E76" s="335">
        <v>1182522.6348281824</v>
      </c>
    </row>
    <row r="77" spans="1:6">
      <c r="A77" s="1212" t="s">
        <v>66</v>
      </c>
      <c r="B77" s="1212" t="s">
        <v>725</v>
      </c>
      <c r="C77" s="1212" t="s">
        <v>731</v>
      </c>
      <c r="D77" s="335">
        <v>181144940</v>
      </c>
      <c r="E77" s="335">
        <v>216426922.43343356</v>
      </c>
    </row>
    <row r="78" spans="1:6">
      <c r="A78" s="1208" t="s">
        <v>66</v>
      </c>
      <c r="B78" s="1208" t="s">
        <v>727</v>
      </c>
      <c r="C78" s="1208" t="s">
        <v>732</v>
      </c>
      <c r="D78" s="1208">
        <v>43526676</v>
      </c>
      <c r="E78" s="1208">
        <v>44143305.118506521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1047428.850842978</v>
      </c>
      <c r="C83" s="335">
        <v>1034791.5137245726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2435.5633737909352</v>
      </c>
    </row>
    <row r="92" spans="1:6">
      <c r="A92" s="1208" t="s">
        <v>69</v>
      </c>
      <c r="B92" s="338">
        <v>897.15225610606342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8882</v>
      </c>
    </row>
    <row r="98" spans="1:6">
      <c r="A98" s="1212" t="s">
        <v>72</v>
      </c>
      <c r="B98" s="335">
        <v>10</v>
      </c>
    </row>
    <row r="99" spans="1:6">
      <c r="A99" s="1212" t="s">
        <v>73</v>
      </c>
      <c r="B99" s="335">
        <v>48</v>
      </c>
    </row>
    <row r="100" spans="1:6">
      <c r="A100" s="1212" t="s">
        <v>74</v>
      </c>
      <c r="B100" s="335">
        <v>1173</v>
      </c>
    </row>
    <row r="101" spans="1:6">
      <c r="A101" s="1212" t="s">
        <v>75</v>
      </c>
      <c r="B101" s="335">
        <v>81</v>
      </c>
    </row>
    <row r="102" spans="1:6">
      <c r="A102" s="1212" t="s">
        <v>76</v>
      </c>
      <c r="B102" s="335">
        <v>212</v>
      </c>
    </row>
    <row r="103" spans="1:6">
      <c r="A103" s="1212" t="s">
        <v>77</v>
      </c>
      <c r="B103" s="335">
        <v>170</v>
      </c>
    </row>
    <row r="104" spans="1:6">
      <c r="A104" s="1212" t="s">
        <v>78</v>
      </c>
      <c r="B104" s="335">
        <v>2394</v>
      </c>
    </row>
    <row r="105" spans="1:6">
      <c r="A105" s="1208" t="s">
        <v>79</v>
      </c>
      <c r="B105" s="1208">
        <v>15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101</v>
      </c>
    </row>
    <row r="130" spans="1:6">
      <c r="A130" s="1212" t="s">
        <v>295</v>
      </c>
      <c r="B130" s="335">
        <v>1</v>
      </c>
    </row>
    <row r="131" spans="1:6">
      <c r="A131" s="1212" t="s">
        <v>296</v>
      </c>
      <c r="B131" s="335">
        <v>0</v>
      </c>
    </row>
    <row r="132" spans="1:6">
      <c r="A132" s="1208" t="s">
        <v>297</v>
      </c>
      <c r="B132" s="338">
        <v>9</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167279.88563483197</v>
      </c>
      <c r="C3" s="43" t="s">
        <v>170</v>
      </c>
      <c r="D3" s="43"/>
      <c r="E3" s="156"/>
      <c r="F3" s="43"/>
      <c r="G3" s="43"/>
      <c r="H3" s="43"/>
      <c r="I3" s="43"/>
      <c r="J3" s="43"/>
      <c r="K3" s="96"/>
    </row>
    <row r="4" spans="1:11">
      <c r="A4" s="366" t="s">
        <v>171</v>
      </c>
      <c r="B4" s="49">
        <f>IF(ISERROR('SEAP template'!B69),0,'SEAP template'!B69)</f>
        <v>3332.7156298969985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0.21659701902346426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1887.922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1887.922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0.21659701902346426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408.91827734881667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59907.545236202801</v>
      </c>
      <c r="C5" s="17">
        <f>IF(ISERROR('Eigen informatie GS &amp; warmtenet'!B57),0,'Eigen informatie GS &amp; warmtenet'!B57)</f>
        <v>0</v>
      </c>
      <c r="D5" s="30">
        <f>(SUM(HH_hh_gas_kWh,HH_rest_gas_kWh)/1000)*0.902</f>
        <v>203007.08875348038</v>
      </c>
      <c r="E5" s="17">
        <f>B46*B57</f>
        <v>2143.3066137247365</v>
      </c>
      <c r="F5" s="17">
        <f>B51*B62</f>
        <v>0</v>
      </c>
      <c r="G5" s="18"/>
      <c r="H5" s="17"/>
      <c r="I5" s="17"/>
      <c r="J5" s="17">
        <f>B50*B61+C50*C61</f>
        <v>0</v>
      </c>
      <c r="K5" s="17"/>
      <c r="L5" s="17"/>
      <c r="M5" s="17"/>
      <c r="N5" s="17">
        <f>B48*B59+C48*C59</f>
        <v>13559.232655816944</v>
      </c>
      <c r="O5" s="17">
        <f>B69*B70*B71</f>
        <v>178.22</v>
      </c>
      <c r="P5" s="17">
        <f>B77*B78*B79/1000-B77*B78*B79/1000/B80</f>
        <v>419.4666666666667</v>
      </c>
    </row>
    <row r="6" spans="1:16">
      <c r="A6" s="16" t="s">
        <v>634</v>
      </c>
      <c r="B6" s="831">
        <f>kWh_PV_kleiner_dan_10kW</f>
        <v>2435.5633737909352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62343.108609993738</v>
      </c>
      <c r="C8" s="21">
        <f>C5</f>
        <v>0</v>
      </c>
      <c r="D8" s="21">
        <f>D5</f>
        <v>203007.08875348038</v>
      </c>
      <c r="E8" s="21">
        <f>E5</f>
        <v>2143.3066137247365</v>
      </c>
      <c r="F8" s="21">
        <f>F5</f>
        <v>0</v>
      </c>
      <c r="G8" s="21"/>
      <c r="H8" s="21"/>
      <c r="I8" s="21"/>
      <c r="J8" s="21">
        <f>J5</f>
        <v>0</v>
      </c>
      <c r="K8" s="21"/>
      <c r="L8" s="21">
        <f>L5</f>
        <v>0</v>
      </c>
      <c r="M8" s="21">
        <f>M5</f>
        <v>0</v>
      </c>
      <c r="N8" s="21">
        <f>N5</f>
        <v>13559.232655816944</v>
      </c>
      <c r="O8" s="21">
        <f>O5</f>
        <v>178.22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0.21659701902346426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13503.331481580712</v>
      </c>
      <c r="C12" s="23">
        <f ca="1">C10*C8</f>
        <v>0</v>
      </c>
      <c r="D12" s="23">
        <f>D8*D10</f>
        <v>41007.431928203041</v>
      </c>
      <c r="E12" s="23">
        <f>E10*E8</f>
        <v>486.53060131551518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8882</v>
      </c>
      <c r="C18" s="168" t="s">
        <v>111</v>
      </c>
      <c r="D18" s="230"/>
      <c r="E18" s="15"/>
    </row>
    <row r="19" spans="1:7">
      <c r="A19" s="173" t="s">
        <v>72</v>
      </c>
      <c r="B19" s="37">
        <f>aantalw2001_ander</f>
        <v>10</v>
      </c>
      <c r="C19" s="168" t="s">
        <v>111</v>
      </c>
      <c r="D19" s="231"/>
      <c r="E19" s="15"/>
    </row>
    <row r="20" spans="1:7">
      <c r="A20" s="173" t="s">
        <v>73</v>
      </c>
      <c r="B20" s="37">
        <f>aantalw2001_propaan</f>
        <v>48</v>
      </c>
      <c r="C20" s="169">
        <f>IF(ISERROR(B20/SUM($B$20,$B$21,$B$22)*100),0,B20/SUM($B$20,$B$21,$B$22)*100)</f>
        <v>3.6866359447004609</v>
      </c>
      <c r="D20" s="231"/>
      <c r="E20" s="15"/>
    </row>
    <row r="21" spans="1:7">
      <c r="A21" s="173" t="s">
        <v>74</v>
      </c>
      <c r="B21" s="37">
        <f>aantalw2001_elektriciteit</f>
        <v>1173</v>
      </c>
      <c r="C21" s="169">
        <f>IF(ISERROR(B21/SUM($B$20,$B$21,$B$22)*100),0,B21/SUM($B$20,$B$21,$B$22)*100)</f>
        <v>90.092165898617509</v>
      </c>
      <c r="D21" s="231"/>
      <c r="E21" s="15"/>
    </row>
    <row r="22" spans="1:7">
      <c r="A22" s="173" t="s">
        <v>75</v>
      </c>
      <c r="B22" s="37">
        <f>aantalw2001_hout</f>
        <v>81</v>
      </c>
      <c r="C22" s="169">
        <f>IF(ISERROR(B22/SUM($B$20,$B$21,$B$22)*100),0,B22/SUM($B$20,$B$21,$B$22)*100)</f>
        <v>6.2211981566820276</v>
      </c>
      <c r="D22" s="231"/>
      <c r="E22" s="15"/>
    </row>
    <row r="23" spans="1:7">
      <c r="A23" s="173" t="s">
        <v>76</v>
      </c>
      <c r="B23" s="37">
        <f>aantalw2001_niet_gespec</f>
        <v>212</v>
      </c>
      <c r="C23" s="168" t="s">
        <v>111</v>
      </c>
      <c r="D23" s="230"/>
      <c r="E23" s="15"/>
    </row>
    <row r="24" spans="1:7">
      <c r="A24" s="173" t="s">
        <v>77</v>
      </c>
      <c r="B24" s="37">
        <f>aantalw2001_steenkool</f>
        <v>170</v>
      </c>
      <c r="C24" s="168" t="s">
        <v>111</v>
      </c>
      <c r="D24" s="231"/>
      <c r="E24" s="15"/>
    </row>
    <row r="25" spans="1:7">
      <c r="A25" s="173" t="s">
        <v>78</v>
      </c>
      <c r="B25" s="37">
        <f>aantalw2001_stookolie</f>
        <v>2394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14168</v>
      </c>
      <c r="C28" s="36"/>
      <c r="D28" s="230"/>
    </row>
    <row r="29" spans="1:7" s="15" customFormat="1">
      <c r="A29" s="232" t="s">
        <v>746</v>
      </c>
      <c r="B29" s="37">
        <f>SUM(HH_hh_gas_aantal,HH_rest_gas_aantal)</f>
        <v>11356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11356</v>
      </c>
      <c r="C32" s="169">
        <f>IF(ISERROR(B32/SUM($B$32,$B$34,$B$35,$B$36,$B$38,$B$39)*100),0,B32/SUM($B$32,$B$34,$B$35,$B$36,$B$38,$B$39)*100)</f>
        <v>80.277110137141221</v>
      </c>
      <c r="D32" s="235"/>
      <c r="G32" s="15"/>
    </row>
    <row r="33" spans="1:7">
      <c r="A33" s="173" t="s">
        <v>72</v>
      </c>
      <c r="B33" s="34" t="s">
        <v>111</v>
      </c>
      <c r="C33" s="169"/>
      <c r="D33" s="235"/>
      <c r="G33" s="15"/>
    </row>
    <row r="34" spans="1:7">
      <c r="A34" s="173" t="s">
        <v>73</v>
      </c>
      <c r="B34" s="33">
        <f>IF((($B$28-$B$32-$B$39-$B$77-$B$38)*C20/100)&lt;0,0,($B$28-$B$32-$B$39-$B$77-$B$38)*C20/100)</f>
        <v>102.85714285714286</v>
      </c>
      <c r="C34" s="169">
        <f>IF(ISERROR(B34/SUM($B$32,$B$34,$B$35,$B$36,$B$38,$B$39)*100),0,B34/SUM($B$32,$B$34,$B$35,$B$36,$B$38,$B$39)*100)</f>
        <v>0.7271111470178343</v>
      </c>
      <c r="D34" s="235"/>
      <c r="G34" s="15"/>
    </row>
    <row r="35" spans="1:7">
      <c r="A35" s="173" t="s">
        <v>74</v>
      </c>
      <c r="B35" s="33">
        <f>IF((($B$28-$B$32-$B$39-$B$77-$B$38)*C21/100)&lt;0,0,($B$28-$B$32-$B$39-$B$77-$B$38)*C21/100)</f>
        <v>2513.5714285714284</v>
      </c>
      <c r="C35" s="169">
        <f>IF(ISERROR(B35/SUM($B$32,$B$34,$B$35,$B$36,$B$38,$B$39)*100),0,B35/SUM($B$32,$B$34,$B$35,$B$36,$B$38,$B$39)*100)</f>
        <v>17.768778655248326</v>
      </c>
      <c r="D35" s="235"/>
      <c r="G35" s="15"/>
    </row>
    <row r="36" spans="1:7">
      <c r="A36" s="173" t="s">
        <v>75</v>
      </c>
      <c r="B36" s="33">
        <f>IF((($B$28-$B$32-$B$39-$B$77-$B$38)*C22/100)&lt;0,0,($B$28-$B$32-$B$39-$B$77-$B$38)*C22/100)</f>
        <v>173.57142857142858</v>
      </c>
      <c r="C36" s="169">
        <f>IF(ISERROR(B36/SUM($B$32,$B$34,$B$35,$B$36,$B$38,$B$39)*100),0,B36/SUM($B$32,$B$34,$B$35,$B$36,$B$38,$B$39)*100)</f>
        <v>1.2270000605925955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11356</v>
      </c>
      <c r="C44" s="34" t="s">
        <v>111</v>
      </c>
      <c r="D44" s="176"/>
    </row>
    <row r="45" spans="1:7">
      <c r="A45" s="173" t="s">
        <v>72</v>
      </c>
      <c r="B45" s="33" t="str">
        <f t="shared" si="0"/>
        <v>-</v>
      </c>
      <c r="C45" s="34" t="s">
        <v>111</v>
      </c>
      <c r="D45" s="176"/>
    </row>
    <row r="46" spans="1:7">
      <c r="A46" s="173" t="s">
        <v>73</v>
      </c>
      <c r="B46" s="33">
        <f t="shared" si="0"/>
        <v>102.85714285714286</v>
      </c>
      <c r="C46" s="34" t="s">
        <v>111</v>
      </c>
      <c r="D46" s="176"/>
    </row>
    <row r="47" spans="1:7">
      <c r="A47" s="173" t="s">
        <v>74</v>
      </c>
      <c r="B47" s="33">
        <f t="shared" si="0"/>
        <v>2513.5714285714284</v>
      </c>
      <c r="C47" s="34" t="s">
        <v>111</v>
      </c>
      <c r="D47" s="176"/>
    </row>
    <row r="48" spans="1:7">
      <c r="A48" s="173" t="s">
        <v>75</v>
      </c>
      <c r="B48" s="33">
        <f t="shared" si="0"/>
        <v>173.57142857142858</v>
      </c>
      <c r="C48" s="33">
        <f>B48*10</f>
        <v>1735.7142857142858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48196.906338425135</v>
      </c>
      <c r="C5" s="17">
        <f>IF(ISERROR('Eigen informatie GS &amp; warmtenet'!B58),0,'Eigen informatie GS &amp; warmtenet'!B58)</f>
        <v>0</v>
      </c>
      <c r="D5" s="30">
        <f>SUM(D6:D12)</f>
        <v>64521.924812622063</v>
      </c>
      <c r="E5" s="17">
        <f>SUM(E6:E12)</f>
        <v>611.94674075764942</v>
      </c>
      <c r="F5" s="17">
        <f>SUM(F6:F12)</f>
        <v>9057.8085770161779</v>
      </c>
      <c r="G5" s="18"/>
      <c r="H5" s="17"/>
      <c r="I5" s="17"/>
      <c r="J5" s="17">
        <f>SUM(J6:J12)</f>
        <v>0</v>
      </c>
      <c r="K5" s="17"/>
      <c r="L5" s="17"/>
      <c r="M5" s="17"/>
      <c r="N5" s="17">
        <f>SUM(N6:N12)</f>
        <v>2277.6392258836909</v>
      </c>
      <c r="O5" s="17">
        <f>B38*B39*B40</f>
        <v>1.5633333333333335</v>
      </c>
      <c r="P5" s="17">
        <f>B46*B47*B48/1000-B46*B47*B48/1000/B49</f>
        <v>0</v>
      </c>
      <c r="R5" s="32"/>
    </row>
    <row r="6" spans="1:18">
      <c r="A6" s="32" t="s">
        <v>54</v>
      </c>
      <c r="B6" s="37">
        <f>B26</f>
        <v>15000.983342797299</v>
      </c>
      <c r="C6" s="33"/>
      <c r="D6" s="37">
        <f>IF(ISERROR(TER_kantoor_gas_kWh/1000),0,TER_kantoor_gas_kWh/1000)*0.902</f>
        <v>27671.834104944879</v>
      </c>
      <c r="E6" s="33">
        <f>$C$26*'E Balans VL '!I12/100/3.6*1000000</f>
        <v>58.281996179984091</v>
      </c>
      <c r="F6" s="33">
        <f>$C$26*('E Balans VL '!L12+'E Balans VL '!N12)/100/3.6*1000000</f>
        <v>2281.5130683736193</v>
      </c>
      <c r="G6" s="34"/>
      <c r="H6" s="33"/>
      <c r="I6" s="33"/>
      <c r="J6" s="33">
        <f>$C$26*('E Balans VL '!D12+'E Balans VL '!E12)/100/3.6*1000000</f>
        <v>0</v>
      </c>
      <c r="K6" s="33"/>
      <c r="L6" s="33"/>
      <c r="M6" s="33"/>
      <c r="N6" s="33">
        <f>$C$26*'E Balans VL '!Y12/100/3.6*1000000</f>
        <v>8.2673388954293507</v>
      </c>
      <c r="O6" s="33"/>
      <c r="P6" s="33"/>
      <c r="R6" s="32"/>
    </row>
    <row r="7" spans="1:18">
      <c r="A7" s="32" t="s">
        <v>53</v>
      </c>
      <c r="B7" s="37">
        <f t="shared" ref="B7:B12" si="0">B27</f>
        <v>3339.37000328267</v>
      </c>
      <c r="C7" s="33"/>
      <c r="D7" s="37">
        <f>IF(ISERROR(TER_horeca_gas_kWh/1000),0,TER_horeca_gas_kWh/1000)*0.902</f>
        <v>5892.6966456226355</v>
      </c>
      <c r="E7" s="33">
        <f>$C$27*'E Balans VL '!I9/100/3.6*1000000</f>
        <v>188.10760508453038</v>
      </c>
      <c r="F7" s="33">
        <f>$C$27*('E Balans VL '!L9+'E Balans VL '!N9)/100/3.6*1000000</f>
        <v>962.87438494587332</v>
      </c>
      <c r="G7" s="34"/>
      <c r="H7" s="33"/>
      <c r="I7" s="33"/>
      <c r="J7" s="33">
        <f>$C$27*('E Balans VL '!D9+'E Balans VL '!E9)/100/3.6*1000000</f>
        <v>0</v>
      </c>
      <c r="K7" s="33"/>
      <c r="L7" s="33"/>
      <c r="M7" s="33"/>
      <c r="N7" s="33">
        <f>$C$27*'E Balans VL '!Y9/100/3.6*1000000</f>
        <v>0.92198270490711765</v>
      </c>
      <c r="O7" s="33"/>
      <c r="P7" s="33"/>
      <c r="R7" s="32"/>
    </row>
    <row r="8" spans="1:18">
      <c r="A8" s="6" t="s">
        <v>52</v>
      </c>
      <c r="B8" s="37">
        <f t="shared" si="0"/>
        <v>20531.639506985601</v>
      </c>
      <c r="C8" s="33"/>
      <c r="D8" s="37">
        <f>IF(ISERROR(TER_handel_gas_kWh/1000),0,TER_handel_gas_kWh/1000)*0.902</f>
        <v>13789.321716028257</v>
      </c>
      <c r="E8" s="33">
        <f>$C$28*'E Balans VL '!I13/100/3.6*1000000</f>
        <v>295.93058221934018</v>
      </c>
      <c r="F8" s="33">
        <f>$C$28*('E Balans VL '!L13+'E Balans VL '!N13)/100/3.6*1000000</f>
        <v>3566.8239319825293</v>
      </c>
      <c r="G8" s="34"/>
      <c r="H8" s="33"/>
      <c r="I8" s="33"/>
      <c r="J8" s="33">
        <f>$C$28*('E Balans VL '!D13+'E Balans VL '!E13)/100/3.6*1000000</f>
        <v>0</v>
      </c>
      <c r="K8" s="33"/>
      <c r="L8" s="33"/>
      <c r="M8" s="33"/>
      <c r="N8" s="33">
        <f>$C$28*'E Balans VL '!Y13/100/3.6*1000000</f>
        <v>61.515077592123099</v>
      </c>
      <c r="O8" s="33"/>
      <c r="P8" s="33"/>
      <c r="R8" s="32"/>
    </row>
    <row r="9" spans="1:18">
      <c r="A9" s="32" t="s">
        <v>51</v>
      </c>
      <c r="B9" s="37">
        <f t="shared" si="0"/>
        <v>1023.94863570337</v>
      </c>
      <c r="C9" s="33"/>
      <c r="D9" s="37">
        <f>IF(ISERROR(TER_gezond_gas_kWh/1000),0,TER_gezond_gas_kWh/1000)*0.902</f>
        <v>2807.7283791108634</v>
      </c>
      <c r="E9" s="33">
        <f>$C$29*'E Balans VL '!I10/100/3.6*1000000</f>
        <v>1.0938425406711503</v>
      </c>
      <c r="F9" s="33">
        <f>$C$29*('E Balans VL '!L10+'E Balans VL '!N10)/100/3.6*1000000</f>
        <v>167.03714145000535</v>
      </c>
      <c r="G9" s="34"/>
      <c r="H9" s="33"/>
      <c r="I9" s="33"/>
      <c r="J9" s="33">
        <f>$C$29*('E Balans VL '!D10+'E Balans VL '!E10)/100/3.6*1000000</f>
        <v>0</v>
      </c>
      <c r="K9" s="33"/>
      <c r="L9" s="33"/>
      <c r="M9" s="33"/>
      <c r="N9" s="33">
        <f>$C$29*'E Balans VL '!Y10/100/3.6*1000000</f>
        <v>10.540966951130697</v>
      </c>
      <c r="O9" s="33"/>
      <c r="P9" s="33"/>
      <c r="R9" s="32"/>
    </row>
    <row r="10" spans="1:18">
      <c r="A10" s="32" t="s">
        <v>50</v>
      </c>
      <c r="B10" s="37">
        <f t="shared" si="0"/>
        <v>2634.59889836507</v>
      </c>
      <c r="C10" s="33"/>
      <c r="D10" s="37">
        <f>IF(ISERROR(TER_ander_gas_kWh/1000),0,TER_ander_gas_kWh/1000)*0.902</f>
        <v>3601.5057064400321</v>
      </c>
      <c r="E10" s="33">
        <f>$C$30*'E Balans VL '!I14/100/3.6*1000000</f>
        <v>12.116119581339216</v>
      </c>
      <c r="F10" s="33">
        <f>$C$30*('E Balans VL '!L14+'E Balans VL '!N14)/100/3.6*1000000</f>
        <v>789.67239255839661</v>
      </c>
      <c r="G10" s="34"/>
      <c r="H10" s="33"/>
      <c r="I10" s="33"/>
      <c r="J10" s="33">
        <f>$C$30*('E Balans VL '!D14+'E Balans VL '!E14)/100/3.6*1000000</f>
        <v>0</v>
      </c>
      <c r="K10" s="33"/>
      <c r="L10" s="33"/>
      <c r="M10" s="33"/>
      <c r="N10" s="33">
        <f>$C$30*'E Balans VL '!Y14/100/3.6*1000000</f>
        <v>1833.8547451605477</v>
      </c>
      <c r="O10" s="33"/>
      <c r="P10" s="33"/>
      <c r="R10" s="32"/>
    </row>
    <row r="11" spans="1:18">
      <c r="A11" s="32" t="s">
        <v>55</v>
      </c>
      <c r="B11" s="37">
        <f t="shared" si="0"/>
        <v>1099.2455144704102</v>
      </c>
      <c r="C11" s="33"/>
      <c r="D11" s="37">
        <f>IF(ISERROR(TER_onderwijs_gas_kWh/1000),0,TER_onderwijs_gas_kWh/1000)*0.902</f>
        <v>4234.8425124516143</v>
      </c>
      <c r="E11" s="33">
        <f>$C$31*'E Balans VL '!I11/100/3.6*1000000</f>
        <v>1.0196947751058809</v>
      </c>
      <c r="F11" s="33">
        <f>$C$31*('E Balans VL '!L11+'E Balans VL '!N11)/100/3.6*1000000</f>
        <v>386.13968489171532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4567.12043682072</v>
      </c>
      <c r="C12" s="33"/>
      <c r="D12" s="37">
        <f>IF(ISERROR(TER_rest_gas_kWh/1000),0,TER_rest_gas_kWh/1000)*0.902</f>
        <v>6523.9957480237827</v>
      </c>
      <c r="E12" s="33">
        <f>$C$32*'E Balans VL '!I8/100/3.6*1000000</f>
        <v>55.396900376678474</v>
      </c>
      <c r="F12" s="33">
        <f>$C$32*('E Balans VL '!L8+'E Balans VL '!N8)/100/3.6*1000000</f>
        <v>903.74797281403914</v>
      </c>
      <c r="G12" s="34"/>
      <c r="H12" s="33"/>
      <c r="I12" s="33"/>
      <c r="J12" s="33">
        <f>$C$32*('E Balans VL '!D8+'E Balans VL '!E8)/100/3.6*1000000</f>
        <v>0</v>
      </c>
      <c r="K12" s="33"/>
      <c r="L12" s="33"/>
      <c r="M12" s="33"/>
      <c r="N12" s="33">
        <f>$C$32*'E Balans VL '!Y8/100/3.6*1000000</f>
        <v>362.53911457955297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48196.906338425135</v>
      </c>
      <c r="C16" s="21">
        <f t="shared" ca="1" si="1"/>
        <v>0</v>
      </c>
      <c r="D16" s="21">
        <f t="shared" ca="1" si="1"/>
        <v>64521.924812622063</v>
      </c>
      <c r="E16" s="21">
        <f t="shared" si="1"/>
        <v>611.94674075764942</v>
      </c>
      <c r="F16" s="21">
        <f t="shared" ca="1" si="1"/>
        <v>9057.8085770161779</v>
      </c>
      <c r="G16" s="21">
        <f t="shared" si="1"/>
        <v>0</v>
      </c>
      <c r="H16" s="21">
        <f t="shared" si="1"/>
        <v>0</v>
      </c>
      <c r="I16" s="21">
        <f t="shared" si="1"/>
        <v>0</v>
      </c>
      <c r="J16" s="21">
        <f t="shared" si="1"/>
        <v>0</v>
      </c>
      <c r="K16" s="21">
        <f t="shared" si="1"/>
        <v>0</v>
      </c>
      <c r="L16" s="21">
        <f t="shared" ca="1" si="1"/>
        <v>0</v>
      </c>
      <c r="M16" s="21">
        <f t="shared" si="1"/>
        <v>0</v>
      </c>
      <c r="N16" s="21">
        <f t="shared" ca="1" si="1"/>
        <v>2277.6392258836909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0.21659701902346426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10439.306239055994</v>
      </c>
      <c r="C20" s="23">
        <f t="shared" ref="C20:P20" ca="1" si="2">C16*C18</f>
        <v>0</v>
      </c>
      <c r="D20" s="23">
        <f t="shared" ca="1" si="2"/>
        <v>13033.428812149657</v>
      </c>
      <c r="E20" s="23">
        <f t="shared" si="2"/>
        <v>138.91191015198643</v>
      </c>
      <c r="F20" s="23">
        <f t="shared" ca="1" si="2"/>
        <v>2418.4348900633195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15000.983342797299</v>
      </c>
      <c r="C26" s="39">
        <f>IF(ISERROR(B26*3.6/1000000/'E Balans VL '!Z12*100),0,B26*3.6/1000000/'E Balans VL '!Z12*100)</f>
        <v>0.31862831672220809</v>
      </c>
      <c r="D26" s="239" t="s">
        <v>692</v>
      </c>
      <c r="F26" s="6"/>
    </row>
    <row r="27" spans="1:18">
      <c r="A27" s="233" t="s">
        <v>53</v>
      </c>
      <c r="B27" s="33">
        <f>IF(ISERROR(TER_horeca_ele_kWh/1000),0,TER_horeca_ele_kWh/1000)</f>
        <v>3339.37000328267</v>
      </c>
      <c r="C27" s="39">
        <f>IF(ISERROR(B27*3.6/1000000/'E Balans VL '!Z9*100),0,B27*3.6/1000000/'E Balans VL '!Z9*100)</f>
        <v>0.25965635478000615</v>
      </c>
      <c r="D27" s="239" t="s">
        <v>692</v>
      </c>
      <c r="F27" s="6"/>
    </row>
    <row r="28" spans="1:18">
      <c r="A28" s="173" t="s">
        <v>52</v>
      </c>
      <c r="B28" s="33">
        <f>IF(ISERROR(TER_handel_ele_kWh/1000),0,TER_handel_ele_kWh/1000)</f>
        <v>20531.639506985601</v>
      </c>
      <c r="C28" s="39">
        <f>IF(ISERROR(B28*3.6/1000000/'E Balans VL '!Z13*100),0,B28*3.6/1000000/'E Balans VL '!Z13*100)</f>
        <v>0.58743436961737794</v>
      </c>
      <c r="D28" s="239" t="s">
        <v>692</v>
      </c>
      <c r="F28" s="6"/>
    </row>
    <row r="29" spans="1:18">
      <c r="A29" s="233" t="s">
        <v>51</v>
      </c>
      <c r="B29" s="33">
        <f>IF(ISERROR(TER_gezond_ele_kWh/1000),0,TER_gezond_ele_kWh/1000)</f>
        <v>1023.94863570337</v>
      </c>
      <c r="C29" s="39">
        <f>IF(ISERROR(B29*3.6/1000000/'E Balans VL '!Z10*100),0,B29*3.6/1000000/'E Balans VL '!Z10*100)</f>
        <v>0.11163419500433767</v>
      </c>
      <c r="D29" s="239" t="s">
        <v>692</v>
      </c>
      <c r="F29" s="6"/>
    </row>
    <row r="30" spans="1:18">
      <c r="A30" s="233" t="s">
        <v>50</v>
      </c>
      <c r="B30" s="33">
        <f>IF(ISERROR(TER_ander_ele_kWh/1000),0,TER_ander_ele_kWh/1000)</f>
        <v>2634.59889836507</v>
      </c>
      <c r="C30" s="39">
        <f>IF(ISERROR(B30*3.6/1000000/'E Balans VL '!Z14*100),0,B30*3.6/1000000/'E Balans VL '!Z14*100)</f>
        <v>0.19279397093642917</v>
      </c>
      <c r="D30" s="239" t="s">
        <v>692</v>
      </c>
      <c r="F30" s="6"/>
    </row>
    <row r="31" spans="1:18">
      <c r="A31" s="233" t="s">
        <v>55</v>
      </c>
      <c r="B31" s="33">
        <f>IF(ISERROR(TER_onderwijs_ele_kWh/1000),0,TER_onderwijs_ele_kWh/1000)</f>
        <v>1099.2455144704102</v>
      </c>
      <c r="C31" s="39">
        <f>IF(ISERROR(B31*3.6/1000000/'E Balans VL '!Z11*100),0,B31*3.6/1000000/'E Balans VL '!Z11*100)</f>
        <v>0.22078427785859212</v>
      </c>
      <c r="D31" s="239" t="s">
        <v>692</v>
      </c>
    </row>
    <row r="32" spans="1:18">
      <c r="A32" s="233" t="s">
        <v>260</v>
      </c>
      <c r="B32" s="33">
        <f>IF(ISERROR(TER_rest_ele_kWh/1000),0,TER_rest_ele_kWh/1000)</f>
        <v>4567.12043682072</v>
      </c>
      <c r="C32" s="39">
        <f>IF(ISERROR(B32*3.6/1000000/'E Balans VL '!Z8*100),0,B32*3.6/1000000/'E Balans VL '!Z8*100)</f>
        <v>3.7219259915520789E-2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54561.691617593096</v>
      </c>
      <c r="C5" s="17">
        <f>IF(ISERROR('Eigen informatie GS &amp; warmtenet'!B59),0,'Eigen informatie GS &amp; warmtenet'!B59)</f>
        <v>0</v>
      </c>
      <c r="D5" s="30">
        <f>SUM(D6:D15)</f>
        <v>133265.18292680578</v>
      </c>
      <c r="E5" s="17">
        <f>SUM(E6:E15)</f>
        <v>4793.9843934669261</v>
      </c>
      <c r="F5" s="17">
        <f>SUM(F6:F15)</f>
        <v>45432.49131811758</v>
      </c>
      <c r="G5" s="18"/>
      <c r="H5" s="17"/>
      <c r="I5" s="17"/>
      <c r="J5" s="17">
        <f>SUM(J6:J15)</f>
        <v>63.066373877494875</v>
      </c>
      <c r="K5" s="17"/>
      <c r="L5" s="17"/>
      <c r="M5" s="17"/>
      <c r="N5" s="17">
        <f>SUM(N6:N15)</f>
        <v>13827.78882697639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786.24872399681294</v>
      </c>
      <c r="C8" s="33"/>
      <c r="D8" s="37">
        <f>IF( ISERROR(IND_metaal_Gas_kWH/1000),0,IND_metaal_Gas_kWH/1000)*0.902</f>
        <v>206.81344448123406</v>
      </c>
      <c r="E8" s="33">
        <f>C30*'E Balans VL '!I18/100/3.6*1000000</f>
        <v>22.584014568847476</v>
      </c>
      <c r="F8" s="33">
        <f>C30*'E Balans VL '!L18/100/3.6*1000000+C30*'E Balans VL '!N18/100/3.6*1000000</f>
        <v>201.65767596905599</v>
      </c>
      <c r="G8" s="34"/>
      <c r="H8" s="33"/>
      <c r="I8" s="33"/>
      <c r="J8" s="40">
        <f>C30*'E Balans VL '!D18/100/3.6*1000000+C30*'E Balans VL '!E18/100/3.6*1000000</f>
        <v>0</v>
      </c>
      <c r="K8" s="33"/>
      <c r="L8" s="33"/>
      <c r="M8" s="33"/>
      <c r="N8" s="33">
        <f>C30*'E Balans VL '!Y18/100/3.6*1000000</f>
        <v>21.348257817546372</v>
      </c>
      <c r="O8" s="33"/>
      <c r="P8" s="33"/>
      <c r="R8" s="32"/>
    </row>
    <row r="9" spans="1:18">
      <c r="A9" s="6" t="s">
        <v>33</v>
      </c>
      <c r="B9" s="37">
        <f t="shared" si="0"/>
        <v>5483.4837195862301</v>
      </c>
      <c r="C9" s="33"/>
      <c r="D9" s="37">
        <f>IF( ISERROR(IND_andere_gas_kWh/1000),0,IND_andere_gas_kWh/1000)*0.902</f>
        <v>11730.978134986148</v>
      </c>
      <c r="E9" s="33">
        <f>C31*'E Balans VL '!I19/100/3.6*1000000</f>
        <v>1484.2442202559955</v>
      </c>
      <c r="F9" s="33">
        <f>C31*'E Balans VL '!L19/100/3.6*1000000+C31*'E Balans VL '!N19/100/3.6*1000000</f>
        <v>3652.5804310354993</v>
      </c>
      <c r="G9" s="34"/>
      <c r="H9" s="33"/>
      <c r="I9" s="33"/>
      <c r="J9" s="40">
        <f>C31*'E Balans VL '!D19/100/3.6*1000000+C31*'E Balans VL '!E19/100/3.6*1000000</f>
        <v>0</v>
      </c>
      <c r="K9" s="33"/>
      <c r="L9" s="33"/>
      <c r="M9" s="33"/>
      <c r="N9" s="33">
        <f>C31*'E Balans VL '!Y19/100/3.6*1000000</f>
        <v>1790.266345982147</v>
      </c>
      <c r="O9" s="33"/>
      <c r="P9" s="33"/>
      <c r="R9" s="32"/>
    </row>
    <row r="10" spans="1:18">
      <c r="A10" s="6" t="s">
        <v>41</v>
      </c>
      <c r="B10" s="37">
        <f t="shared" si="0"/>
        <v>24048.2354524119</v>
      </c>
      <c r="C10" s="33"/>
      <c r="D10" s="37">
        <f>IF( ISERROR(IND_voed_gas_kWh/1000),0,IND_voed_gas_kWh/1000)*0.902</f>
        <v>92701.477533427489</v>
      </c>
      <c r="E10" s="33">
        <f>C32*'E Balans VL '!I20/100/3.6*1000000</f>
        <v>1961.4293328820033</v>
      </c>
      <c r="F10" s="33">
        <f>C32*'E Balans VL '!L20/100/3.6*1000000+C32*'E Balans VL '!N20/100/3.6*1000000</f>
        <v>35858.100906642649</v>
      </c>
      <c r="G10" s="34"/>
      <c r="H10" s="33"/>
      <c r="I10" s="33"/>
      <c r="J10" s="40">
        <f>C32*'E Balans VL '!D20/100/3.6*1000000+C32*'E Balans VL '!E20/100/3.6*1000000</f>
        <v>0.31812896439351274</v>
      </c>
      <c r="K10" s="33"/>
      <c r="L10" s="33"/>
      <c r="M10" s="33"/>
      <c r="N10" s="33">
        <f>C32*'E Balans VL '!Y20/100/3.6*1000000</f>
        <v>7064.5230051890667</v>
      </c>
      <c r="O10" s="33"/>
      <c r="P10" s="33"/>
      <c r="R10" s="32"/>
    </row>
    <row r="11" spans="1:18">
      <c r="A11" s="6" t="s">
        <v>40</v>
      </c>
      <c r="B11" s="37">
        <f t="shared" si="0"/>
        <v>45.608322466995901</v>
      </c>
      <c r="C11" s="33"/>
      <c r="D11" s="37">
        <f>IF( ISERROR(IND_textiel_gas_kWh/1000),0,IND_textiel_gas_kWh/1000)*0.902</f>
        <v>79.653373556255474</v>
      </c>
      <c r="E11" s="33">
        <f>C33*'E Balans VL '!I21/100/3.6*1000000</f>
        <v>9.0405026459983006E-3</v>
      </c>
      <c r="F11" s="33">
        <f>C33*'E Balans VL '!L21/100/3.6*1000000+C33*'E Balans VL '!N21/100/3.6*1000000</f>
        <v>1.6798095430761775</v>
      </c>
      <c r="G11" s="34"/>
      <c r="H11" s="33"/>
      <c r="I11" s="33"/>
      <c r="J11" s="40">
        <f>C33*'E Balans VL '!D21/100/3.6*1000000+C33*'E Balans VL '!E21/100/3.6*1000000</f>
        <v>0</v>
      </c>
      <c r="K11" s="33"/>
      <c r="L11" s="33"/>
      <c r="M11" s="33"/>
      <c r="N11" s="33">
        <f>C33*'E Balans VL '!Y21/100/3.6*1000000</f>
        <v>0.21206718602238417</v>
      </c>
      <c r="O11" s="33"/>
      <c r="P11" s="33"/>
      <c r="R11" s="32"/>
    </row>
    <row r="12" spans="1:18">
      <c r="A12" s="6" t="s">
        <v>37</v>
      </c>
      <c r="B12" s="37">
        <f t="shared" si="0"/>
        <v>371.32725991964998</v>
      </c>
      <c r="C12" s="33"/>
      <c r="D12" s="37">
        <f>IF( ISERROR(IND_min_gas_kWh/1000),0,IND_min_gas_kWh/1000)*0.902</f>
        <v>0</v>
      </c>
      <c r="E12" s="33">
        <f>C34*'E Balans VL '!I22/100/3.6*1000000</f>
        <v>2.8925584460080622</v>
      </c>
      <c r="F12" s="33">
        <f>C34*'E Balans VL '!L22/100/3.6*1000000+C34*'E Balans VL '!N22/100/3.6*1000000</f>
        <v>140.04182368463384</v>
      </c>
      <c r="G12" s="34"/>
      <c r="H12" s="33"/>
      <c r="I12" s="33"/>
      <c r="J12" s="40">
        <f>C34*'E Balans VL '!D22/100/3.6*1000000+C34*'E Balans VL '!E22/100/3.6*1000000</f>
        <v>2.0422674633287032</v>
      </c>
      <c r="K12" s="33"/>
      <c r="L12" s="33"/>
      <c r="M12" s="33"/>
      <c r="N12" s="33">
        <f>C34*'E Balans VL '!Y22/100/3.6*1000000</f>
        <v>0</v>
      </c>
      <c r="O12" s="33"/>
      <c r="P12" s="33"/>
      <c r="R12" s="32"/>
    </row>
    <row r="13" spans="1:18">
      <c r="A13" s="6" t="s">
        <v>39</v>
      </c>
      <c r="B13" s="37">
        <f t="shared" si="0"/>
        <v>141.853299746104</v>
      </c>
      <c r="C13" s="33"/>
      <c r="D13" s="37">
        <f>IF( ISERROR(IND_papier_gas_kWh/1000),0,IND_papier_gas_kWh/1000)*0.902</f>
        <v>270.18976246397665</v>
      </c>
      <c r="E13" s="33">
        <f>C35*'E Balans VL '!I23/100/3.6*1000000</f>
        <v>1.4861717400143031</v>
      </c>
      <c r="F13" s="33">
        <f>C35*'E Balans VL '!L23/100/3.6*1000000+C35*'E Balans VL '!N23/100/3.6*1000000</f>
        <v>10.585118369988932</v>
      </c>
      <c r="G13" s="34"/>
      <c r="H13" s="33"/>
      <c r="I13" s="33"/>
      <c r="J13" s="40">
        <f>C35*'E Balans VL '!D23/100/3.6*1000000+C35*'E Balans VL '!E23/100/3.6*1000000</f>
        <v>0</v>
      </c>
      <c r="K13" s="33"/>
      <c r="L13" s="33"/>
      <c r="M13" s="33"/>
      <c r="N13" s="33">
        <f>C35*'E Balans VL '!Y23/100/3.6*1000000</f>
        <v>303.19662200974068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23684.934839465397</v>
      </c>
      <c r="C15" s="33"/>
      <c r="D15" s="37">
        <f>IF( ISERROR(IND_rest_gas_kWh/1000),0,IND_rest_gas_kWh/1000)*0.902</f>
        <v>28276.070677890686</v>
      </c>
      <c r="E15" s="33">
        <f>C37*'E Balans VL '!I15/100/3.6*1000000</f>
        <v>1321.3390550714121</v>
      </c>
      <c r="F15" s="33">
        <f>C37*'E Balans VL '!L15/100/3.6*1000000+C37*'E Balans VL '!N15/100/3.6*1000000</f>
        <v>5567.8455528726736</v>
      </c>
      <c r="G15" s="34"/>
      <c r="H15" s="33"/>
      <c r="I15" s="33"/>
      <c r="J15" s="40">
        <f>C37*'E Balans VL '!D15/100/3.6*1000000+C37*'E Balans VL '!E15/100/3.6*1000000</f>
        <v>60.705977449772661</v>
      </c>
      <c r="K15" s="33"/>
      <c r="L15" s="33"/>
      <c r="M15" s="33"/>
      <c r="N15" s="33">
        <f>C37*'E Balans VL '!Y15/100/3.6*1000000</f>
        <v>4648.2425287918668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54561.691617593096</v>
      </c>
      <c r="C18" s="21">
        <f>C5+C16</f>
        <v>0</v>
      </c>
      <c r="D18" s="21">
        <f>MAX((D5+D16),0)</f>
        <v>133265.18292680578</v>
      </c>
      <c r="E18" s="21">
        <f>MAX((E5+E16),0)</f>
        <v>4793.9843934669261</v>
      </c>
      <c r="F18" s="21">
        <f>MAX((F5+F16),0)</f>
        <v>45432.49131811758</v>
      </c>
      <c r="G18" s="21"/>
      <c r="H18" s="21"/>
      <c r="I18" s="21"/>
      <c r="J18" s="21">
        <f>MAX((J5+J16),0)</f>
        <v>63.066373877494875</v>
      </c>
      <c r="K18" s="21"/>
      <c r="L18" s="21">
        <f>MAX((L5+L16),0)</f>
        <v>0</v>
      </c>
      <c r="M18" s="21"/>
      <c r="N18" s="21">
        <f>MAX((N5+N16),0)</f>
        <v>13827.78882697639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0.21659701902346426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11817.899757248202</v>
      </c>
      <c r="C22" s="23">
        <f ca="1">C18*C20</f>
        <v>0</v>
      </c>
      <c r="D22" s="23">
        <f>D18*D20</f>
        <v>26919.566951214769</v>
      </c>
      <c r="E22" s="23">
        <f>E18*E20</f>
        <v>1088.2344573169923</v>
      </c>
      <c r="F22" s="23">
        <f>F18*F20</f>
        <v>12130.475181937394</v>
      </c>
      <c r="G22" s="23"/>
      <c r="H22" s="23"/>
      <c r="I22" s="23"/>
      <c r="J22" s="23">
        <f>J18*J20</f>
        <v>22.325496352633184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786.24872399681294</v>
      </c>
      <c r="C30" s="39">
        <f>IF(ISERROR(B30*3.6/1000000/'E Balans VL '!Z18*100),0,B30*3.6/1000000/'E Balans VL '!Z18*100)</f>
        <v>7.7364867362098258E-2</v>
      </c>
      <c r="D30" s="239" t="s">
        <v>692</v>
      </c>
    </row>
    <row r="31" spans="1:18">
      <c r="A31" s="6" t="s">
        <v>33</v>
      </c>
      <c r="B31" s="37">
        <f>IF( ISERROR(IND_ander_ele_kWh/1000),0,IND_ander_ele_kWh/1000)</f>
        <v>5483.4837195862301</v>
      </c>
      <c r="C31" s="39">
        <f>IF(ISERROR(B31*3.6/1000000/'E Balans VL '!Z19*100),0,B31*3.6/1000000/'E Balans VL '!Z19*100)</f>
        <v>0.23880134185610527</v>
      </c>
      <c r="D31" s="239" t="s">
        <v>692</v>
      </c>
    </row>
    <row r="32" spans="1:18">
      <c r="A32" s="173" t="s">
        <v>41</v>
      </c>
      <c r="B32" s="37">
        <f>IF( ISERROR(IND_voed_ele_kWh/1000),0,IND_voed_ele_kWh/1000)</f>
        <v>24048.2354524119</v>
      </c>
      <c r="C32" s="39">
        <f>IF(ISERROR(B32*3.6/1000000/'E Balans VL '!Z20*100),0,B32*3.6/1000000/'E Balans VL '!Z20*100)</f>
        <v>4.5628058638111577</v>
      </c>
      <c r="D32" s="239" t="s">
        <v>692</v>
      </c>
    </row>
    <row r="33" spans="1:5">
      <c r="A33" s="173" t="s">
        <v>40</v>
      </c>
      <c r="B33" s="37">
        <f>IF( ISERROR(IND_textiel_ele_kWh/1000),0,IND_textiel_ele_kWh/1000)</f>
        <v>45.608322466995901</v>
      </c>
      <c r="C33" s="39">
        <f>IF(ISERROR(B33*3.6/1000000/'E Balans VL '!Z21*100),0,B33*3.6/1000000/'E Balans VL '!Z21*100)</f>
        <v>2.6040039214154549E-3</v>
      </c>
      <c r="D33" s="239" t="s">
        <v>692</v>
      </c>
    </row>
    <row r="34" spans="1:5">
      <c r="A34" s="173" t="s">
        <v>37</v>
      </c>
      <c r="B34" s="37">
        <f>IF( ISERROR(IND_min_ele_kWh/1000),0,IND_min_ele_kWh/1000)</f>
        <v>371.32725991964998</v>
      </c>
      <c r="C34" s="39">
        <f>IF(ISERROR(B34*3.6/1000000/'E Balans VL '!Z22*100),0,B34*3.6/1000000/'E Balans VL '!Z22*100)</f>
        <v>5.2212341496823064E-2</v>
      </c>
      <c r="D34" s="239" t="s">
        <v>692</v>
      </c>
    </row>
    <row r="35" spans="1:5">
      <c r="A35" s="173" t="s">
        <v>39</v>
      </c>
      <c r="B35" s="37">
        <f>IF( ISERROR(IND_papier_ele_kWh/1000),0,IND_papier_ele_kWh/1000)</f>
        <v>141.853299746104</v>
      </c>
      <c r="C35" s="39">
        <f>IF(ISERROR(B35*3.6/1000000/'E Balans VL '!Z22*100),0,B35*3.6/1000000/'E Balans VL '!Z22*100)</f>
        <v>1.9945998390738805E-2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23684.934839465397</v>
      </c>
      <c r="C37" s="39">
        <f>IF(ISERROR(B37*3.6/1000000/'E Balans VL '!Z15*100),0,B37*3.6/1000000/'E Balans VL '!Z15*100)</f>
        <v>0.1825215140345692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273.47956838062953</v>
      </c>
      <c r="C5" s="17">
        <f>'Eigen informatie GS &amp; warmtenet'!B60</f>
        <v>0</v>
      </c>
      <c r="D5" s="30">
        <f>IF(ISERROR(SUM(LB_lb_gas_kWh,LB_rest_gas_kWh,onbekend_gas_kWh)/1000),0,SUM(LB_lb_gas_kWh,LB_rest_gas_kWh,onbekend_gas_kWh)/1000)*0.902</f>
        <v>11024.433731527497</v>
      </c>
      <c r="E5" s="17">
        <f>B17*'E Balans VL '!I25/3.6*1000000/100</f>
        <v>3.4461948749125533</v>
      </c>
      <c r="F5" s="17">
        <f>B17*('E Balans VL '!L25/3.6*1000000+'E Balans VL '!N25/3.6*1000000)/100</f>
        <v>943.5730216387351</v>
      </c>
      <c r="G5" s="18"/>
      <c r="H5" s="17"/>
      <c r="I5" s="17"/>
      <c r="J5" s="17">
        <f>('E Balans VL '!D25+'E Balans VL '!E25)/3.6*1000000*landbouw!B17/100</f>
        <v>41.128218278433316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273.47956838062953</v>
      </c>
      <c r="C8" s="21">
        <f>C5+C6</f>
        <v>0</v>
      </c>
      <c r="D8" s="21">
        <f>MAX((D5+D6),0)</f>
        <v>11024.433731527497</v>
      </c>
      <c r="E8" s="21">
        <f>MAX((E5+E6),0)</f>
        <v>3.4461948749125533</v>
      </c>
      <c r="F8" s="21">
        <f>MAX((F5+F6),0)</f>
        <v>943.5730216387351</v>
      </c>
      <c r="G8" s="21"/>
      <c r="H8" s="21"/>
      <c r="I8" s="21"/>
      <c r="J8" s="21">
        <f>MAX((J5+J6),0)</f>
        <v>41.128218278433316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0.21659701902346426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59.234859275068011</v>
      </c>
      <c r="C12" s="23">
        <f ca="1">C8*C10</f>
        <v>0</v>
      </c>
      <c r="D12" s="23">
        <f>D8*D10</f>
        <v>2226.9356137685545</v>
      </c>
      <c r="E12" s="23">
        <f>E8*E10</f>
        <v>0.78228623660514962</v>
      </c>
      <c r="F12" s="23">
        <f>F8*F10</f>
        <v>251.93399677754229</v>
      </c>
      <c r="G12" s="23"/>
      <c r="H12" s="23"/>
      <c r="I12" s="23"/>
      <c r="J12" s="23">
        <f>J8*J10</f>
        <v>14.559389270565394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3.8141780213436942E-2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11.716516929485795</v>
      </c>
      <c r="C26" s="249">
        <f>B26*'GWP N2O_CH4'!B5</f>
        <v>246.0468555192017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1.3606588555557331</v>
      </c>
      <c r="C27" s="249">
        <f>B27*'GWP N2O_CH4'!B5</f>
        <v>28.573835966670394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0.15299210268321187</v>
      </c>
      <c r="C28" s="249">
        <f>B28*'GWP N2O_CH4'!B4</f>
        <v>47.427551831795675</v>
      </c>
      <c r="D28" s="50"/>
    </row>
    <row r="29" spans="1:4">
      <c r="A29" s="41" t="s">
        <v>277</v>
      </c>
      <c r="B29" s="249">
        <f>B34*'ha_N2O bodem landbouw'!B4</f>
        <v>1.1377152137345912</v>
      </c>
      <c r="C29" s="249">
        <f>B29*'GWP N2O_CH4'!B4</f>
        <v>352.69171625772327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2.8407612050181824E-4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6.0399001581764446E-5</v>
      </c>
      <c r="C5" s="448" t="s">
        <v>211</v>
      </c>
      <c r="D5" s="433">
        <f>SUM(D6:D11)</f>
        <v>9.6987230698620727E-5</v>
      </c>
      <c r="E5" s="433">
        <f>SUM(E6:E11)</f>
        <v>3.4056264203846474E-3</v>
      </c>
      <c r="F5" s="446" t="s">
        <v>211</v>
      </c>
      <c r="G5" s="433">
        <f>SUM(G6:G11)</f>
        <v>1.0064521185615518</v>
      </c>
      <c r="H5" s="433">
        <f>SUM(H6:H11)</f>
        <v>0.14953475022408927</v>
      </c>
      <c r="I5" s="448" t="s">
        <v>211</v>
      </c>
      <c r="J5" s="448" t="s">
        <v>211</v>
      </c>
      <c r="K5" s="448" t="s">
        <v>211</v>
      </c>
      <c r="L5" s="448" t="s">
        <v>211</v>
      </c>
      <c r="M5" s="433">
        <f>SUM(M6:M11)</f>
        <v>5.1804006216595727E-2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1.6456041942068684E-5</v>
      </c>
      <c r="C6" s="949"/>
      <c r="D6" s="949">
        <f>vkm_2011_GW_PW*SUMIFS(TableVerdeelsleutelVkm[CNG],TableVerdeelsleutelVkm[Voertuigtype],"Lichte voertuigen")*SUMIFS(TableECFTransport[EnergieConsumptieFactor (PJ per km)],TableECFTransport[Index],CONCATENATE($A6,"_CNG_CNG"))</f>
        <v>2.330497387276363E-5</v>
      </c>
      <c r="E6" s="949">
        <f>vkm_2011_GW_PW*SUMIFS(TableVerdeelsleutelVkm[LPG],TableVerdeelsleutelVkm[Voertuigtype],"Lichte voertuigen")*SUMIFS(TableECFTransport[EnergieConsumptieFactor (PJ per km)],TableECFTransport[Index],CONCATENATE($A6,"_LPG_LPG"))</f>
        <v>7.3193250734404007E-4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0.13154831337435838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3.5348228561314109E-2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7.4476633578228323E-3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2.9993559811949795E-2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1.0686269343664704E-5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1.3534845627651399E-3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8.3345369649295215E-6</v>
      </c>
      <c r="C8" s="949"/>
      <c r="D8" s="436">
        <f>vkm_2011_NGW_PW*SUMIFS(TableVerdeelsleutelVkm[CNG],TableVerdeelsleutelVkm[Voertuigtype],"Lichte voertuigen")*SUMIFS(TableECFTransport[EnergieConsumptieFactor (PJ per km)],TableECFTransport[Index],CONCATENATE($A8,"_CNG_CNG"))</f>
        <v>2.1027841522519637E-5</v>
      </c>
      <c r="E8" s="436">
        <f>vkm_2011_NGW_PW*SUMIFS(TableVerdeelsleutelVkm[LPG],TableVerdeelsleutelVkm[Voertuigtype],"Lichte voertuigen")*SUMIFS(TableECFTransport[EnergieConsumptieFactor (PJ per km)],TableECFTransport[Index],CONCATENATE($A8,"_LPG_LPG"))</f>
        <v>6.0828817436613374E-4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0.10311074412341641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3.0774908561025157E-2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5.9690202970145633E-3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1.3483523018696595E-2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4.5459660225635894E-6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6.0844424707103071E-4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3.5608422674766242E-5</v>
      </c>
      <c r="C10" s="949"/>
      <c r="D10" s="436">
        <f>vkm_2011_SW_PW*SUMIFS(TableVerdeelsleutelVkm[CNG],TableVerdeelsleutelVkm[Voertuigtype],"Lichte voertuigen")*SUMIFS(TableECFTransport[EnergieConsumptieFactor (PJ per km)],TableECFTransport[Index],CONCATENATE($A10,"_CNG_CNG"))</f>
        <v>5.265441530333745E-5</v>
      </c>
      <c r="E10" s="436">
        <f>vkm_2011_SW_PW*SUMIFS(TableVerdeelsleutelVkm[LPG],TableVerdeelsleutelVkm[Voertuigtype],"Lichte voertuigen")*SUMIFS(TableECFTransport[EnergieConsumptieFactor (PJ per km)],TableECFTransport[Index],CONCATENATE($A10,"_LPG_LPG"))</f>
        <v>2.0654057386744733E-3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0.33618733504875059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8.3245718045074232E-2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1.8729790621197465E-2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0.39212864318437995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1.5066282130955539E-4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1.7695603130724703E-2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16.777500439379011</v>
      </c>
      <c r="C14" s="21"/>
      <c r="D14" s="21">
        <f t="shared" ref="D14:M14" si="0">((D5)*10^9/3600)+D12</f>
        <v>26.940897416283534</v>
      </c>
      <c r="E14" s="21">
        <f t="shared" si="0"/>
        <v>946.00733899573538</v>
      </c>
      <c r="F14" s="21"/>
      <c r="G14" s="21">
        <f t="shared" si="0"/>
        <v>279570.03293376439</v>
      </c>
      <c r="H14" s="21">
        <f t="shared" si="0"/>
        <v>41537.430617802573</v>
      </c>
      <c r="I14" s="21"/>
      <c r="J14" s="21"/>
      <c r="K14" s="21"/>
      <c r="L14" s="21"/>
      <c r="M14" s="21">
        <f t="shared" si="0"/>
        <v>14390.001726832146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0.21659701902346426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3.6339565818343558</v>
      </c>
      <c r="C18" s="23"/>
      <c r="D18" s="23">
        <f t="shared" ref="D18:M18" si="1">D14*D16</f>
        <v>5.4420612780892741</v>
      </c>
      <c r="E18" s="23">
        <f t="shared" si="1"/>
        <v>214.74366595203193</v>
      </c>
      <c r="F18" s="23"/>
      <c r="G18" s="23">
        <f t="shared" si="1"/>
        <v>74645.198793315096</v>
      </c>
      <c r="H18" s="23">
        <f t="shared" si="1"/>
        <v>10342.820223832841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1.3665226512751719E-2</v>
      </c>
      <c r="H50" s="323">
        <f t="shared" si="2"/>
        <v>0</v>
      </c>
      <c r="I50" s="323">
        <f t="shared" si="2"/>
        <v>0</v>
      </c>
      <c r="J50" s="323">
        <f t="shared" si="2"/>
        <v>0</v>
      </c>
      <c r="K50" s="323">
        <f t="shared" si="2"/>
        <v>0</v>
      </c>
      <c r="L50" s="323">
        <f t="shared" si="2"/>
        <v>0</v>
      </c>
      <c r="M50" s="323">
        <f t="shared" si="2"/>
        <v>6.0772604702341083E-4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1.3665226512751719E-2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6.0772604702341083E-4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3795.8962535421442</v>
      </c>
      <c r="H54" s="21">
        <f t="shared" si="3"/>
        <v>0</v>
      </c>
      <c r="I54" s="21">
        <f t="shared" si="3"/>
        <v>0</v>
      </c>
      <c r="J54" s="21">
        <f t="shared" si="3"/>
        <v>0</v>
      </c>
      <c r="K54" s="21">
        <f t="shared" si="3"/>
        <v>0</v>
      </c>
      <c r="L54" s="21">
        <f t="shared" si="3"/>
        <v>0</v>
      </c>
      <c r="M54" s="21">
        <f t="shared" si="3"/>
        <v>168.81279083983634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0.21659701902346426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1013.5042996957526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3332.7156298969985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3332.7156298969985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50084.828338425134</v>
      </c>
      <c r="D10" s="704">
        <f ca="1">tertiair!C16</f>
        <v>0</v>
      </c>
      <c r="E10" s="704">
        <f ca="1">tertiair!D16</f>
        <v>64521.924812622063</v>
      </c>
      <c r="F10" s="704">
        <f>tertiair!E16</f>
        <v>611.94674075764942</v>
      </c>
      <c r="G10" s="704">
        <f ca="1">tertiair!F16</f>
        <v>9057.8085770161779</v>
      </c>
      <c r="H10" s="704">
        <f>tertiair!G16</f>
        <v>0</v>
      </c>
      <c r="I10" s="704">
        <f>tertiair!H16</f>
        <v>0</v>
      </c>
      <c r="J10" s="704">
        <f>tertiair!I16</f>
        <v>0</v>
      </c>
      <c r="K10" s="704">
        <f>tertiair!J16</f>
        <v>0</v>
      </c>
      <c r="L10" s="704">
        <f>tertiair!K16</f>
        <v>0</v>
      </c>
      <c r="M10" s="704">
        <f ca="1">tertiair!L16</f>
        <v>0</v>
      </c>
      <c r="N10" s="704">
        <f>tertiair!M16</f>
        <v>0</v>
      </c>
      <c r="O10" s="704">
        <f ca="1">tertiair!N16</f>
        <v>2277.6392258836909</v>
      </c>
      <c r="P10" s="704">
        <f>tertiair!O16</f>
        <v>1.5633333333333335</v>
      </c>
      <c r="Q10" s="705">
        <f>tertiair!P16</f>
        <v>0</v>
      </c>
      <c r="R10" s="707">
        <f ca="1">SUM(C10:Q10)</f>
        <v>126555.71102803803</v>
      </c>
      <c r="S10" s="67"/>
    </row>
    <row r="11" spans="1:19" s="459" customFormat="1">
      <c r="A11" s="858" t="s">
        <v>225</v>
      </c>
      <c r="B11" s="863"/>
      <c r="C11" s="704">
        <f>huishoudens!B8</f>
        <v>62343.108609993738</v>
      </c>
      <c r="D11" s="704">
        <f>huishoudens!C8</f>
        <v>0</v>
      </c>
      <c r="E11" s="704">
        <f>huishoudens!D8</f>
        <v>203007.08875348038</v>
      </c>
      <c r="F11" s="704">
        <f>huishoudens!E8</f>
        <v>2143.3066137247365</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13559.232655816944</v>
      </c>
      <c r="P11" s="704">
        <f>huishoudens!O8</f>
        <v>178.22</v>
      </c>
      <c r="Q11" s="705">
        <f>huishoudens!P8</f>
        <v>419.4666666666667</v>
      </c>
      <c r="R11" s="707">
        <f>SUM(C11:Q11)</f>
        <v>281650.42329968244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54561.691617593096</v>
      </c>
      <c r="D13" s="704">
        <f>industrie!C18</f>
        <v>0</v>
      </c>
      <c r="E13" s="704">
        <f>industrie!D18</f>
        <v>133265.18292680578</v>
      </c>
      <c r="F13" s="704">
        <f>industrie!E18</f>
        <v>4793.9843934669261</v>
      </c>
      <c r="G13" s="704">
        <f>industrie!F18</f>
        <v>45432.49131811758</v>
      </c>
      <c r="H13" s="704">
        <f>industrie!G18</f>
        <v>0</v>
      </c>
      <c r="I13" s="704">
        <f>industrie!H18</f>
        <v>0</v>
      </c>
      <c r="J13" s="704">
        <f>industrie!I18</f>
        <v>0</v>
      </c>
      <c r="K13" s="704">
        <f>industrie!J18</f>
        <v>63.066373877494875</v>
      </c>
      <c r="L13" s="704">
        <f>industrie!K18</f>
        <v>0</v>
      </c>
      <c r="M13" s="704">
        <f>industrie!L18</f>
        <v>0</v>
      </c>
      <c r="N13" s="704">
        <f>industrie!M18</f>
        <v>0</v>
      </c>
      <c r="O13" s="704">
        <f>industrie!N18</f>
        <v>13827.78882697639</v>
      </c>
      <c r="P13" s="704">
        <f>industrie!O18</f>
        <v>0</v>
      </c>
      <c r="Q13" s="705">
        <f>industrie!P18</f>
        <v>0</v>
      </c>
      <c r="R13" s="707">
        <f>SUM(C13:Q13)</f>
        <v>251944.20545683723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166989.62856601196</v>
      </c>
      <c r="D15" s="709">
        <f t="shared" ref="D15:Q15" ca="1" si="0">SUM(D9:D14)</f>
        <v>0</v>
      </c>
      <c r="E15" s="709">
        <f t="shared" ca="1" si="0"/>
        <v>400794.19649290817</v>
      </c>
      <c r="F15" s="709">
        <f t="shared" si="0"/>
        <v>7549.2377479493116</v>
      </c>
      <c r="G15" s="709">
        <f t="shared" ca="1" si="0"/>
        <v>54490.299895133758</v>
      </c>
      <c r="H15" s="709">
        <f t="shared" si="0"/>
        <v>0</v>
      </c>
      <c r="I15" s="709">
        <f t="shared" si="0"/>
        <v>0</v>
      </c>
      <c r="J15" s="709">
        <f t="shared" si="0"/>
        <v>0</v>
      </c>
      <c r="K15" s="709">
        <f t="shared" si="0"/>
        <v>63.066373877494875</v>
      </c>
      <c r="L15" s="709">
        <f t="shared" si="0"/>
        <v>0</v>
      </c>
      <c r="M15" s="709">
        <f t="shared" ca="1" si="0"/>
        <v>0</v>
      </c>
      <c r="N15" s="709">
        <f t="shared" si="0"/>
        <v>0</v>
      </c>
      <c r="O15" s="709">
        <f t="shared" ca="1" si="0"/>
        <v>29664.660708677024</v>
      </c>
      <c r="P15" s="709">
        <f t="shared" si="0"/>
        <v>179.78333333333333</v>
      </c>
      <c r="Q15" s="710">
        <f t="shared" si="0"/>
        <v>419.4666666666667</v>
      </c>
      <c r="R15" s="711">
        <f ca="1">SUM(R9:R14)</f>
        <v>660150.3397845577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3795.8962535421442</v>
      </c>
      <c r="I18" s="704">
        <f>transport!H54</f>
        <v>0</v>
      </c>
      <c r="J18" s="704">
        <f>transport!I54</f>
        <v>0</v>
      </c>
      <c r="K18" s="704">
        <f>transport!J54</f>
        <v>0</v>
      </c>
      <c r="L18" s="704">
        <f>transport!K54</f>
        <v>0</v>
      </c>
      <c r="M18" s="704">
        <f>transport!L54</f>
        <v>0</v>
      </c>
      <c r="N18" s="704">
        <f>transport!M54</f>
        <v>168.81279083983634</v>
      </c>
      <c r="O18" s="704">
        <f>transport!N54</f>
        <v>0</v>
      </c>
      <c r="P18" s="704">
        <f>transport!O54</f>
        <v>0</v>
      </c>
      <c r="Q18" s="705">
        <f>transport!P54</f>
        <v>0</v>
      </c>
      <c r="R18" s="707">
        <f>SUM(C18:Q18)</f>
        <v>3964.7090443819807</v>
      </c>
      <c r="S18" s="67"/>
    </row>
    <row r="19" spans="1:19" s="459" customFormat="1" ht="15" thickBot="1">
      <c r="A19" s="858" t="s">
        <v>307</v>
      </c>
      <c r="B19" s="863"/>
      <c r="C19" s="713">
        <f>transport!B14</f>
        <v>16.777500439379011</v>
      </c>
      <c r="D19" s="713">
        <f>transport!C14</f>
        <v>0</v>
      </c>
      <c r="E19" s="713">
        <f>transport!D14</f>
        <v>26.940897416283534</v>
      </c>
      <c r="F19" s="713">
        <f>transport!E14</f>
        <v>946.00733899573538</v>
      </c>
      <c r="G19" s="713">
        <f>transport!F14</f>
        <v>0</v>
      </c>
      <c r="H19" s="713">
        <f>transport!G14</f>
        <v>279570.03293376439</v>
      </c>
      <c r="I19" s="713">
        <f>transport!H14</f>
        <v>41537.430617802573</v>
      </c>
      <c r="J19" s="713">
        <f>transport!I14</f>
        <v>0</v>
      </c>
      <c r="K19" s="713">
        <f>transport!J14</f>
        <v>0</v>
      </c>
      <c r="L19" s="713">
        <f>transport!K14</f>
        <v>0</v>
      </c>
      <c r="M19" s="713">
        <f>transport!L14</f>
        <v>0</v>
      </c>
      <c r="N19" s="713">
        <f>transport!M14</f>
        <v>14390.001726832146</v>
      </c>
      <c r="O19" s="713">
        <f>transport!N14</f>
        <v>0</v>
      </c>
      <c r="P19" s="713">
        <f>transport!O14</f>
        <v>0</v>
      </c>
      <c r="Q19" s="714">
        <f>transport!P14</f>
        <v>0</v>
      </c>
      <c r="R19" s="715">
        <f>SUM(C19:Q19)</f>
        <v>336487.19101525052</v>
      </c>
      <c r="S19" s="67"/>
    </row>
    <row r="20" spans="1:19" s="459" customFormat="1" ht="15.75" thickBot="1">
      <c r="A20" s="716" t="s">
        <v>230</v>
      </c>
      <c r="B20" s="866"/>
      <c r="C20" s="861">
        <f>SUM(C17:C19)</f>
        <v>16.777500439379011</v>
      </c>
      <c r="D20" s="717">
        <f t="shared" ref="D20:R20" si="1">SUM(D17:D19)</f>
        <v>0</v>
      </c>
      <c r="E20" s="717">
        <f t="shared" si="1"/>
        <v>26.940897416283534</v>
      </c>
      <c r="F20" s="717">
        <f t="shared" si="1"/>
        <v>946.00733899573538</v>
      </c>
      <c r="G20" s="717">
        <f t="shared" si="1"/>
        <v>0</v>
      </c>
      <c r="H20" s="717">
        <f t="shared" si="1"/>
        <v>283365.92918730655</v>
      </c>
      <c r="I20" s="717">
        <f t="shared" si="1"/>
        <v>41537.430617802573</v>
      </c>
      <c r="J20" s="717">
        <f t="shared" si="1"/>
        <v>0</v>
      </c>
      <c r="K20" s="717">
        <f t="shared" si="1"/>
        <v>0</v>
      </c>
      <c r="L20" s="717">
        <f t="shared" si="1"/>
        <v>0</v>
      </c>
      <c r="M20" s="717">
        <f t="shared" si="1"/>
        <v>0</v>
      </c>
      <c r="N20" s="717">
        <f t="shared" si="1"/>
        <v>14558.814517671983</v>
      </c>
      <c r="O20" s="717">
        <f t="shared" si="1"/>
        <v>0</v>
      </c>
      <c r="P20" s="717">
        <f t="shared" si="1"/>
        <v>0</v>
      </c>
      <c r="Q20" s="718">
        <f t="shared" si="1"/>
        <v>0</v>
      </c>
      <c r="R20" s="719">
        <f t="shared" si="1"/>
        <v>340451.90005963249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273.47956838062953</v>
      </c>
      <c r="D22" s="713">
        <f>+landbouw!C8</f>
        <v>0</v>
      </c>
      <c r="E22" s="713">
        <f>+landbouw!D8</f>
        <v>11024.433731527497</v>
      </c>
      <c r="F22" s="713">
        <f>+landbouw!E8</f>
        <v>3.4461948749125533</v>
      </c>
      <c r="G22" s="713">
        <f>+landbouw!F8</f>
        <v>943.5730216387351</v>
      </c>
      <c r="H22" s="713">
        <f>+landbouw!G8</f>
        <v>0</v>
      </c>
      <c r="I22" s="713">
        <f>+landbouw!H8</f>
        <v>0</v>
      </c>
      <c r="J22" s="713">
        <f>+landbouw!I8</f>
        <v>0</v>
      </c>
      <c r="K22" s="713">
        <f>+landbouw!J8</f>
        <v>41.128218278433316</v>
      </c>
      <c r="L22" s="713">
        <f>+landbouw!K8</f>
        <v>0</v>
      </c>
      <c r="M22" s="713">
        <f>+landbouw!L8</f>
        <v>0</v>
      </c>
      <c r="N22" s="713">
        <f>+landbouw!M8</f>
        <v>0</v>
      </c>
      <c r="O22" s="713">
        <f>+landbouw!N8</f>
        <v>0</v>
      </c>
      <c r="P22" s="713">
        <f>+landbouw!O8</f>
        <v>0</v>
      </c>
      <c r="Q22" s="714">
        <f>+landbouw!P8</f>
        <v>0</v>
      </c>
      <c r="R22" s="715">
        <f>SUM(C22:Q22)</f>
        <v>12286.060734700206</v>
      </c>
      <c r="S22" s="67"/>
    </row>
    <row r="23" spans="1:19" s="459" customFormat="1" ht="17.25" thickTop="1" thickBot="1">
      <c r="A23" s="720" t="s">
        <v>116</v>
      </c>
      <c r="B23" s="852"/>
      <c r="C23" s="721">
        <f ca="1">C20+C15+C22</f>
        <v>167279.88563483197</v>
      </c>
      <c r="D23" s="721">
        <f t="shared" ref="D23:Q23" ca="1" si="2">D20+D15+D22</f>
        <v>0</v>
      </c>
      <c r="E23" s="721">
        <f t="shared" ca="1" si="2"/>
        <v>411845.57112185191</v>
      </c>
      <c r="F23" s="721">
        <f t="shared" si="2"/>
        <v>8498.6912818199598</v>
      </c>
      <c r="G23" s="721">
        <f t="shared" ca="1" si="2"/>
        <v>55433.872916772496</v>
      </c>
      <c r="H23" s="721">
        <f t="shared" si="2"/>
        <v>283365.92918730655</v>
      </c>
      <c r="I23" s="721">
        <f t="shared" si="2"/>
        <v>41537.430617802573</v>
      </c>
      <c r="J23" s="721">
        <f t="shared" si="2"/>
        <v>0</v>
      </c>
      <c r="K23" s="721">
        <f t="shared" si="2"/>
        <v>104.19459215592819</v>
      </c>
      <c r="L23" s="721">
        <f t="shared" si="2"/>
        <v>0</v>
      </c>
      <c r="M23" s="721">
        <f t="shared" ca="1" si="2"/>
        <v>0</v>
      </c>
      <c r="N23" s="721">
        <f t="shared" si="2"/>
        <v>14558.814517671983</v>
      </c>
      <c r="O23" s="721">
        <f t="shared" ca="1" si="2"/>
        <v>29664.660708677024</v>
      </c>
      <c r="P23" s="721">
        <f t="shared" si="2"/>
        <v>179.78333333333333</v>
      </c>
      <c r="Q23" s="722">
        <f t="shared" si="2"/>
        <v>419.4666666666667</v>
      </c>
      <c r="R23" s="723">
        <f ca="1">R20+R15+R22</f>
        <v>1012888.3005788904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10848.224516404811</v>
      </c>
      <c r="D36" s="704">
        <f ca="1">tertiair!C20</f>
        <v>0</v>
      </c>
      <c r="E36" s="704">
        <f ca="1">tertiair!D20</f>
        <v>13033.428812149657</v>
      </c>
      <c r="F36" s="704">
        <f>tertiair!E20</f>
        <v>138.91191015198643</v>
      </c>
      <c r="G36" s="704">
        <f ca="1">tertiair!F20</f>
        <v>2418.4348900633195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26439.000128769774</v>
      </c>
    </row>
    <row r="37" spans="1:18">
      <c r="A37" s="873" t="s">
        <v>225</v>
      </c>
      <c r="B37" s="880"/>
      <c r="C37" s="704">
        <f ca="1">huishoudens!B12</f>
        <v>13503.331481580712</v>
      </c>
      <c r="D37" s="704">
        <f ca="1">huishoudens!C12</f>
        <v>0</v>
      </c>
      <c r="E37" s="704">
        <f>huishoudens!D12</f>
        <v>41007.431928203041</v>
      </c>
      <c r="F37" s="704">
        <f>huishoudens!E12</f>
        <v>486.53060131551518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54997.294011099264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11817.899757248202</v>
      </c>
      <c r="D39" s="704">
        <f ca="1">industrie!C22</f>
        <v>0</v>
      </c>
      <c r="E39" s="704">
        <f>industrie!D22</f>
        <v>26919.566951214769</v>
      </c>
      <c r="F39" s="704">
        <f>industrie!E22</f>
        <v>1088.2344573169923</v>
      </c>
      <c r="G39" s="704">
        <f>industrie!F22</f>
        <v>12130.475181937394</v>
      </c>
      <c r="H39" s="704">
        <f>industrie!G22</f>
        <v>0</v>
      </c>
      <c r="I39" s="704">
        <f>industrie!H22</f>
        <v>0</v>
      </c>
      <c r="J39" s="704">
        <f>industrie!I22</f>
        <v>0</v>
      </c>
      <c r="K39" s="704">
        <f>industrie!J22</f>
        <v>22.325496352633184</v>
      </c>
      <c r="L39" s="704">
        <f>industrie!K22</f>
        <v>0</v>
      </c>
      <c r="M39" s="704">
        <f>industrie!L22</f>
        <v>0</v>
      </c>
      <c r="N39" s="704">
        <f>industrie!M22</f>
        <v>0</v>
      </c>
      <c r="O39" s="704">
        <f>industrie!N22</f>
        <v>0</v>
      </c>
      <c r="P39" s="704">
        <f>industrie!O22</f>
        <v>0</v>
      </c>
      <c r="Q39" s="814">
        <f>industrie!P22</f>
        <v>0</v>
      </c>
      <c r="R39" s="906">
        <f ca="1">SUM(C39:Q39)</f>
        <v>51978.501844069986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36169.455755233728</v>
      </c>
      <c r="D41" s="749">
        <f t="shared" ref="D41:R41" ca="1" si="4">SUM(D35:D40)</f>
        <v>0</v>
      </c>
      <c r="E41" s="749">
        <f t="shared" ca="1" si="4"/>
        <v>80960.427691567471</v>
      </c>
      <c r="F41" s="749">
        <f t="shared" si="4"/>
        <v>1713.676968784494</v>
      </c>
      <c r="G41" s="749">
        <f t="shared" ca="1" si="4"/>
        <v>14548.910072000714</v>
      </c>
      <c r="H41" s="749">
        <f t="shared" si="4"/>
        <v>0</v>
      </c>
      <c r="I41" s="749">
        <f t="shared" si="4"/>
        <v>0</v>
      </c>
      <c r="J41" s="749">
        <f t="shared" si="4"/>
        <v>0</v>
      </c>
      <c r="K41" s="749">
        <f t="shared" si="4"/>
        <v>22.325496352633184</v>
      </c>
      <c r="L41" s="749">
        <f t="shared" si="4"/>
        <v>0</v>
      </c>
      <c r="M41" s="749">
        <f t="shared" ca="1" si="4"/>
        <v>0</v>
      </c>
      <c r="N41" s="749">
        <f t="shared" si="4"/>
        <v>0</v>
      </c>
      <c r="O41" s="749">
        <f t="shared" ca="1" si="4"/>
        <v>0</v>
      </c>
      <c r="P41" s="749">
        <f t="shared" si="4"/>
        <v>0</v>
      </c>
      <c r="Q41" s="750">
        <f t="shared" si="4"/>
        <v>0</v>
      </c>
      <c r="R41" s="751">
        <f t="shared" ca="1" si="4"/>
        <v>133414.79598393902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1013.5042996957526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1013.5042996957526</v>
      </c>
    </row>
    <row r="45" spans="1:18" ht="15" thickBot="1">
      <c r="A45" s="876" t="s">
        <v>307</v>
      </c>
      <c r="B45" s="886"/>
      <c r="C45" s="713">
        <f ca="1">transport!B18</f>
        <v>3.6339565818343558</v>
      </c>
      <c r="D45" s="713">
        <f>transport!C18</f>
        <v>0</v>
      </c>
      <c r="E45" s="713">
        <f>transport!D18</f>
        <v>5.4420612780892741</v>
      </c>
      <c r="F45" s="713">
        <f>transport!E18</f>
        <v>214.74366595203193</v>
      </c>
      <c r="G45" s="713">
        <f>transport!F18</f>
        <v>0</v>
      </c>
      <c r="H45" s="713">
        <f>transport!G18</f>
        <v>74645.198793315096</v>
      </c>
      <c r="I45" s="713">
        <f>transport!H18</f>
        <v>10342.820223832841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85211.838700959896</v>
      </c>
    </row>
    <row r="46" spans="1:18" ht="15.75" thickBot="1">
      <c r="A46" s="874" t="s">
        <v>230</v>
      </c>
      <c r="B46" s="887"/>
      <c r="C46" s="749">
        <f t="shared" ref="C46:R46" ca="1" si="5">SUM(C43:C45)</f>
        <v>3.6339565818343558</v>
      </c>
      <c r="D46" s="749">
        <f t="shared" ca="1" si="5"/>
        <v>0</v>
      </c>
      <c r="E46" s="749">
        <f t="shared" si="5"/>
        <v>5.4420612780892741</v>
      </c>
      <c r="F46" s="749">
        <f t="shared" si="5"/>
        <v>214.74366595203193</v>
      </c>
      <c r="G46" s="749">
        <f t="shared" si="5"/>
        <v>0</v>
      </c>
      <c r="H46" s="749">
        <f t="shared" si="5"/>
        <v>75658.703093010845</v>
      </c>
      <c r="I46" s="749">
        <f t="shared" si="5"/>
        <v>10342.820223832841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86225.343000655645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59.234859275068011</v>
      </c>
      <c r="D48" s="704">
        <f ca="1">+landbouw!C12</f>
        <v>0</v>
      </c>
      <c r="E48" s="704">
        <f>+landbouw!D12</f>
        <v>2226.9356137685545</v>
      </c>
      <c r="F48" s="704">
        <f>+landbouw!E12</f>
        <v>0.78228623660514962</v>
      </c>
      <c r="G48" s="704">
        <f>+landbouw!F12</f>
        <v>251.93399677754229</v>
      </c>
      <c r="H48" s="704">
        <f>+landbouw!G12</f>
        <v>0</v>
      </c>
      <c r="I48" s="704">
        <f>+landbouw!H12</f>
        <v>0</v>
      </c>
      <c r="J48" s="704">
        <f>+landbouw!I12</f>
        <v>0</v>
      </c>
      <c r="K48" s="704">
        <f>+landbouw!J12</f>
        <v>14.559389270565394</v>
      </c>
      <c r="L48" s="704">
        <f>+landbouw!K12</f>
        <v>0</v>
      </c>
      <c r="M48" s="704">
        <f>+landbouw!L12</f>
        <v>0</v>
      </c>
      <c r="N48" s="704">
        <f>+landbouw!M12</f>
        <v>0</v>
      </c>
      <c r="O48" s="704">
        <f>+landbouw!N12</f>
        <v>0</v>
      </c>
      <c r="P48" s="704">
        <f>+landbouw!O12</f>
        <v>0</v>
      </c>
      <c r="Q48" s="705">
        <f>+landbouw!P12</f>
        <v>0</v>
      </c>
      <c r="R48" s="747">
        <f ca="1">SUM(C48:Q48)</f>
        <v>2553.4461453283357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36232.324571090634</v>
      </c>
      <c r="D53" s="759">
        <f t="shared" ref="D53:Q53" ca="1" si="6">D41+D46+D48</f>
        <v>0</v>
      </c>
      <c r="E53" s="759">
        <f t="shared" ca="1" si="6"/>
        <v>83192.80536661412</v>
      </c>
      <c r="F53" s="759">
        <f t="shared" si="6"/>
        <v>1929.2029209731311</v>
      </c>
      <c r="G53" s="759">
        <f t="shared" ca="1" si="6"/>
        <v>14800.844068778257</v>
      </c>
      <c r="H53" s="759">
        <f t="shared" si="6"/>
        <v>75658.703093010845</v>
      </c>
      <c r="I53" s="759">
        <f t="shared" si="6"/>
        <v>10342.820223832841</v>
      </c>
      <c r="J53" s="759">
        <f t="shared" si="6"/>
        <v>0</v>
      </c>
      <c r="K53" s="759">
        <f t="shared" si="6"/>
        <v>36.884885623198578</v>
      </c>
      <c r="L53" s="759">
        <f t="shared" si="6"/>
        <v>0</v>
      </c>
      <c r="M53" s="759">
        <f t="shared" ca="1" si="6"/>
        <v>0</v>
      </c>
      <c r="N53" s="759">
        <f t="shared" si="6"/>
        <v>0</v>
      </c>
      <c r="O53" s="759">
        <f t="shared" ca="1" si="6"/>
        <v>0</v>
      </c>
      <c r="P53" s="759">
        <f>P41+P46+P48</f>
        <v>0</v>
      </c>
      <c r="Q53" s="760">
        <f t="shared" si="6"/>
        <v>0</v>
      </c>
      <c r="R53" s="761">
        <f ca="1">R41+R46+R48</f>
        <v>222193.58512992301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0.21659701902346432</v>
      </c>
      <c r="D55" s="824">
        <f t="shared" ca="1" si="7"/>
        <v>0</v>
      </c>
      <c r="E55" s="824">
        <f t="shared" ca="1" si="7"/>
        <v>0.20200000000000007</v>
      </c>
      <c r="F55" s="824">
        <f t="shared" si="7"/>
        <v>0.22700000000000004</v>
      </c>
      <c r="G55" s="824">
        <f t="shared" ca="1" si="7"/>
        <v>0.26700000000000002</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3332.7156298969985</v>
      </c>
      <c r="C66" s="781">
        <f>'lokale energieproductie'!B6</f>
        <v>3332.7156298969985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3332.7156298969985</v>
      </c>
      <c r="C69" s="789">
        <f>SUM(C64:C68)</f>
        <v>3332.7156298969985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62343.108609993738</v>
      </c>
      <c r="C4" s="463">
        <f>huishoudens!C8</f>
        <v>0</v>
      </c>
      <c r="D4" s="463">
        <f>huishoudens!D8</f>
        <v>203007.08875348038</v>
      </c>
      <c r="E4" s="463">
        <f>huishoudens!E8</f>
        <v>2143.3066137247365</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13559.232655816944</v>
      </c>
      <c r="O4" s="463">
        <f>huishoudens!O8</f>
        <v>178.22</v>
      </c>
      <c r="P4" s="464">
        <f>huishoudens!P8</f>
        <v>419.4666666666667</v>
      </c>
      <c r="Q4" s="465">
        <f>SUM(B4:P4)</f>
        <v>281650.42329968244</v>
      </c>
    </row>
    <row r="5" spans="1:17">
      <c r="A5" s="462" t="s">
        <v>156</v>
      </c>
      <c r="B5" s="463">
        <f ca="1">tertiair!B16</f>
        <v>48196.906338425135</v>
      </c>
      <c r="C5" s="463">
        <f ca="1">tertiair!C16</f>
        <v>0</v>
      </c>
      <c r="D5" s="463">
        <f ca="1">tertiair!D16</f>
        <v>64521.924812622063</v>
      </c>
      <c r="E5" s="463">
        <f>tertiair!E16</f>
        <v>611.94674075764942</v>
      </c>
      <c r="F5" s="463">
        <f ca="1">tertiair!F16</f>
        <v>9057.8085770161779</v>
      </c>
      <c r="G5" s="463">
        <f>tertiair!G16</f>
        <v>0</v>
      </c>
      <c r="H5" s="463">
        <f>tertiair!H16</f>
        <v>0</v>
      </c>
      <c r="I5" s="463">
        <f>tertiair!I16</f>
        <v>0</v>
      </c>
      <c r="J5" s="463">
        <f>tertiair!J16</f>
        <v>0</v>
      </c>
      <c r="K5" s="463">
        <f>tertiair!K16</f>
        <v>0</v>
      </c>
      <c r="L5" s="463">
        <f ca="1">tertiair!L16</f>
        <v>0</v>
      </c>
      <c r="M5" s="463">
        <f>tertiair!M16</f>
        <v>0</v>
      </c>
      <c r="N5" s="463">
        <f ca="1">tertiair!N16</f>
        <v>2277.6392258836909</v>
      </c>
      <c r="O5" s="463">
        <f>tertiair!O16</f>
        <v>1.5633333333333335</v>
      </c>
      <c r="P5" s="464">
        <f>tertiair!P16</f>
        <v>0</v>
      </c>
      <c r="Q5" s="462">
        <f t="shared" ref="Q5:Q13" ca="1" si="0">SUM(B5:P5)</f>
        <v>124667.78902803804</v>
      </c>
    </row>
    <row r="6" spans="1:17">
      <c r="A6" s="462" t="s">
        <v>194</v>
      </c>
      <c r="B6" s="463">
        <f>'openbare verlichting'!B8</f>
        <v>1887.922</v>
      </c>
      <c r="C6" s="463"/>
      <c r="D6" s="463"/>
      <c r="E6" s="463"/>
      <c r="F6" s="463"/>
      <c r="G6" s="463"/>
      <c r="H6" s="463"/>
      <c r="I6" s="463"/>
      <c r="J6" s="463"/>
      <c r="K6" s="463"/>
      <c r="L6" s="463"/>
      <c r="M6" s="463"/>
      <c r="N6" s="463"/>
      <c r="O6" s="463"/>
      <c r="P6" s="464"/>
      <c r="Q6" s="462">
        <f t="shared" si="0"/>
        <v>1887.922</v>
      </c>
    </row>
    <row r="7" spans="1:17">
      <c r="A7" s="462" t="s">
        <v>112</v>
      </c>
      <c r="B7" s="463">
        <f>landbouw!B8</f>
        <v>273.47956838062953</v>
      </c>
      <c r="C7" s="463">
        <f>landbouw!C8</f>
        <v>0</v>
      </c>
      <c r="D7" s="463">
        <f>landbouw!D8</f>
        <v>11024.433731527497</v>
      </c>
      <c r="E7" s="463">
        <f>landbouw!E8</f>
        <v>3.4461948749125533</v>
      </c>
      <c r="F7" s="463">
        <f>landbouw!F8</f>
        <v>943.5730216387351</v>
      </c>
      <c r="G7" s="463">
        <f>landbouw!G8</f>
        <v>0</v>
      </c>
      <c r="H7" s="463">
        <f>landbouw!H8</f>
        <v>0</v>
      </c>
      <c r="I7" s="463">
        <f>landbouw!I8</f>
        <v>0</v>
      </c>
      <c r="J7" s="463">
        <f>landbouw!J8</f>
        <v>41.128218278433316</v>
      </c>
      <c r="K7" s="463">
        <f>landbouw!K8</f>
        <v>0</v>
      </c>
      <c r="L7" s="463">
        <f>landbouw!L8</f>
        <v>0</v>
      </c>
      <c r="M7" s="463">
        <f>landbouw!M8</f>
        <v>0</v>
      </c>
      <c r="N7" s="463">
        <f>landbouw!N8</f>
        <v>0</v>
      </c>
      <c r="O7" s="463">
        <f>landbouw!O8</f>
        <v>0</v>
      </c>
      <c r="P7" s="464">
        <f>landbouw!P8</f>
        <v>0</v>
      </c>
      <c r="Q7" s="462">
        <f t="shared" si="0"/>
        <v>12286.060734700206</v>
      </c>
    </row>
    <row r="8" spans="1:17">
      <c r="A8" s="462" t="s">
        <v>657</v>
      </c>
      <c r="B8" s="463">
        <f>industrie!B18</f>
        <v>54561.691617593096</v>
      </c>
      <c r="C8" s="463">
        <f>industrie!C18</f>
        <v>0</v>
      </c>
      <c r="D8" s="463">
        <f>industrie!D18</f>
        <v>133265.18292680578</v>
      </c>
      <c r="E8" s="463">
        <f>industrie!E18</f>
        <v>4793.9843934669261</v>
      </c>
      <c r="F8" s="463">
        <f>industrie!F18</f>
        <v>45432.49131811758</v>
      </c>
      <c r="G8" s="463">
        <f>industrie!G18</f>
        <v>0</v>
      </c>
      <c r="H8" s="463">
        <f>industrie!H18</f>
        <v>0</v>
      </c>
      <c r="I8" s="463">
        <f>industrie!I18</f>
        <v>0</v>
      </c>
      <c r="J8" s="463">
        <f>industrie!J18</f>
        <v>63.066373877494875</v>
      </c>
      <c r="K8" s="463">
        <f>industrie!K18</f>
        <v>0</v>
      </c>
      <c r="L8" s="463">
        <f>industrie!L18</f>
        <v>0</v>
      </c>
      <c r="M8" s="463">
        <f>industrie!M18</f>
        <v>0</v>
      </c>
      <c r="N8" s="463">
        <f>industrie!N18</f>
        <v>13827.78882697639</v>
      </c>
      <c r="O8" s="463">
        <f>industrie!O18</f>
        <v>0</v>
      </c>
      <c r="P8" s="464">
        <f>industrie!P18</f>
        <v>0</v>
      </c>
      <c r="Q8" s="462">
        <f t="shared" si="0"/>
        <v>251944.20545683723</v>
      </c>
    </row>
    <row r="9" spans="1:17" s="468" customFormat="1">
      <c r="A9" s="466" t="s">
        <v>574</v>
      </c>
      <c r="B9" s="467">
        <f>transport!B14</f>
        <v>16.777500439379011</v>
      </c>
      <c r="C9" s="467">
        <f>transport!C14</f>
        <v>0</v>
      </c>
      <c r="D9" s="467">
        <f>transport!D14</f>
        <v>26.940897416283534</v>
      </c>
      <c r="E9" s="467">
        <f>transport!E14</f>
        <v>946.00733899573538</v>
      </c>
      <c r="F9" s="467">
        <f>transport!F14</f>
        <v>0</v>
      </c>
      <c r="G9" s="467">
        <f>transport!G14</f>
        <v>279570.03293376439</v>
      </c>
      <c r="H9" s="467">
        <f>transport!H14</f>
        <v>41537.430617802573</v>
      </c>
      <c r="I9" s="467">
        <f>transport!I14</f>
        <v>0</v>
      </c>
      <c r="J9" s="467">
        <f>transport!J14</f>
        <v>0</v>
      </c>
      <c r="K9" s="467">
        <f>transport!K14</f>
        <v>0</v>
      </c>
      <c r="L9" s="467">
        <f>transport!L14</f>
        <v>0</v>
      </c>
      <c r="M9" s="467">
        <f>transport!M14</f>
        <v>14390.001726832146</v>
      </c>
      <c r="N9" s="467">
        <f>transport!N14</f>
        <v>0</v>
      </c>
      <c r="O9" s="467">
        <f>transport!O14</f>
        <v>0</v>
      </c>
      <c r="P9" s="467">
        <f>transport!P14</f>
        <v>0</v>
      </c>
      <c r="Q9" s="466">
        <f>SUM(B9:P9)</f>
        <v>336487.19101525052</v>
      </c>
    </row>
    <row r="10" spans="1:17">
      <c r="A10" s="462" t="s">
        <v>564</v>
      </c>
      <c r="B10" s="463">
        <f>transport!B54</f>
        <v>0</v>
      </c>
      <c r="C10" s="463">
        <f>transport!C54</f>
        <v>0</v>
      </c>
      <c r="D10" s="463">
        <f>transport!D54</f>
        <v>0</v>
      </c>
      <c r="E10" s="463">
        <f>transport!E54</f>
        <v>0</v>
      </c>
      <c r="F10" s="463">
        <f>transport!F54</f>
        <v>0</v>
      </c>
      <c r="G10" s="463">
        <f>transport!G54</f>
        <v>3795.8962535421442</v>
      </c>
      <c r="H10" s="463">
        <f>transport!H54</f>
        <v>0</v>
      </c>
      <c r="I10" s="463">
        <f>transport!I54</f>
        <v>0</v>
      </c>
      <c r="J10" s="463">
        <f>transport!J54</f>
        <v>0</v>
      </c>
      <c r="K10" s="463">
        <f>transport!K54</f>
        <v>0</v>
      </c>
      <c r="L10" s="463">
        <f>transport!L54</f>
        <v>0</v>
      </c>
      <c r="M10" s="463">
        <f>transport!M54</f>
        <v>168.81279083983634</v>
      </c>
      <c r="N10" s="463">
        <f>transport!N54</f>
        <v>0</v>
      </c>
      <c r="O10" s="463">
        <f>transport!O54</f>
        <v>0</v>
      </c>
      <c r="P10" s="464">
        <f>transport!P54</f>
        <v>0</v>
      </c>
      <c r="Q10" s="462">
        <f t="shared" si="0"/>
        <v>3964.7090443819807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167279.88563483197</v>
      </c>
      <c r="C14" s="473">
        <f t="shared" ref="C14:Q14" ca="1" si="1">SUM(C4:C13)</f>
        <v>0</v>
      </c>
      <c r="D14" s="473">
        <f t="shared" ca="1" si="1"/>
        <v>411845.57112185197</v>
      </c>
      <c r="E14" s="473">
        <f t="shared" si="1"/>
        <v>8498.6912818199598</v>
      </c>
      <c r="F14" s="473">
        <f t="shared" ca="1" si="1"/>
        <v>55433.872916772496</v>
      </c>
      <c r="G14" s="473">
        <f t="shared" si="1"/>
        <v>283365.92918730655</v>
      </c>
      <c r="H14" s="473">
        <f t="shared" si="1"/>
        <v>41537.430617802573</v>
      </c>
      <c r="I14" s="473">
        <f t="shared" si="1"/>
        <v>0</v>
      </c>
      <c r="J14" s="473">
        <f t="shared" si="1"/>
        <v>104.19459215592819</v>
      </c>
      <c r="K14" s="473">
        <f t="shared" si="1"/>
        <v>0</v>
      </c>
      <c r="L14" s="473">
        <f t="shared" ca="1" si="1"/>
        <v>0</v>
      </c>
      <c r="M14" s="473">
        <f t="shared" si="1"/>
        <v>14558.814517671983</v>
      </c>
      <c r="N14" s="473">
        <f t="shared" ca="1" si="1"/>
        <v>29664.660708677024</v>
      </c>
      <c r="O14" s="473">
        <f t="shared" si="1"/>
        <v>179.78333333333333</v>
      </c>
      <c r="P14" s="474">
        <f t="shared" si="1"/>
        <v>419.4666666666667</v>
      </c>
      <c r="Q14" s="474">
        <f t="shared" ca="1" si="1"/>
        <v>1012888.3005788904</v>
      </c>
    </row>
    <row r="16" spans="1:17">
      <c r="A16" s="476" t="s">
        <v>569</v>
      </c>
      <c r="B16" s="829">
        <f ca="1">huishoudens!B10</f>
        <v>0.21659701902346426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13503.331481580712</v>
      </c>
      <c r="C21" s="463">
        <f t="shared" ref="C21:C30" ca="1" si="3">C4*$C$16</f>
        <v>0</v>
      </c>
      <c r="D21" s="463">
        <f t="shared" ref="D21:D30" si="4">D4*$D$16</f>
        <v>41007.431928203041</v>
      </c>
      <c r="E21" s="463">
        <f t="shared" ref="E21:E30" si="5">E4*$E$16</f>
        <v>486.53060131551518</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54997.294011099264</v>
      </c>
    </row>
    <row r="22" spans="1:17">
      <c r="A22" s="462" t="s">
        <v>156</v>
      </c>
      <c r="B22" s="463">
        <f t="shared" ca="1" si="2"/>
        <v>10439.306239055994</v>
      </c>
      <c r="C22" s="463">
        <f t="shared" ca="1" si="3"/>
        <v>0</v>
      </c>
      <c r="D22" s="463">
        <f t="shared" ca="1" si="4"/>
        <v>13033.428812149657</v>
      </c>
      <c r="E22" s="463">
        <f t="shared" si="5"/>
        <v>138.91191015198643</v>
      </c>
      <c r="F22" s="463">
        <f t="shared" ca="1" si="6"/>
        <v>2418.4348900633195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26030.081851420957</v>
      </c>
    </row>
    <row r="23" spans="1:17">
      <c r="A23" s="462" t="s">
        <v>194</v>
      </c>
      <c r="B23" s="463">
        <f t="shared" ca="1" si="2"/>
        <v>408.91827734881667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408.91827734881667</v>
      </c>
    </row>
    <row r="24" spans="1:17">
      <c r="A24" s="462" t="s">
        <v>112</v>
      </c>
      <c r="B24" s="463">
        <f t="shared" ca="1" si="2"/>
        <v>59.234859275068011</v>
      </c>
      <c r="C24" s="463">
        <f t="shared" ca="1" si="3"/>
        <v>0</v>
      </c>
      <c r="D24" s="463">
        <f t="shared" si="4"/>
        <v>2226.9356137685545</v>
      </c>
      <c r="E24" s="463">
        <f t="shared" si="5"/>
        <v>0.78228623660514962</v>
      </c>
      <c r="F24" s="463">
        <f t="shared" si="6"/>
        <v>251.93399677754229</v>
      </c>
      <c r="G24" s="463">
        <f t="shared" si="7"/>
        <v>0</v>
      </c>
      <c r="H24" s="463">
        <f t="shared" si="8"/>
        <v>0</v>
      </c>
      <c r="I24" s="463">
        <f t="shared" si="9"/>
        <v>0</v>
      </c>
      <c r="J24" s="463">
        <f t="shared" si="10"/>
        <v>14.559389270565394</v>
      </c>
      <c r="K24" s="463">
        <f t="shared" si="11"/>
        <v>0</v>
      </c>
      <c r="L24" s="463">
        <f t="shared" si="12"/>
        <v>0</v>
      </c>
      <c r="M24" s="463">
        <f t="shared" si="13"/>
        <v>0</v>
      </c>
      <c r="N24" s="463">
        <f t="shared" si="14"/>
        <v>0</v>
      </c>
      <c r="O24" s="463">
        <f t="shared" si="15"/>
        <v>0</v>
      </c>
      <c r="P24" s="464">
        <f t="shared" si="16"/>
        <v>0</v>
      </c>
      <c r="Q24" s="462">
        <f t="shared" ca="1" si="17"/>
        <v>2553.4461453283357</v>
      </c>
    </row>
    <row r="25" spans="1:17">
      <c r="A25" s="462" t="s">
        <v>657</v>
      </c>
      <c r="B25" s="463">
        <f t="shared" ca="1" si="2"/>
        <v>11817.899757248202</v>
      </c>
      <c r="C25" s="463">
        <f t="shared" ca="1" si="3"/>
        <v>0</v>
      </c>
      <c r="D25" s="463">
        <f t="shared" si="4"/>
        <v>26919.566951214769</v>
      </c>
      <c r="E25" s="463">
        <f t="shared" si="5"/>
        <v>1088.2344573169923</v>
      </c>
      <c r="F25" s="463">
        <f t="shared" si="6"/>
        <v>12130.475181937394</v>
      </c>
      <c r="G25" s="463">
        <f t="shared" si="7"/>
        <v>0</v>
      </c>
      <c r="H25" s="463">
        <f t="shared" si="8"/>
        <v>0</v>
      </c>
      <c r="I25" s="463">
        <f t="shared" si="9"/>
        <v>0</v>
      </c>
      <c r="J25" s="463">
        <f t="shared" si="10"/>
        <v>22.325496352633184</v>
      </c>
      <c r="K25" s="463">
        <f t="shared" si="11"/>
        <v>0</v>
      </c>
      <c r="L25" s="463">
        <f t="shared" si="12"/>
        <v>0</v>
      </c>
      <c r="M25" s="463">
        <f t="shared" si="13"/>
        <v>0</v>
      </c>
      <c r="N25" s="463">
        <f t="shared" si="14"/>
        <v>0</v>
      </c>
      <c r="O25" s="463">
        <f t="shared" si="15"/>
        <v>0</v>
      </c>
      <c r="P25" s="464">
        <f t="shared" si="16"/>
        <v>0</v>
      </c>
      <c r="Q25" s="462">
        <f t="shared" ca="1" si="17"/>
        <v>51978.501844069986</v>
      </c>
    </row>
    <row r="26" spans="1:17" s="468" customFormat="1">
      <c r="A26" s="466" t="s">
        <v>574</v>
      </c>
      <c r="B26" s="823">
        <f t="shared" ca="1" si="2"/>
        <v>3.6339565818343558</v>
      </c>
      <c r="C26" s="467">
        <f t="shared" ca="1" si="3"/>
        <v>0</v>
      </c>
      <c r="D26" s="467">
        <f t="shared" si="4"/>
        <v>5.4420612780892741</v>
      </c>
      <c r="E26" s="467">
        <f t="shared" si="5"/>
        <v>214.74366595203193</v>
      </c>
      <c r="F26" s="467">
        <f t="shared" si="6"/>
        <v>0</v>
      </c>
      <c r="G26" s="467">
        <f t="shared" si="7"/>
        <v>74645.198793315096</v>
      </c>
      <c r="H26" s="467">
        <f t="shared" si="8"/>
        <v>10342.820223832841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85211.838700959896</v>
      </c>
    </row>
    <row r="27" spans="1:17">
      <c r="A27" s="462" t="s">
        <v>564</v>
      </c>
      <c r="B27" s="463">
        <f t="shared" ca="1" si="2"/>
        <v>0</v>
      </c>
      <c r="C27" s="463">
        <f t="shared" ca="1" si="3"/>
        <v>0</v>
      </c>
      <c r="D27" s="463">
        <f t="shared" si="4"/>
        <v>0</v>
      </c>
      <c r="E27" s="463">
        <f t="shared" si="5"/>
        <v>0</v>
      </c>
      <c r="F27" s="463">
        <f t="shared" si="6"/>
        <v>0</v>
      </c>
      <c r="G27" s="463">
        <f t="shared" si="7"/>
        <v>1013.5042996957526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1013.5042996957526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36232.324571090627</v>
      </c>
      <c r="C31" s="473">
        <f t="shared" ca="1" si="18"/>
        <v>0</v>
      </c>
      <c r="D31" s="473">
        <f t="shared" ca="1" si="18"/>
        <v>83192.80536661412</v>
      </c>
      <c r="E31" s="473">
        <f t="shared" si="18"/>
        <v>1929.2029209731311</v>
      </c>
      <c r="F31" s="473">
        <f t="shared" ca="1" si="18"/>
        <v>14800.844068778257</v>
      </c>
      <c r="G31" s="473">
        <f t="shared" si="18"/>
        <v>75658.703093010845</v>
      </c>
      <c r="H31" s="473">
        <f t="shared" si="18"/>
        <v>10342.820223832841</v>
      </c>
      <c r="I31" s="473">
        <f t="shared" si="18"/>
        <v>0</v>
      </c>
      <c r="J31" s="473">
        <f t="shared" si="18"/>
        <v>36.884885623198578</v>
      </c>
      <c r="K31" s="473">
        <f t="shared" si="18"/>
        <v>0</v>
      </c>
      <c r="L31" s="473">
        <f t="shared" ca="1" si="18"/>
        <v>0</v>
      </c>
      <c r="M31" s="473">
        <f t="shared" si="18"/>
        <v>0</v>
      </c>
      <c r="N31" s="473">
        <f t="shared" ca="1" si="18"/>
        <v>0</v>
      </c>
      <c r="O31" s="473">
        <f t="shared" si="18"/>
        <v>0</v>
      </c>
      <c r="P31" s="474">
        <f t="shared" si="18"/>
        <v>0</v>
      </c>
      <c r="Q31" s="474">
        <f t="shared" ca="1" si="18"/>
        <v>222193.58512992298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0.21659701902346426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0.21659701902346426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0.21659701902346426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2018-06-27T09:28:51Z</dcterms:modified>
</cp:coreProperties>
</file>