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Q5" i="48"/>
  <c r="F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c r="F31" s="1"/>
  <c r="F14"/>
  <c r="C29" l="1"/>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<sst xmlns="http://schemas.openxmlformats.org/spreadsheetml/2006/main" count="2033" uniqueCount="868">
  <si>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</si>
  <si>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</si>
  <si>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</si>
  <si>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</si>
  <si>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</si>
  <si>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</si>
  <si>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</si>
  <si>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</si>
  <si>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</si>
  <si>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</si>
  <si>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</si>
  <si>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</si>
  <si>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</si>
  <si>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</si>
  <si>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</si>
  <si>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</si>
  <si>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</si>
  <si>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</si>
  <si>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</si>
  <si>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</si>
  <si>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</si>
  <si>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</si>
  <si>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</si>
  <si>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</si>
  <si>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</si>
  <si>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</si>
  <si>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</si>
  <si>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</si>
  <si>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</si>
  <si>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</si>
  <si>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</si>
  <si>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</si>
  <si>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</si>
  <si>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</si>
  <si>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</si>
  <si>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</si>
  <si>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</si>
  <si>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</si>
  <si>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</si>
  <si>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</si>
  <si>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</si>
  <si>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</si>
  <si>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</si>
  <si>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</si>
  <si>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</si>
  <si>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</si>
  <si>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</si>
  <si>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</si>
  <si>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</si>
  <si>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</si>
  <si>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</si>
  <si>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</si>
  <si>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</si>
  <si>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</si>
  <si>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</si>
  <si>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</si>
  <si>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</si>
  <si>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</si>
  <si>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</si>
  <si>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</si>
  <si>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</si>
  <si>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</si>
  <si>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</si>
  <si>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</si>
  <si>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</si>
  <si>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</si>
  <si>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</si>
  <si>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</si>
  <si>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</si>
  <si>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</si>
  <si>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</si>
  <si>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</si>
  <si>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</si>
  <si>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</si>
  <si>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</si>
  <si>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</si>
  <si>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</si>
  <si>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</si>
  <si>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</si>
  <si>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</si>
  <si>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</si>
  <si>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</si>
  <si>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</si>
  <si>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</si>
  <si>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</si>
  <si>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</si>
  <si>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</si>
  <si>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</si>
  <si>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</si>
  <si>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</si>
  <si>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</si>
  <si>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</si>
  <si>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</si>
  <si>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</si>
  <si>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</si>
  <si>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</si>
  <si>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</si>
  <si>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</si>
  <si>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</si>
  <si>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</si>
  <si>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</si>
  <si>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</si>
  <si>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</si>
  <si>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</si>
  <si>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</si>
  <si>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</si>
  <si>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</si>
  <si>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</si>
  <si>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</si>
  <si>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</si>
  <si>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</si>
  <si>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</si>
  <si>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</si>
  <si>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</si>
  <si>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</si>
  <si>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</si>
  <si>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</si>
  <si>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</si>
  <si>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</si>
  <si>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</si>
  <si>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</si>
  <si>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</si>
  <si>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</si>
  <si>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</si>
  <si>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</si>
  <si>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</si>
  <si>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</si>
  <si>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</si>
  <si>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</si>
  <si>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</si>
  <si>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</si>
  <si>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</si>
  <si>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</si>
  <si>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</si>
  <si>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</si>
  <si>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</si>
  <si>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</si>
  <si>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</si>
  <si>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</si>
  <si>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</si>
  <si>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</si>
  <si>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</si>
  <si>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</si>
  <si>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</si>
  <si>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</si>
  <si>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</si>
  <si>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</si>
  <si>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</si>
  <si>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</si>
  <si>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</si>
  <si>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</si>
  <si>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</si>
  <si>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</si>
  <si>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</si>
  <si>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</si>
  <si>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</si>
  <si>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</si>
  <si>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</si>
  <si>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</si>
  <si>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</si>
  <si>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</si>
  <si>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</si>
  <si>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</si>
  <si>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</si>
  <si>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</si>
  <si>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</si>
  <si>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</si>
  <si>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</si>
  <si>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</si>
  <si>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</si>
  <si>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</si>
  <si>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</si>
  <si>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</si>
  <si>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</si>
  <si>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</si>
  <si>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</si>
  <si>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</si>
  <si>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</si>
  <si>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</si>
  <si>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</si>
  <si>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</si>
  <si>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</si>
  <si>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</si>
  <si>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</si>
  <si>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</si>
  <si>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</si>
  <si>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</si>
  <si>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</si>
  <si>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</si>
  <si>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</si>
  <si>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</si>
  <si>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</si>
  <si>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</si>
  <si>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</si>
  <si>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</si>
  <si>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</si>
  <si>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</si>
  <si>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</si>
  <si>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</si>
  <si>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</si>
  <si>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</si>
  <si>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</si>
  <si>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</si>
  <si>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</si>
  <si>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</si>
  <si>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</si>
  <si>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</si>
  <si>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</si>
  <si>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</si>
  <si>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</si>
  <si>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</si>
  <si>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</si>
  <si>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</si>
  <si>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</si>
  <si>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</si>
  <si>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</si>
  <si>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</si>
  <si>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</si>
  <si>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</si>
  <si>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</si>
  <si>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</si>
  <si>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</si>
  <si>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</si>
  <si>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</si>
  <si>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</si>
  <si>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</si>
  <si>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</si>
  <si>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</si>
  <si>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</si>
  <si>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</si>
  <si>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</si>
  <si>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</si>
  <si>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</si>
  <si>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</si>
  <si>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</si>
  <si>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</si>
  <si>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</si>
  <si>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</si>
  <si>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</si>
  <si>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</si>
  <si>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</si>
  <si>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</si>
  <si>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</si>
  <si>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</si>
  <si>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</si>
  <si>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</si>
  <si>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</si>
  <si>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</si>
  <si>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</si>
  <si>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</si>
  <si>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</si>
  <si>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</si>
  <si>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</si>
  <si>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</si>
  <si>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</si>
  <si>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</si>
  <si>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</si>
  <si>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</si>
  <si>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</si>
  <si>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</si>
  <si>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</si>
  <si>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</si>
  <si>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</si>
  <si>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</si>
  <si>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</si>
  <si>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</si>
  <si>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</si>
  <si>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</si>
  <si>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</si>
  <si>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</si>
  <si>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</si>
  <si>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</si>
  <si>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</si>
  <si>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</si>
  <si>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</si>
  <si>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</si>
  <si>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</si>
  <si>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</si>
  <si>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</si>
  <si>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</si>
  <si>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</si>
  <si>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</si>
  <si>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</si>
  <si>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</si>
  <si>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</si>
  <si>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</si>
  <si>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</si>
  <si>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</si>
  <si>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</si>
  <si>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</si>
  <si>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</si>
  <si>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</si>
  <si>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</si>
  <si>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</si>
  <si>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</si>
  <si>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</si>
  <si>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</si>
  <si>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</si>
  <si>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</si>
  <si>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</si>
  <si>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</si>
  <si>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</si>
  <si>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</si>
  <si>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</si>
  <si>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</si>
  <si>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</si>
  <si>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</si>
  <si>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</si>
  <si>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</si>
  <si>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</si>
  <si>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</si>
  <si>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</si>
  <si>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</si>
  <si>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</si>
  <si>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</si>
  <si>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</si>
  <si>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</si>
  <si>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</si>
  <si>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</si>
  <si>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</si>
  <si>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</si>
  <si>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</si>
  <si>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</si>
  <si>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</si>
  <si>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</si>
  <si>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</si>
  <si>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</si>
  <si>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</si>
  <si>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</si>
  <si>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</si>
  <si>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</si>
  <si>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</si>
  <si>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</si>
  <si>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</si>
  <si>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</si>
  <si>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</si>
  <si>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</si>
  <si>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</si>
  <si>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</si>
  <si>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</si>
  <si>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</si>
  <si>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</si>
  <si>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</si>
  <si>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</si>
  <si>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</si>
  <si>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</si>
  <si>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</si>
  <si>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</si>
  <si>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</si>
  <si>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</si>
  <si>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</si>
  <si>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</si>
  <si>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</si>
  <si>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</si>
  <si>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</si>
  <si>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</si>
  <si>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</si>
  <si>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</si>
  <si>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</si>
  <si>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</si>
  <si>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</si>
  <si>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</si>
  <si>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</si>
  <si>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</si>
  <si>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</si>
  <si>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</si>
  <si>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</si>
  <si>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</si>
  <si>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</si>
  <si>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</si>
  <si>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</si>
  <si>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</si>
  <si>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</si>
  <si>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</si>
  <si>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</si>
  <si>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</si>
  <si>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</si>
  <si>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</si>
  <si>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</si>
  <si>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</si>
  <si>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</si>
  <si>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</si>
  <si>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</si>
  <si>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</si>
  <si>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</si>
  <si>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</si>
  <si>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</si>
  <si>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</si>
  <si>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</si>
  <si>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</si>
  <si>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</si>
  <si>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</si>
  <si>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</si>
  <si>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</si>
  <si>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</si>
  <si>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</si>
  <si>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</si>
  <si>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</si>
  <si>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</si>
  <si>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</si>
  <si>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</si>
  <si>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</si>
  <si>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</si>
  <si>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</si>
  <si>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</si>
  <si>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</si>
  <si>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</si>
  <si>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</si>
  <si>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</si>
  <si>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</si>
  <si>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</si>
  <si>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</si>
  <si>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</si>
  <si>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</si>
  <si>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</si>
  <si>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</si>
  <si>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</si>
  <si>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</si>
  <si>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</si>
  <si>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</si>
  <si>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</si>
  <si>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</si>
  <si>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</si>
  <si>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</si>
  <si>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</si>
  <si>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</si>
  <si>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</si>
  <si>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</si>
  <si>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</si>
  <si>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</si>
  <si>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</si>
  <si>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</si>
  <si>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</si>
  <si>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</si>
  <si>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</si>
  <si>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</si>
  <si>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</si>
  <si>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</si>
  <si>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</si>
  <si>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</si>
  <si>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</si>
  <si>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</si>
  <si>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</si>
  <si>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</si>
  <si>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</si>
  <si>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</si>
  <si>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</si>
  <si>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</si>
  <si>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</si>
  <si>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</si>
  <si>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</si>
  <si>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</si>
  <si>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</si>
  <si>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</si>
  <si>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</si>
  <si>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</si>
  <si>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</si>
  <si>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</si>
  <si>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</si>
  <si>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</si>
  <si>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</si>
  <si>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</si>
  <si>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</si>
  <si>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</si>
  <si>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</si>
  <si>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</si>
  <si>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</si>
  <si>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</si>
  <si>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</si>
  <si>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</si>
  <si>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</si>
  <si>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</si>
  <si>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</si>
  <si>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</si>
  <si>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</si>
  <si>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</si>
  <si>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</si>
  <si>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</si>
  <si>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</si>
  <si>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</si>
  <si>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</si>
  <si>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</si>
  <si>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</si>
  <si>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</si>
  <si>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</si>
  <si>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</si>
  <si>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</si>
  <si>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</si>
  <si>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</si>
  <si>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</si>
  <si>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</si>
  <si>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</si>
  <si>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</si>
  <si>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</si>
  <si>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</si>
  <si>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</si>
  <si>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</si>
  <si>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</si>
  <si>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</si>
  <si>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</si>
  <si>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</si>
  <si>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</si>
  <si>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</si>
  <si>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</si>
  <si>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</si>
  <si>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</si>
  <si>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</si>
  <si>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</si>
  <si>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</si>
  <si>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</si>
  <si>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</si>
  <si>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</si>
  <si>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</si>
  <si>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</si>
  <si>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</si>
  <si>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</si>
  <si>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</si>
  <si>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</si>
  <si>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</si>
  <si>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</si>
  <si>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</si>
  <si>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</si>
  <si>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</si>
  <si>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</si>
  <si>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</si>
  <si>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</si>
  <si>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</si>
  <si>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</si>
  <si>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</si>
  <si>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</si>
  <si>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</si>
  <si>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</si>
  <si>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</si>
  <si>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</si>
  <si>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</si>
  <si>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</si>
  <si>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</si>
  <si>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</si>
  <si>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</si>
  <si>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</si>
  <si>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</si>
  <si>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</si>
  <si>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</si>
  <si>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</si>
  <si>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</si>
  <si>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</si>
  <si>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</si>
  <si>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</si>
  <si>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</si>
  <si>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</si>
  <si>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</si>
  <si>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</si>
  <si>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</si>
  <si>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</si>
  <si>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</si>
  <si>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</si>
  <si>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</si>
  <si>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</si>
  <si>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</si>
  <si>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</si>
  <si>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</si>
  <si>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</si>
  <si>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</si>
  <si>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</si>
  <si>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</si>
  <si>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</si>
  <si>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</si>
  <si>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</si>
  <si>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</si>
  <si>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</si>
  <si>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</si>
  <si>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</si>
  <si>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</si>
  <si>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</si>
  <si>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</si>
  <si>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</si>
  <si>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</si>
  <si>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</si>
  <si>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</si>
  <si>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</si>
  <si>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</si>
  <si>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</si>
  <si>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</si>
  <si>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</si>
  <si>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</si>
  <si>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</si>
  <si>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</si>
  <si>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</si>
  <si>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</si>
  <si>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</si>
  <si>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</si>
  <si>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</si>
  <si>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</si>
  <si>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</si>
  <si>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</si>
  <si>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</si>
  <si>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</si>
  <si>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</si>
  <si>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</si>
  <si>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</si>
  <si>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</si>
  <si>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</si>
  <si>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</si>
  <si>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</si>
  <si>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</si>
  <si>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</si>
  <si>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</si>
  <si>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</si>
  <si>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</si>
  <si>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</si>
  <si>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</si>
  <si>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</si>
  <si>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</si>
  <si>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</si>
  <si>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</si>
  <si>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</si>
  <si>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</si>
  <si>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</si>
  <si>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</si>
  <si>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</si>
  <si>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</si>
  <si>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</si>
  <si>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</si>
  <si>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</si>
  <si>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</si>
  <si>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</si>
  <si>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</si>
  <si>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</si>
  <si>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</si>
  <si>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</si>
  <si>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</si>
  <si>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</si>
  <si>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</si>
  <si>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</si>
  <si>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</si>
  <si>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</si>
  <si>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</si>
  <si>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</si>
  <si>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</si>
  <si>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</si>
  <si>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</si>
  <si>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</si>
  <si>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</si>
  <si>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</si>
  <si>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</si>
  <si>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</si>
  <si>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</si>
  <si>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</si>
  <si>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</si>
  <si>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</si>
  <si>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</si>
  <si>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</si>
  <si>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</si>
  <si>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</si>
  <si>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</si>
  <si>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</si>
  <si>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</si>
  <si>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</si>
  <si>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</si>
  <si>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</si>
  <si>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</si>
  <si>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</si>
  <si>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</si>
  <si>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</si>
  <si>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</si>
  <si>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</si>
  <si>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</si>
  <si>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</si>
  <si>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</si>
  <si>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</si>
  <si>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</si>
  <si>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</si>
  <si>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</si>
  <si>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</si>
  <si>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</si>
  <si>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</si>
  <si>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</si>
  <si>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</si>
  <si>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</si>
  <si>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</si>
  <si>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</si>
  <si>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</si>
  <si>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</si>
  <si>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</si>
  <si>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</si>
  <si>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</si>
  <si>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</si>
  <si>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</si>
  <si>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</si>
  <si>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</si>
  <si>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</si>
  <si>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</si>
  <si>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</si>
  <si>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</si>
  <si>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</si>
  <si>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</si>
  <si>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</si>
  <si>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</si>
  <si>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</si>
  <si>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</si>
  <si>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</si>
  <si>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</si>
  <si>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</si>
  <si>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</si>
  <si>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</si>
  <si>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</si>
  <si>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</si>
  <si>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</si>
  <si>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</si>
  <si>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</si>
  <si>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</si>
  <si>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</si>
  <si>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</si>
  <si>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</si>
  <si>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</si>
  <si>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</si>
  <si>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</si>
  <si>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</si>
  <si>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</si>
  <si>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</si>
  <si>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</si>
  <si>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</si>
  <si>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</si>
  <si>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</si>
  <si>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</si>
  <si>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</si>
  <si>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</si>
  <si>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</si>
  <si>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</si>
  <si>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</si>
  <si>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</si>
  <si>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</si>
  <si>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</si>
  <si>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</si>
  <si>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</si>
  <si>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</si>
  <si>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</si>
  <si>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</si>
  <si>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</si>
  <si>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</si>
  <si>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</si>
  <si>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</si>
  <si>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</si>
  <si>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</si>
  <si>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</si>
  <si>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</si>
  <si>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</si>
  <si>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</si>
  <si>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</si>
  <si>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</si>
  <si>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</si>
  <si>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</si>
  <si>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</si>
  <si>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</si>
  <si>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</si>
  <si>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</si>
  <si>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</si>
  <si>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</si>
  <si>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</si>
  <si>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</si>
  <si>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</si>
  <si>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</si>
  <si>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</si>
  <si>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</si>
  <si>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</si>
  <si>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</si>
  <si>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</si>
  <si>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</si>
  <si>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</si>
  <si>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</si>
  <si>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</si>
  <si>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</si>
  <si>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</si>
  <si>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</si>
  <si>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</si>
  <si>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</si>
  <si>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</si>
  <si>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</si>
  <si>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</si>
  <si>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</si>
  <si>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</si>
  <si>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</si>
  <si>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</si>
  <si>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</si>
  <si>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</si>
  <si>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</si>
  <si>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</si>
  <si>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</si>
  <si>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</si>
  <si>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</si>
  <si>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</si>
  <si>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</si>
  <si>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</si>
  <si>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</si>
  <si>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</si>
  <si>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</si>
  <si>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</si>
  <si>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</si>
  <si>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</si>
  <si>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</si>
  <si>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</si>
  <si>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</si>
  <si>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</si>
  <si>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</si>
  <si>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</si>
  <si>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</si>
  <si>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</si>
  <si>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</si>
  <si>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</si>
  <si>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</si>
  <si>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</si>
  <si>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</si>
  <si>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</si>
  <si>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</si>
  <si>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</si>
  <si>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</si>
  <si>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</si>
  <si>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</si>
  <si>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</si>
  <si>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</si>
  <si>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</si>
  <si>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</si>
  <si>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</si>
  <si>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</si>
  <si>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</si>
  <si>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</si>
  <si>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</si>
  <si>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</si>
  <si>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</si>
  <si>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</si>
  <si>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</si>
  <si>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</si>
  <si>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</si>
  <si>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11035</t>
  </si>
  <si>
    <t>RANST</t>
  </si>
  <si>
    <t>Cultuurgrond (ha)</t>
  </si>
  <si>
    <t>Paarden&amp;pony's 200 - 600 kg</t>
  </si>
  <si>
    <t>Paarden&amp;pony's &lt; 200 kg</t>
  </si>
  <si>
    <t>op basis van VEA (maart 2018) en Inventaris Hernieuwbare Energiebronnen (juni 2018)</t>
  </si>
  <si>
    <t>VEA (juni 2018)</t>
  </si>
  <si>
    <t>Groeikracht Abelebaan NV</t>
  </si>
  <si>
    <t>Abelebaan 66, 2520 Broechem</t>
  </si>
  <si>
    <t>WKK-0165 Groeikracht Abelebaan</t>
  </si>
  <si>
    <t>interne verbrandingsmotor</t>
  </si>
  <si>
    <t>WKK interne verbrandinsgmotor (gas)</t>
  </si>
  <si>
    <t>IVEKA</t>
  </si>
  <si>
    <t>Verdonck-Van Dessel bvba</t>
  </si>
  <si>
    <t>Achterlo 17 , 2520 Broechem</t>
  </si>
  <si>
    <t>WKK-0191 Verdonck-Van Dessel</t>
  </si>
  <si>
    <t>Cummins Cogeneration Belgium bvba</t>
  </si>
  <si>
    <t>Interleuvenlaan 62 , 3001 Heverlee</t>
  </si>
  <si>
    <t>WKK-0194 Adriplant</t>
  </si>
  <si>
    <t>Klaverstraat 4 , 2520 Ranst</t>
  </si>
  <si>
    <t>Almo Energie bvba</t>
  </si>
  <si>
    <t>Bistweg 37 , 2520 Broechem</t>
  </si>
  <si>
    <t>WKK-0232 Almo Energie</t>
  </si>
  <si>
    <t>Johan Bossaerts</t>
  </si>
  <si>
    <t>Laarstraat 35 , 2520 Ranst</t>
  </si>
  <si>
    <t>WKK-0268 Johan Bossaerts</t>
  </si>
  <si>
    <t>Biofors bvba in faling</t>
  </si>
  <si>
    <t>Ginnegemveld 2 , 2520 Ranst</t>
  </si>
  <si>
    <t>WKK-0315 Biofors</t>
  </si>
  <si>
    <t>Rafael Bossaerts</t>
  </si>
  <si>
    <t>Moorstraat 21 , 2520 Broechem</t>
  </si>
  <si>
    <t>WKK-0273 Raf Bossaerts</t>
  </si>
  <si>
    <t>Groeikracht Broechem NV</t>
  </si>
  <si>
    <t>Bistweg 37, 2520 Broechem</t>
  </si>
  <si>
    <t>WKK-0040a Groeikracht Broechem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</si>
</sst>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169121.83202120825</c:v>
                </c:pt>
                <c:pt idx="1">
                  <c:v>96620.096568395122</c:v>
                </c:pt>
                <c:pt idx="2">
                  <c:v>1409.8430000000001</c:v>
                </c:pt>
                <c:pt idx="3">
                  <c:v>85675.422843776832</c:v>
                </c:pt>
                <c:pt idx="4">
                  <c:v>150820.75079618362</c:v>
                </c:pt>
                <c:pt idx="5">
                  <c:v>356328.43714879092</c:v>
                </c:pt>
                <c:pt idx="6">
                  <c:v>3687.6121784950183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784"/>
        <c:axId val="182392320"/>
      </c:barChart>
      <c:catAx>
        <c:axId val="182390784"/>
        <c:scaling>
          <c:orientation val="minMax"/>
        </c:scaling>
        <c:axPos val="b"/>
        <c:numFmt formatCode="General" sourceLinked="0"/>
        <c:tickLblPos val="nextTo"/>
        <c:crossAx val="182392320"/>
        <c:crosses val="autoZero"/>
        <c:auto val="1"/>
        <c:lblAlgn val="ctr"/>
        <c:lblOffset val="100"/>
      </c:catAx>
      <c:valAx>
        <c:axId val="182392320"/>
        <c:scaling>
          <c:orientation val="minMax"/>
        </c:scaling>
        <c:axPos val="l"/>
        <c:majorGridlines/>
        <c:numFmt formatCode="#,##0" sourceLinked="1"/>
        <c:tickLblPos val="nextTo"/>
        <c:crossAx val="182390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169121.83202120825</c:v>
                </c:pt>
                <c:pt idx="1">
                  <c:v>96620.096568395122</c:v>
                </c:pt>
                <c:pt idx="2">
                  <c:v>1409.8430000000001</c:v>
                </c:pt>
                <c:pt idx="3">
                  <c:v>85675.422843776832</c:v>
                </c:pt>
                <c:pt idx="4">
                  <c:v>150820.75079618362</c:v>
                </c:pt>
                <c:pt idx="5">
                  <c:v>356328.43714879092</c:v>
                </c:pt>
                <c:pt idx="6">
                  <c:v>3687.6121784950183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28949.986530426482</c:v>
                </c:pt>
                <c:pt idx="1">
                  <c:v>17883.491852383169</c:v>
                </c:pt>
                <c:pt idx="2">
                  <c:v>286.23048528816361</c:v>
                </c:pt>
                <c:pt idx="3">
                  <c:v>17916.498975832357</c:v>
                </c:pt>
                <c:pt idx="4">
                  <c:v>29794.339067840581</c:v>
                </c:pt>
                <c:pt idx="5">
                  <c:v>90333.84762032477</c:v>
                </c:pt>
                <c:pt idx="6">
                  <c:v>942.66962762653634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5856"/>
      </c:barChart>
      <c:catAx>
        <c:axId val="182491776"/>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28949.986530426482</c:v>
                </c:pt>
                <c:pt idx="1">
                  <c:v>17883.491852383169</c:v>
                </c:pt>
                <c:pt idx="2">
                  <c:v>286.23048528816361</c:v>
                </c:pt>
                <c:pt idx="3">
                  <c:v>17916.498975832357</c:v>
                </c:pt>
                <c:pt idx="4">
                  <c:v>29794.339067840581</c:v>
                </c:pt>
                <c:pt idx="5">
                  <c:v>90333.84762032477</c:v>
                </c:pt>
                <c:pt idx="6">
                  <c:v>942.66962762653634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11035</v>
      </c>
      <c r="B6" s="398"/>
      <c r="C6" s="399"/>
    </row>
    <row r="7" spans="1:7" s="396" customFormat="1" ht="15.75" customHeight="1">
      <c r="A7" s="400" t="str">
        <f>txtMunicipality</f>
        <v>RANST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7383</v>
      </c>
      <c r="C9" s="338">
        <v>7647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1370</v>
      </c>
    </row>
    <row r="15" spans="1:6">
      <c r="A15" s="1212" t="s">
        <v>184</v>
      </c>
      <c r="B15" s="335">
        <v>362</v>
      </c>
    </row>
    <row r="16" spans="1:6">
      <c r="A16" s="1212" t="s">
        <v>6</v>
      </c>
      <c r="B16" s="335">
        <v>210</v>
      </c>
    </row>
    <row r="17" spans="1:6">
      <c r="A17" s="1212" t="s">
        <v>7</v>
      </c>
      <c r="B17" s="335">
        <v>235</v>
      </c>
    </row>
    <row r="18" spans="1:6">
      <c r="A18" s="1212" t="s">
        <v>8</v>
      </c>
      <c r="B18" s="335">
        <v>387</v>
      </c>
    </row>
    <row r="19" spans="1:6">
      <c r="A19" s="1212" t="s">
        <v>9</v>
      </c>
      <c r="B19" s="335">
        <v>348</v>
      </c>
    </row>
    <row r="20" spans="1:6">
      <c r="A20" s="1212" t="s">
        <v>10</v>
      </c>
      <c r="B20" s="335">
        <v>232</v>
      </c>
    </row>
    <row r="21" spans="1:6">
      <c r="A21" s="1212" t="s">
        <v>11</v>
      </c>
      <c r="B21" s="335">
        <v>1056</v>
      </c>
    </row>
    <row r="22" spans="1:6">
      <c r="A22" s="1212" t="s">
        <v>12</v>
      </c>
      <c r="B22" s="335">
        <v>4019</v>
      </c>
    </row>
    <row r="23" spans="1:6">
      <c r="A23" s="1212" t="s">
        <v>13</v>
      </c>
      <c r="B23" s="335">
        <v>52</v>
      </c>
    </row>
    <row r="24" spans="1:6">
      <c r="A24" s="1212" t="s">
        <v>14</v>
      </c>
      <c r="B24" s="335">
        <v>2</v>
      </c>
    </row>
    <row r="25" spans="1:6">
      <c r="A25" s="1212" t="s">
        <v>15</v>
      </c>
      <c r="B25" s="335">
        <v>218</v>
      </c>
    </row>
    <row r="26" spans="1:6">
      <c r="A26" s="1212" t="s">
        <v>16</v>
      </c>
      <c r="B26" s="335">
        <v>167</v>
      </c>
    </row>
    <row r="27" spans="1:6">
      <c r="A27" s="1212" t="s">
        <v>17</v>
      </c>
      <c r="B27" s="335">
        <v>2</v>
      </c>
    </row>
    <row r="28" spans="1:6" s="341" customFormat="1">
      <c r="A28" s="1213" t="s">
        <v>18</v>
      </c>
      <c r="B28" s="1213">
        <v>30622</v>
      </c>
    </row>
    <row r="29" spans="1:6">
      <c r="A29" s="1213" t="s">
        <v>836</v>
      </c>
      <c r="B29" s="1213">
        <v>217</v>
      </c>
      <c r="C29" s="341"/>
      <c r="D29" s="341"/>
      <c r="E29" s="341"/>
      <c r="F29" s="341"/>
    </row>
    <row r="30" spans="1:6">
      <c r="A30" s="1208" t="s">
        <v>837</v>
      </c>
      <c r="B30" s="1208">
        <v>23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67047.648365068206</v>
      </c>
    </row>
    <row r="36" spans="1:6">
      <c r="A36" s="1212" t="s">
        <v>25</v>
      </c>
      <c r="B36" s="1212" t="s">
        <v>27</v>
      </c>
      <c r="C36" s="335">
        <v>3</v>
      </c>
      <c r="D36" s="335">
        <v>27437945.5430541</v>
      </c>
      <c r="E36" s="335">
        <v>0</v>
      </c>
      <c r="F36" s="335">
        <v>0</v>
      </c>
    </row>
    <row r="37" spans="1:6">
      <c r="A37" s="1212" t="s">
        <v>25</v>
      </c>
      <c r="B37" s="1212" t="s">
        <v>28</v>
      </c>
      <c r="C37" s="335">
        <v>0</v>
      </c>
      <c r="D37" s="335">
        <v>0</v>
      </c>
      <c r="E37" s="335">
        <v>0</v>
      </c>
      <c r="F37" s="335">
        <v>0</v>
      </c>
    </row>
    <row r="38" spans="1:6">
      <c r="A38" s="1212" t="s">
        <v>25</v>
      </c>
      <c r="B38" s="1212" t="s">
        <v>29</v>
      </c>
      <c r="C38" s="335">
        <v>2</v>
      </c>
      <c r="D38" s="335">
        <v>39148594.677000001</v>
      </c>
      <c r="E38" s="335">
        <v>6</v>
      </c>
      <c r="F38" s="335">
        <v>328506.39072248997</v>
      </c>
    </row>
    <row r="39" spans="1:6">
      <c r="A39" s="1212" t="s">
        <v>30</v>
      </c>
      <c r="B39" s="1212" t="s">
        <v>31</v>
      </c>
      <c r="C39" s="335">
        <v>5397</v>
      </c>
      <c r="D39" s="335">
        <v>113244646.865751</v>
      </c>
      <c r="E39" s="335">
        <v>7207</v>
      </c>
      <c r="F39" s="335">
        <v>33824294.599363104</v>
      </c>
    </row>
    <row r="40" spans="1:6">
      <c r="A40" s="1212" t="s">
        <v>30</v>
      </c>
      <c r="B40" s="1212" t="s">
        <v>29</v>
      </c>
      <c r="C40" s="335">
        <v>0</v>
      </c>
      <c r="D40" s="335">
        <v>0</v>
      </c>
      <c r="E40" s="335">
        <v>2</v>
      </c>
      <c r="F40" s="335">
        <v>1878</v>
      </c>
    </row>
    <row r="41" spans="1:6">
      <c r="A41" s="1212" t="s">
        <v>32</v>
      </c>
      <c r="B41" s="1212" t="s">
        <v>33</v>
      </c>
      <c r="C41" s="335">
        <v>60</v>
      </c>
      <c r="D41" s="335">
        <v>1775633.2543341001</v>
      </c>
      <c r="E41" s="335">
        <v>156</v>
      </c>
      <c r="F41" s="335">
        <v>1327590.3487602901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114317.236410881</v>
      </c>
      <c r="E44" s="335">
        <v>20</v>
      </c>
      <c r="F44" s="335">
        <v>161970.30860396801</v>
      </c>
    </row>
    <row r="45" spans="1:6">
      <c r="A45" s="1212" t="s">
        <v>32</v>
      </c>
      <c r="B45" s="1212" t="s">
        <v>37</v>
      </c>
      <c r="C45" s="335">
        <v>0</v>
      </c>
      <c r="D45" s="335">
        <v>0</v>
      </c>
      <c r="E45" s="335">
        <v>3</v>
      </c>
      <c r="F45" s="335">
        <v>42492.330779142198</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38</v>
      </c>
      <c r="D48" s="335">
        <v>108299558.923997</v>
      </c>
      <c r="E48" s="335">
        <v>49</v>
      </c>
      <c r="F48" s="335">
        <v>31114988.7223025</v>
      </c>
    </row>
    <row r="49" spans="1:6">
      <c r="A49" s="1212" t="s">
        <v>32</v>
      </c>
      <c r="B49" s="1212" t="s">
        <v>40</v>
      </c>
      <c r="C49" s="335">
        <v>0</v>
      </c>
      <c r="D49" s="335">
        <v>0</v>
      </c>
      <c r="E49" s="335">
        <v>0</v>
      </c>
      <c r="F49" s="335">
        <v>0</v>
      </c>
    </row>
    <row r="50" spans="1:6">
      <c r="A50" s="1212" t="s">
        <v>32</v>
      </c>
      <c r="B50" s="1212" t="s">
        <v>41</v>
      </c>
      <c r="C50" s="335">
        <v>8</v>
      </c>
      <c r="D50" s="335">
        <v>765351.36079573003</v>
      </c>
      <c r="E50" s="335">
        <v>8</v>
      </c>
      <c r="F50" s="335">
        <v>387810.69707247301</v>
      </c>
    </row>
    <row r="51" spans="1:6">
      <c r="A51" s="1212" t="s">
        <v>42</v>
      </c>
      <c r="B51" s="1212" t="s">
        <v>43</v>
      </c>
      <c r="C51" s="335">
        <v>17</v>
      </c>
      <c r="D51" s="335">
        <v>36550330.189173996</v>
      </c>
      <c r="E51" s="335">
        <v>96</v>
      </c>
      <c r="F51" s="335">
        <v>1661003.63643902</v>
      </c>
    </row>
    <row r="52" spans="1:6">
      <c r="A52" s="1212" t="s">
        <v>42</v>
      </c>
      <c r="B52" s="1212" t="s">
        <v>29</v>
      </c>
      <c r="C52" s="335">
        <v>4</v>
      </c>
      <c r="D52" s="335">
        <v>1986900.6765059701</v>
      </c>
      <c r="E52" s="335">
        <v>4</v>
      </c>
      <c r="F52" s="335">
        <v>98000.402324205497</v>
      </c>
    </row>
    <row r="53" spans="1:6">
      <c r="A53" s="1212" t="s">
        <v>44</v>
      </c>
      <c r="B53" s="1212" t="s">
        <v>45</v>
      </c>
      <c r="C53" s="335">
        <v>107</v>
      </c>
      <c r="D53" s="335">
        <v>2634050.0412802398</v>
      </c>
      <c r="E53" s="335">
        <v>230</v>
      </c>
      <c r="F53" s="335">
        <v>1063796.64958161</v>
      </c>
    </row>
    <row r="54" spans="1:6">
      <c r="A54" s="1212" t="s">
        <v>46</v>
      </c>
      <c r="B54" s="1212" t="s">
        <v>47</v>
      </c>
      <c r="C54" s="335">
        <v>0</v>
      </c>
      <c r="D54" s="335">
        <v>0</v>
      </c>
      <c r="E54" s="335">
        <v>1</v>
      </c>
      <c r="F54" s="335">
        <v>1409843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25</v>
      </c>
      <c r="D57" s="335">
        <v>1014064.8084248099</v>
      </c>
      <c r="E57" s="335">
        <v>121</v>
      </c>
      <c r="F57" s="335">
        <v>15047553.108587001</v>
      </c>
    </row>
    <row r="58" spans="1:6">
      <c r="A58" s="1212" t="s">
        <v>49</v>
      </c>
      <c r="B58" s="1212" t="s">
        <v>51</v>
      </c>
      <c r="C58" s="335">
        <v>21</v>
      </c>
      <c r="D58" s="335">
        <v>6481446.0083999196</v>
      </c>
      <c r="E58" s="335">
        <v>26</v>
      </c>
      <c r="F58" s="335">
        <v>1857080.8299396599</v>
      </c>
    </row>
    <row r="59" spans="1:6">
      <c r="A59" s="1212" t="s">
        <v>49</v>
      </c>
      <c r="B59" s="1212" t="s">
        <v>52</v>
      </c>
      <c r="C59" s="335">
        <v>86</v>
      </c>
      <c r="D59" s="335">
        <v>4184609.84543696</v>
      </c>
      <c r="E59" s="335">
        <v>176</v>
      </c>
      <c r="F59" s="335">
        <v>7259587.0631099902</v>
      </c>
    </row>
    <row r="60" spans="1:6">
      <c r="A60" s="1212" t="s">
        <v>49</v>
      </c>
      <c r="B60" s="1212" t="s">
        <v>53</v>
      </c>
      <c r="C60" s="335">
        <v>47</v>
      </c>
      <c r="D60" s="335">
        <v>2382250.6186976498</v>
      </c>
      <c r="E60" s="335">
        <v>68</v>
      </c>
      <c r="F60" s="335">
        <v>1263615.50235164</v>
      </c>
    </row>
    <row r="61" spans="1:6">
      <c r="A61" s="1212" t="s">
        <v>49</v>
      </c>
      <c r="B61" s="1212" t="s">
        <v>54</v>
      </c>
      <c r="C61" s="335">
        <v>172</v>
      </c>
      <c r="D61" s="335">
        <v>7947137.6546171801</v>
      </c>
      <c r="E61" s="335">
        <v>281</v>
      </c>
      <c r="F61" s="335">
        <v>4305780.4530783799</v>
      </c>
    </row>
    <row r="62" spans="1:6">
      <c r="A62" s="1212" t="s">
        <v>49</v>
      </c>
      <c r="B62" s="1212" t="s">
        <v>55</v>
      </c>
      <c r="C62" s="335">
        <v>10</v>
      </c>
      <c r="D62" s="335">
        <v>2318067.1427159598</v>
      </c>
      <c r="E62" s="335">
        <v>6</v>
      </c>
      <c r="F62" s="335">
        <v>118172.004855373</v>
      </c>
    </row>
    <row r="63" spans="1:6">
      <c r="A63" s="1212" t="s">
        <v>49</v>
      </c>
      <c r="B63" s="1212" t="s">
        <v>29</v>
      </c>
      <c r="C63" s="335">
        <v>92</v>
      </c>
      <c r="D63" s="335">
        <v>25209196.361942299</v>
      </c>
      <c r="E63" s="335">
        <v>105</v>
      </c>
      <c r="F63" s="335">
        <v>3217740.2454037</v>
      </c>
    </row>
    <row r="64" spans="1:6">
      <c r="A64" s="1212" t="s">
        <v>56</v>
      </c>
      <c r="B64" s="1212" t="s">
        <v>57</v>
      </c>
      <c r="C64" s="335">
        <v>0</v>
      </c>
      <c r="D64" s="335">
        <v>0</v>
      </c>
      <c r="E64" s="335">
        <v>0</v>
      </c>
      <c r="F64" s="335">
        <v>0</v>
      </c>
    </row>
    <row r="65" spans="1:6">
      <c r="A65" s="1212" t="s">
        <v>56</v>
      </c>
      <c r="B65" s="1212" t="s">
        <v>29</v>
      </c>
      <c r="C65" s="335">
        <v>5</v>
      </c>
      <c r="D65" s="335">
        <v>222304.16031530101</v>
      </c>
      <c r="E65" s="335">
        <v>8</v>
      </c>
      <c r="F65" s="335">
        <v>45621.554226077998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6</v>
      </c>
      <c r="D68" s="335">
        <v>176752.962258043</v>
      </c>
      <c r="E68" s="335">
        <v>16</v>
      </c>
      <c r="F68" s="335">
        <v>140108.58719640499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52375262</v>
      </c>
      <c r="E73" s="335">
        <v>91096804.975939333</v>
      </c>
    </row>
    <row r="74" spans="1:6">
      <c r="A74" s="1212" t="s">
        <v>64</v>
      </c>
      <c r="B74" s="1212" t="s">
        <v>727</v>
      </c>
      <c r="C74" s="1212" t="s">
        <v>728</v>
      </c>
      <c r="D74" s="335">
        <v>4780440.4183886312</v>
      </c>
      <c r="E74" s="335">
        <v>7885033.5328513226</v>
      </c>
    </row>
    <row r="75" spans="1:6">
      <c r="A75" s="1212" t="s">
        <v>65</v>
      </c>
      <c r="B75" s="1212" t="s">
        <v>725</v>
      </c>
      <c r="C75" s="1212" t="s">
        <v>729</v>
      </c>
      <c r="D75" s="335">
        <v>5580777</v>
      </c>
      <c r="E75" s="335">
        <v>9335679.369380651</v>
      </c>
    </row>
    <row r="76" spans="1:6">
      <c r="A76" s="1212" t="s">
        <v>65</v>
      </c>
      <c r="B76" s="1212" t="s">
        <v>727</v>
      </c>
      <c r="C76" s="1212" t="s">
        <v>730</v>
      </c>
      <c r="D76" s="335">
        <v>23542.800000000003</v>
      </c>
      <c r="E76" s="335">
        <v>35266.699639233833</v>
      </c>
    </row>
    <row r="77" spans="1:6">
      <c r="A77" s="1212" t="s">
        <v>66</v>
      </c>
      <c r="B77" s="1212" t="s">
        <v>725</v>
      </c>
      <c r="C77" s="1212" t="s">
        <v>731</v>
      </c>
      <c r="D77" s="335">
        <v>244388412</v>
      </c>
      <c r="E77" s="335">
        <v>259368676.24453667</v>
      </c>
    </row>
    <row r="78" spans="1:6">
      <c r="A78" s="1208" t="s">
        <v>66</v>
      </c>
      <c r="B78" s="1208" t="s">
        <v>727</v>
      </c>
      <c r="C78" s="1208" t="s">
        <v>732</v>
      </c>
      <c r="D78" s="1208">
        <v>54487031</v>
      </c>
      <c r="E78" s="1208">
        <v>59762132.29136391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974223.16322273703</v>
      </c>
      <c r="C83" s="335">
        <v>962469.06027598644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3380.6011023801188</v>
      </c>
    </row>
    <row r="92" spans="1:6">
      <c r="A92" s="1208" t="s">
        <v>69</v>
      </c>
      <c r="B92" s="338">
        <v>1162.5955756805138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3910</v>
      </c>
    </row>
    <row r="98" spans="1:6">
      <c r="A98" s="1212" t="s">
        <v>72</v>
      </c>
      <c r="B98" s="335">
        <v>3</v>
      </c>
    </row>
    <row r="99" spans="1:6">
      <c r="A99" s="1212" t="s">
        <v>73</v>
      </c>
      <c r="B99" s="335">
        <v>58</v>
      </c>
    </row>
    <row r="100" spans="1:6">
      <c r="A100" s="1212" t="s">
        <v>74</v>
      </c>
      <c r="B100" s="335">
        <v>755</v>
      </c>
    </row>
    <row r="101" spans="1:6">
      <c r="A101" s="1212" t="s">
        <v>75</v>
      </c>
      <c r="B101" s="335">
        <v>168</v>
      </c>
    </row>
    <row r="102" spans="1:6">
      <c r="A102" s="1212" t="s">
        <v>76</v>
      </c>
      <c r="B102" s="335">
        <v>70</v>
      </c>
    </row>
    <row r="103" spans="1:6">
      <c r="A103" s="1212" t="s">
        <v>77</v>
      </c>
      <c r="B103" s="335">
        <v>164</v>
      </c>
    </row>
    <row r="104" spans="1:6">
      <c r="A104" s="1212" t="s">
        <v>78</v>
      </c>
      <c r="B104" s="335">
        <v>1316</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15</v>
      </c>
      <c r="C123" s="335">
        <v>15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120</v>
      </c>
    </row>
    <row r="130" spans="1:6">
      <c r="A130" s="1212" t="s">
        <v>295</v>
      </c>
      <c r="B130" s="335">
        <v>1</v>
      </c>
    </row>
    <row r="131" spans="1:6">
      <c r="A131" s="1212" t="s">
        <v>296</v>
      </c>
      <c r="B131" s="335">
        <v>1</v>
      </c>
    </row>
    <row r="132" spans="1:6">
      <c r="A132" s="1208" t="s">
        <v>297</v>
      </c>
      <c r="B132" s="338">
        <v>17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106496.51155542443</v>
      </c>
      <c r="C3" s="43" t="s">
        <v>170</v>
      </c>
      <c r="D3" s="43"/>
      <c r="E3" s="156"/>
      <c r="F3" s="43"/>
      <c r="G3" s="43"/>
      <c r="H3" s="43"/>
      <c r="I3" s="43"/>
      <c r="J3" s="43"/>
      <c r="K3" s="96"/>
    </row>
    <row r="4" spans="1:11">
      <c r="A4" s="366" t="s">
        <v>171</v>
      </c>
      <c r="B4" s="49">
        <f>IF(ISERROR('SEAP template'!B69),0,'SEAP template'!B69)</f>
        <v>58835.696678060631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11088.195882352944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0.20302295027755829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15840.279831932779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77560.71428571429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0.20423071109919316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1409.8430000000001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1409.8430000000001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0.20302295027755829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286.23048528816361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33826.172599363104</v>
      </c>
      <c r="C5" s="17">
        <f>IF(ISERROR('Eigen informatie GS &amp; warmtenet'!B57),0,'Eigen informatie GS &amp; warmtenet'!B57)</f>
        <v>0</v>
      </c>
      <c r="D5" s="30">
        <f>(SUM(HH_hh_gas_kWh,HH_rest_gas_kWh)/1000)*0.902</f>
        <v>102146.6714729074</v>
      </c>
      <c r="E5" s="17">
        <f>B46*B57</f>
        <v>2388.4680937867074</v>
      </c>
      <c r="F5" s="17">
        <f>B51*B62</f>
        <v>0</v>
      </c>
      <c r="G5" s="18"/>
      <c r="H5" s="17"/>
      <c r="I5" s="17"/>
      <c r="J5" s="17">
        <f>B50*B61+C50*C61</f>
        <v>622.45104059950563</v>
      </c>
      <c r="K5" s="17"/>
      <c r="L5" s="17"/>
      <c r="M5" s="17"/>
      <c r="N5" s="17">
        <f>B48*B59+C48*C59</f>
        <v>25936.284378838085</v>
      </c>
      <c r="O5" s="17">
        <f>B69*B70*B71</f>
        <v>211.05</v>
      </c>
      <c r="P5" s="17">
        <f>B77*B78*B79/1000-B77*B78*B79/1000/B80</f>
        <v>610.13333333333333</v>
      </c>
    </row>
    <row r="6" spans="1:16">
      <c r="A6" s="16" t="s">
        <v>634</v>
      </c>
      <c r="B6" s="831">
        <f>kWh_PV_kleiner_dan_10kW</f>
        <v>3380.6011023801188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37206.773701743223</v>
      </c>
      <c r="C8" s="21">
        <f>C5</f>
        <v>0</v>
      </c>
      <c r="D8" s="21">
        <f>D5</f>
        <v>102146.6714729074</v>
      </c>
      <c r="E8" s="21">
        <f>E5</f>
        <v>2388.4680937867074</v>
      </c>
      <c r="F8" s="21">
        <f>F5</f>
        <v>0</v>
      </c>
      <c r="G8" s="21"/>
      <c r="H8" s="21"/>
      <c r="I8" s="21"/>
      <c r="J8" s="21">
        <f>J5</f>
        <v>622.45104059950563</v>
      </c>
      <c r="K8" s="21"/>
      <c r="L8" s="21">
        <f>L5</f>
        <v>0</v>
      </c>
      <c r="M8" s="21">
        <f>M5</f>
        <v>0</v>
      </c>
      <c r="N8" s="21">
        <f>N5</f>
        <v>25936.284378838085</v>
      </c>
      <c r="O8" s="21">
        <f>O5</f>
        <v>211.05</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0.20302295027755829</v>
      </c>
      <c r="C10" s="25">
        <f ca="1">'EF ele_warmte'!B22</f>
        <v>0.20423071109919316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7553.8289672373776</v>
      </c>
      <c r="C12" s="23">
        <f ca="1">C10*C8</f>
        <v>0</v>
      </c>
      <c r="D12" s="23">
        <f>D8*D10</f>
        <v>20633.627637527297</v>
      </c>
      <c r="E12" s="23">
        <f>E10*E8</f>
        <v>542.18225728958259</v>
      </c>
      <c r="F12" s="23">
        <f>F10*F8</f>
        <v>0</v>
      </c>
      <c r="G12" s="23"/>
      <c r="H12" s="23"/>
      <c r="I12" s="23"/>
      <c r="J12" s="23">
        <f>J10*J8</f>
        <v>220.34766837222497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3910</v>
      </c>
      <c r="C18" s="168" t="s">
        <v>111</v>
      </c>
      <c r="D18" s="230"/>
      <c r="E18" s="15"/>
    </row>
    <row r="19" spans="1:7">
      <c r="A19" s="173" t="s">
        <v>72</v>
      </c>
      <c r="B19" s="37">
        <f>aantalw2001_ander</f>
        <v>3</v>
      </c>
      <c r="C19" s="168" t="s">
        <v>111</v>
      </c>
      <c r="D19" s="231"/>
      <c r="E19" s="15"/>
    </row>
    <row r="20" spans="1:7">
      <c r="A20" s="173" t="s">
        <v>73</v>
      </c>
      <c r="B20" s="37">
        <f>aantalw2001_propaan</f>
        <v>58</v>
      </c>
      <c r="C20" s="169">
        <f>IF(ISERROR(B20/SUM($B$20,$B$21,$B$22)*100),0,B20/SUM($B$20,$B$21,$B$22)*100)</f>
        <v>5.9123343527013255</v>
      </c>
      <c r="D20" s="231"/>
      <c r="E20" s="15"/>
    </row>
    <row r="21" spans="1:7">
      <c r="A21" s="173" t="s">
        <v>74</v>
      </c>
      <c r="B21" s="37">
        <f>aantalw2001_elektriciteit</f>
        <v>755</v>
      </c>
      <c r="C21" s="169">
        <f>IF(ISERROR(B21/SUM($B$20,$B$21,$B$22)*100),0,B21/SUM($B$20,$B$21,$B$22)*100)</f>
        <v>76.962283384301728</v>
      </c>
      <c r="D21" s="231"/>
      <c r="E21" s="15"/>
    </row>
    <row r="22" spans="1:7">
      <c r="A22" s="173" t="s">
        <v>75</v>
      </c>
      <c r="B22" s="37">
        <f>aantalw2001_hout</f>
        <v>168</v>
      </c>
      <c r="C22" s="169">
        <f>IF(ISERROR(B22/SUM($B$20,$B$21,$B$22)*100),0,B22/SUM($B$20,$B$21,$B$22)*100)</f>
        <v>17.12538226299694</v>
      </c>
      <c r="D22" s="231"/>
      <c r="E22" s="15"/>
    </row>
    <row r="23" spans="1:7">
      <c r="A23" s="173" t="s">
        <v>76</v>
      </c>
      <c r="B23" s="37">
        <f>aantalw2001_niet_gespec</f>
        <v>70</v>
      </c>
      <c r="C23" s="168" t="s">
        <v>111</v>
      </c>
      <c r="D23" s="230"/>
      <c r="E23" s="15"/>
    </row>
    <row r="24" spans="1:7">
      <c r="A24" s="173" t="s">
        <v>77</v>
      </c>
      <c r="B24" s="37">
        <f>aantalw2001_steenkool</f>
        <v>164</v>
      </c>
      <c r="C24" s="168" t="s">
        <v>111</v>
      </c>
      <c r="D24" s="231"/>
      <c r="E24" s="15"/>
    </row>
    <row r="25" spans="1:7">
      <c r="A25" s="173" t="s">
        <v>78</v>
      </c>
      <c r="B25" s="37">
        <f>aantalw2001_stookolie</f>
        <v>1316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7383</v>
      </c>
      <c r="C28" s="36"/>
      <c r="D28" s="230"/>
    </row>
    <row r="29" spans="1:7" s="15" customFormat="1">
      <c r="A29" s="232" t="s">
        <v>746</v>
      </c>
      <c r="B29" s="37">
        <f>SUM(HH_hh_gas_aantal,HH_rest_gas_aantal)</f>
        <v>5397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5397</v>
      </c>
      <c r="C32" s="169">
        <f>IF(ISERROR(B32/SUM($B$32,$B$34,$B$35,$B$36,$B$38,$B$39)*100),0,B32/SUM($B$32,$B$34,$B$35,$B$36,$B$38,$B$39)*100)</f>
        <v>73.418582505781529</v>
      </c>
      <c r="D32" s="235"/>
      <c r="G32" s="15"/>
    </row>
    <row r="33" spans="1:7">
      <c r="A33" s="173" t="s">
        <v>72</v>
      </c>
      <c r="B33" s="34" t="s">
        <v>111</v>
      </c>
      <c r="C33" s="169"/>
      <c r="D33" s="235"/>
      <c r="G33" s="15"/>
    </row>
    <row r="34" spans="1:7">
      <c r="A34" s="173" t="s">
        <v>73</v>
      </c>
      <c r="B34" s="33">
        <f>IF((($B$28-$B$32-$B$39-$B$77-$B$38)*C20/100)&lt;0,0,($B$28-$B$32-$B$39-$B$77-$B$38)*C20/100)</f>
        <v>114.62242609582059</v>
      </c>
      <c r="C34" s="169">
        <f>IF(ISERROR(B34/SUM($B$32,$B$34,$B$35,$B$36,$B$38,$B$39)*100),0,B34/SUM($B$32,$B$34,$B$35,$B$36,$B$38,$B$39)*100)</f>
        <v>1.5592766439371595</v>
      </c>
      <c r="D34" s="235"/>
      <c r="G34" s="15"/>
    </row>
    <row r="35" spans="1:7">
      <c r="A35" s="173" t="s">
        <v>74</v>
      </c>
      <c r="B35" s="33">
        <f>IF((($B$28-$B$32-$B$39-$B$77-$B$38)*C21/100)&lt;0,0,($B$28-$B$32-$B$39-$B$77-$B$38)*C21/100)</f>
        <v>1492.0677879714576</v>
      </c>
      <c r="C35" s="169">
        <f>IF(ISERROR(B35/SUM($B$32,$B$34,$B$35,$B$36,$B$38,$B$39)*100),0,B35/SUM($B$32,$B$34,$B$35,$B$36,$B$38,$B$39)*100)</f>
        <v>20.297480451250955</v>
      </c>
      <c r="D35" s="235"/>
      <c r="G35" s="15"/>
    </row>
    <row r="36" spans="1:7">
      <c r="A36" s="173" t="s">
        <v>75</v>
      </c>
      <c r="B36" s="33">
        <f>IF((($B$28-$B$32-$B$39-$B$77-$B$38)*C22/100)&lt;0,0,($B$28-$B$32-$B$39-$B$77-$B$38)*C22/100)</f>
        <v>332.00978593272174</v>
      </c>
      <c r="C36" s="169">
        <f>IF(ISERROR(B36/SUM($B$32,$B$34,$B$35,$B$36,$B$38,$B$39)*100),0,B36/SUM($B$32,$B$34,$B$35,$B$36,$B$38,$B$39)*100)</f>
        <v>4.5165254514041866</v>
      </c>
      <c r="D36" s="235"/>
      <c r="G36" s="15"/>
    </row>
    <row r="37" spans="1:7">
      <c r="A37" s="173" t="s">
        <v>76</v>
      </c>
      <c r="B37" s="34" t="s">
        <v>111</v>
      </c>
      <c r="C37" s="169"/>
      <c r="D37" s="175"/>
      <c r="G37" s="15"/>
    </row>
    <row r="38" spans="1:7">
      <c r="A38" s="173" t="s">
        <v>77</v>
      </c>
      <c r="B38" s="33">
        <f>IF((B24-(B29-B18)*0.1)&lt;0,0,B24-(B29-B18)*0.1)</f>
        <v>15.299999999999983</v>
      </c>
      <c r="C38" s="169">
        <f>IF(ISERROR(B38/SUM($B$32,$B$34,$B$35,$B$36,$B$38,$B$39)*100),0,B38/SUM($B$32,$B$34,$B$35,$B$36,$B$38,$B$39)*100)</f>
        <v>0.20813494762617307</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5397</v>
      </c>
      <c r="C44" s="34" t="s">
        <v>111</v>
      </c>
      <c r="D44" s="176"/>
    </row>
    <row r="45" spans="1:7">
      <c r="A45" s="173" t="s">
        <v>72</v>
      </c>
      <c r="B45" s="33" t="str">
        <f t="shared" si="0"/>
        <v>-</v>
      </c>
      <c r="C45" s="34" t="s">
        <v>111</v>
      </c>
      <c r="D45" s="176"/>
    </row>
    <row r="46" spans="1:7">
      <c r="A46" s="173" t="s">
        <v>73</v>
      </c>
      <c r="B46" s="33">
        <f t="shared" si="0"/>
        <v>114.62242609582059</v>
      </c>
      <c r="C46" s="34" t="s">
        <v>111</v>
      </c>
      <c r="D46" s="176"/>
    </row>
    <row r="47" spans="1:7">
      <c r="A47" s="173" t="s">
        <v>74</v>
      </c>
      <c r="B47" s="33">
        <f t="shared" si="0"/>
        <v>1492.0677879714576</v>
      </c>
      <c r="C47" s="34" t="s">
        <v>111</v>
      </c>
      <c r="D47" s="176"/>
    </row>
    <row r="48" spans="1:7">
      <c r="A48" s="173" t="s">
        <v>75</v>
      </c>
      <c r="B48" s="33">
        <f t="shared" si="0"/>
        <v>332.00978593272174</v>
      </c>
      <c r="C48" s="33">
        <f>B48*10</f>
        <v>3320.0978593272175</v>
      </c>
      <c r="D48" s="236"/>
    </row>
    <row r="49" spans="1:6">
      <c r="A49" s="173" t="s">
        <v>76</v>
      </c>
      <c r="B49" s="33" t="str">
        <f t="shared" si="0"/>
        <v>-</v>
      </c>
      <c r="C49" s="34" t="s">
        <v>111</v>
      </c>
      <c r="D49" s="236"/>
    </row>
    <row r="50" spans="1:6">
      <c r="A50" s="173" t="s">
        <v>77</v>
      </c>
      <c r="B50" s="33">
        <f t="shared" si="0"/>
        <v>15.299999999999983</v>
      </c>
      <c r="C50" s="33">
        <f>B50*2</f>
        <v>30.599999999999966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33069.529207325744</v>
      </c>
      <c r="C5" s="17">
        <f>IF(ISERROR('Eigen informatie GS &amp; warmtenet'!B58),0,'Eigen informatie GS &amp; warmtenet'!B58)</f>
        <v>0</v>
      </c>
      <c r="D5" s="30">
        <f>SUM(D6:D12)</f>
        <v>44682.168741091766</v>
      </c>
      <c r="E5" s="17">
        <f>SUM(E6:E12)</f>
        <v>302.86840771314701</v>
      </c>
      <c r="F5" s="17">
        <f>SUM(F6:F12)</f>
        <v>7771.7949594404217</v>
      </c>
      <c r="G5" s="18"/>
      <c r="H5" s="17"/>
      <c r="I5" s="17"/>
      <c r="J5" s="17">
        <f>SUM(J6:J12)</f>
        <v>0</v>
      </c>
      <c r="K5" s="17"/>
      <c r="L5" s="17"/>
      <c r="M5" s="17"/>
      <c r="N5" s="17">
        <f>SUM(N6:N12)</f>
        <v>10773.105252824047</v>
      </c>
      <c r="O5" s="17">
        <f>B38*B39*B40</f>
        <v>1.5633333333333335</v>
      </c>
      <c r="P5" s="17">
        <f>B46*B47*B48/1000-B46*B47*B48/1000/B49</f>
        <v>19.066666666666666</v>
      </c>
      <c r="R5" s="32"/>
    </row>
    <row r="6" spans="1:18">
      <c r="A6" s="32" t="s">
        <v>54</v>
      </c>
      <c r="B6" s="37">
        <f>B26</f>
        <v>4305.7804530783797</v>
      </c>
      <c r="C6" s="33"/>
      <c r="D6" s="37">
        <f>IF(ISERROR(TER_kantoor_gas_kWh/1000),0,TER_kantoor_gas_kWh/1000)*0.902</f>
        <v>7168.3181644646966</v>
      </c>
      <c r="E6" s="33">
        <f>$C$26*'E Balans VL '!I12/100/3.6*1000000</f>
        <v>16.728868647044887</v>
      </c>
      <c r="F6" s="33">
        <f>$C$26*('E Balans VL '!L12+'E Balans VL '!N12)/100/3.6*1000000</f>
        <v>654.87002743475762</v>
      </c>
      <c r="G6" s="34"/>
      <c r="H6" s="33"/>
      <c r="I6" s="33"/>
      <c r="J6" s="33">
        <f>$C$26*('E Balans VL '!D12+'E Balans VL '!E12)/100/3.6*1000000</f>
        <v>0</v>
      </c>
      <c r="K6" s="33"/>
      <c r="L6" s="33"/>
      <c r="M6" s="33"/>
      <c r="N6" s="33">
        <f>$C$26*'E Balans VL '!Y12/100/3.6*1000000</f>
        <v>2.373000849441401</v>
      </c>
      <c r="O6" s="33"/>
      <c r="P6" s="33"/>
      <c r="R6" s="32"/>
    </row>
    <row r="7" spans="1:18">
      <c r="A7" s="32" t="s">
        <v>53</v>
      </c>
      <c r="B7" s="37">
        <f t="shared" ref="B7:B12" si="0">B27</f>
        <v>1263.6155023516401</v>
      </c>
      <c r="C7" s="33"/>
      <c r="D7" s="37">
        <f>IF(ISERROR(TER_horeca_gas_kWh/1000),0,TER_horeca_gas_kWh/1000)*0.902</f>
        <v>2148.7900580652799</v>
      </c>
      <c r="E7" s="33">
        <f>$C$27*'E Balans VL '!I9/100/3.6*1000000</f>
        <v>71.179799082279899</v>
      </c>
      <c r="F7" s="33">
        <f>$C$27*('E Balans VL '!L9+'E Balans VL '!N9)/100/3.6*1000000</f>
        <v>364.35105976242886</v>
      </c>
      <c r="G7" s="34"/>
      <c r="H7" s="33"/>
      <c r="I7" s="33"/>
      <c r="J7" s="33">
        <f>$C$27*('E Balans VL '!D9+'E Balans VL '!E9)/100/3.6*1000000</f>
        <v>0</v>
      </c>
      <c r="K7" s="33"/>
      <c r="L7" s="33"/>
      <c r="M7" s="33"/>
      <c r="N7" s="33">
        <f>$C$27*'E Balans VL '!Y9/100/3.6*1000000</f>
        <v>0.34887767383532853</v>
      </c>
      <c r="O7" s="33"/>
      <c r="P7" s="33"/>
      <c r="R7" s="32"/>
    </row>
    <row r="8" spans="1:18">
      <c r="A8" s="6" t="s">
        <v>52</v>
      </c>
      <c r="B8" s="37">
        <f t="shared" si="0"/>
        <v>7259.5870631099906</v>
      </c>
      <c r="C8" s="33"/>
      <c r="D8" s="37">
        <f>IF(ISERROR(TER_handel_gas_kWh/1000),0,TER_handel_gas_kWh/1000)*0.902</f>
        <v>3774.5180805841383</v>
      </c>
      <c r="E8" s="33">
        <f>$C$28*'E Balans VL '!I13/100/3.6*1000000</f>
        <v>104.63527890830095</v>
      </c>
      <c r="F8" s="33">
        <f>$C$28*('E Balans VL '!L13+'E Balans VL '!N13)/100/3.6*1000000</f>
        <v>1261.1593372366351</v>
      </c>
      <c r="G8" s="34"/>
      <c r="H8" s="33"/>
      <c r="I8" s="33"/>
      <c r="J8" s="33">
        <f>$C$28*('E Balans VL '!D13+'E Balans VL '!E13)/100/3.6*1000000</f>
        <v>0</v>
      </c>
      <c r="K8" s="33"/>
      <c r="L8" s="33"/>
      <c r="M8" s="33"/>
      <c r="N8" s="33">
        <f>$C$28*'E Balans VL '!Y13/100/3.6*1000000</f>
        <v>21.75053099495749</v>
      </c>
      <c r="O8" s="33"/>
      <c r="P8" s="33"/>
      <c r="R8" s="32"/>
    </row>
    <row r="9" spans="1:18">
      <c r="A9" s="32" t="s">
        <v>51</v>
      </c>
      <c r="B9" s="37">
        <f t="shared" si="0"/>
        <v>1857.0808299396599</v>
      </c>
      <c r="C9" s="33"/>
      <c r="D9" s="37">
        <f>IF(ISERROR(TER_gezond_gas_kWh/1000),0,TER_gezond_gas_kWh/1000)*0.902</f>
        <v>5846.2642995767274</v>
      </c>
      <c r="E9" s="33">
        <f>$C$29*'E Balans VL '!I10/100/3.6*1000000</f>
        <v>1.9838436640501116</v>
      </c>
      <c r="F9" s="33">
        <f>$C$29*('E Balans VL '!L10+'E Balans VL '!N10)/100/3.6*1000000</f>
        <v>302.9463221674601</v>
      </c>
      <c r="G9" s="34"/>
      <c r="H9" s="33"/>
      <c r="I9" s="33"/>
      <c r="J9" s="33">
        <f>$C$29*('E Balans VL '!D10+'E Balans VL '!E10)/100/3.6*1000000</f>
        <v>0</v>
      </c>
      <c r="K9" s="33"/>
      <c r="L9" s="33"/>
      <c r="M9" s="33"/>
      <c r="N9" s="33">
        <f>$C$29*'E Balans VL '!Y10/100/3.6*1000000</f>
        <v>19.11758751504717</v>
      </c>
      <c r="O9" s="33"/>
      <c r="P9" s="33"/>
      <c r="R9" s="32"/>
    </row>
    <row r="10" spans="1:18">
      <c r="A10" s="32" t="s">
        <v>50</v>
      </c>
      <c r="B10" s="37">
        <f t="shared" si="0"/>
        <v>15047.553108587001</v>
      </c>
      <c r="C10" s="33"/>
      <c r="D10" s="37">
        <f>IF(ISERROR(TER_ander_gas_kWh/1000),0,TER_ander_gas_kWh/1000)*0.902</f>
        <v>914.68645719917856</v>
      </c>
      <c r="E10" s="33">
        <f>$C$30*'E Balans VL '!I14/100/3.6*1000000</f>
        <v>69.20140784365023</v>
      </c>
      <c r="F10" s="33">
        <f>$C$30*('E Balans VL '!L14+'E Balans VL '!N14)/100/3.6*1000000</f>
        <v>4510.2263091286268</v>
      </c>
      <c r="G10" s="34"/>
      <c r="H10" s="33"/>
      <c r="I10" s="33"/>
      <c r="J10" s="33">
        <f>$C$30*('E Balans VL '!D14+'E Balans VL '!E14)/100/3.6*1000000</f>
        <v>0</v>
      </c>
      <c r="K10" s="33"/>
      <c r="L10" s="33"/>
      <c r="M10" s="33"/>
      <c r="N10" s="33">
        <f>$C$30*'E Balans VL '!Y14/100/3.6*1000000</f>
        <v>10474.090264124086</v>
      </c>
      <c r="O10" s="33"/>
      <c r="P10" s="33"/>
      <c r="R10" s="32"/>
    </row>
    <row r="11" spans="1:18">
      <c r="A11" s="32" t="s">
        <v>55</v>
      </c>
      <c r="B11" s="37">
        <f t="shared" si="0"/>
        <v>118.172004855373</v>
      </c>
      <c r="C11" s="33"/>
      <c r="D11" s="37">
        <f>IF(ISERROR(TER_onderwijs_gas_kWh/1000),0,TER_onderwijs_gas_kWh/1000)*0.902</f>
        <v>2090.8965627297962</v>
      </c>
      <c r="E11" s="33">
        <f>$C$31*'E Balans VL '!I11/100/3.6*1000000</f>
        <v>0.10962007515933719</v>
      </c>
      <c r="F11" s="33">
        <f>$C$31*('E Balans VL '!L11+'E Balans VL '!N11)/100/3.6*1000000</f>
        <v>41.511109317430197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3217.7402454037001</v>
      </c>
      <c r="C12" s="33"/>
      <c r="D12" s="37">
        <f>IF(ISERROR(TER_rest_gas_kWh/1000),0,TER_rest_gas_kWh/1000)*0.902</f>
        <v>22738.695118471955</v>
      </c>
      <c r="E12" s="33">
        <f>$C$32*'E Balans VL '!I8/100/3.6*1000000</f>
        <v>39.029589492661529</v>
      </c>
      <c r="F12" s="33">
        <f>$C$32*('E Balans VL '!L8+'E Balans VL '!N8)/100/3.6*1000000</f>
        <v>636.73079439308344</v>
      </c>
      <c r="G12" s="34"/>
      <c r="H12" s="33"/>
      <c r="I12" s="33"/>
      <c r="J12" s="33">
        <f>$C$32*('E Balans VL '!D8+'E Balans VL '!E8)/100/3.6*1000000</f>
        <v>0</v>
      </c>
      <c r="K12" s="33"/>
      <c r="L12" s="33"/>
      <c r="M12" s="33"/>
      <c r="N12" s="33">
        <f>$C$32*'E Balans VL '!Y8/100/3.6*1000000</f>
        <v>255.42499166667881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33069.529207325744</v>
      </c>
      <c r="C16" s="21">
        <f t="shared" ca="1" si="1"/>
        <v>0</v>
      </c>
      <c r="D16" s="21">
        <f t="shared" ca="1" si="1"/>
        <v>44682.168741091766</v>
      </c>
      <c r="E16" s="21">
        <f t="shared" si="1"/>
        <v>302.86840771314701</v>
      </c>
      <c r="F16" s="21">
        <f t="shared" ca="1" si="1"/>
        <v>7771.7949594404217</v>
      </c>
      <c r="G16" s="21">
        <f t="shared" si="1"/>
        <v>0</v>
      </c>
      <c r="H16" s="21">
        <f t="shared" si="1"/>
        <v>0</v>
      </c>
      <c r="I16" s="21">
        <f t="shared" si="1"/>
        <v>0</v>
      </c>
      <c r="J16" s="21">
        <f t="shared" si="1"/>
        <v>0</v>
      </c>
      <c r="K16" s="21">
        <f t="shared" si="1"/>
        <v>0</v>
      </c>
      <c r="L16" s="21">
        <f t="shared" ca="1" si="1"/>
        <v>0</v>
      </c>
      <c r="M16" s="21">
        <f t="shared" si="1"/>
        <v>0</v>
      </c>
      <c r="N16" s="21">
        <f t="shared" ca="1" si="1"/>
        <v>10773.105252824047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0.20302295027755829</v>
      </c>
      <c r="C18" s="25">
        <f ca="1">'EF ele_warmte'!B22</f>
        <v>0.20423071109919316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6713.8733839611559</v>
      </c>
      <c r="C20" s="23">
        <f t="shared" ref="C20:P20" ca="1" si="2">C16*C18</f>
        <v>0</v>
      </c>
      <c r="D20" s="23">
        <f t="shared" ca="1" si="2"/>
        <v>9025.7980857005368</v>
      </c>
      <c r="E20" s="23">
        <f t="shared" si="2"/>
        <v>68.751128550884374</v>
      </c>
      <c r="F20" s="23">
        <f t="shared" ca="1" si="2"/>
        <v>2075.0692541705926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4305.7804530783797</v>
      </c>
      <c r="C26" s="39">
        <f>IF(ISERROR(B26*3.6/1000000/'E Balans VL '!Z12*100),0,B26*3.6/1000000/'E Balans VL '!Z12*100)</f>
        <v>9.1456909629760205E-2</v>
      </c>
      <c r="D26" s="239" t="s">
        <v>692</v>
      </c>
      <c r="F26" s="6"/>
    </row>
    <row r="27" spans="1:18">
      <c r="A27" s="233" t="s">
        <v>53</v>
      </c>
      <c r="B27" s="33">
        <f>IF(ISERROR(TER_horeca_ele_kWh/1000),0,TER_horeca_ele_kWh/1000)</f>
        <v>1263.6155023516401</v>
      </c>
      <c r="C27" s="39">
        <f>IF(ISERROR(B27*3.6/1000000/'E Balans VL '!Z9*100),0,B27*3.6/1000000/'E Balans VL '!Z9*100)</f>
        <v>9.8253800825185103E-2</v>
      </c>
      <c r="D27" s="239" t="s">
        <v>692</v>
      </c>
      <c r="F27" s="6"/>
    </row>
    <row r="28" spans="1:18">
      <c r="A28" s="173" t="s">
        <v>52</v>
      </c>
      <c r="B28" s="33">
        <f>IF(ISERROR(TER_handel_ele_kWh/1000),0,TER_handel_ele_kWh/1000)</f>
        <v>7259.5870631099906</v>
      </c>
      <c r="C28" s="39">
        <f>IF(ISERROR(B28*3.6/1000000/'E Balans VL '!Z13*100),0,B28*3.6/1000000/'E Balans VL '!Z13*100)</f>
        <v>0.20770532955488247</v>
      </c>
      <c r="D28" s="239" t="s">
        <v>692</v>
      </c>
      <c r="F28" s="6"/>
    </row>
    <row r="29" spans="1:18">
      <c r="A29" s="233" t="s">
        <v>51</v>
      </c>
      <c r="B29" s="33">
        <f>IF(ISERROR(TER_gezond_ele_kWh/1000),0,TER_gezond_ele_kWh/1000)</f>
        <v>1857.0808299396599</v>
      </c>
      <c r="C29" s="39">
        <f>IF(ISERROR(B29*3.6/1000000/'E Balans VL '!Z10*100),0,B29*3.6/1000000/'E Balans VL '!Z10*100)</f>
        <v>0.20246496384644674</v>
      </c>
      <c r="D29" s="239" t="s">
        <v>692</v>
      </c>
      <c r="F29" s="6"/>
    </row>
    <row r="30" spans="1:18">
      <c r="A30" s="233" t="s">
        <v>50</v>
      </c>
      <c r="B30" s="33">
        <f>IF(ISERROR(TER_ander_ele_kWh/1000),0,TER_ander_ele_kWh/1000)</f>
        <v>15047.553108587001</v>
      </c>
      <c r="C30" s="39">
        <f>IF(ISERROR(B30*3.6/1000000/'E Balans VL '!Z14*100),0,B30*3.6/1000000/'E Balans VL '!Z14*100)</f>
        <v>1.1011458019213449</v>
      </c>
      <c r="D30" s="239" t="s">
        <v>692</v>
      </c>
      <c r="F30" s="6"/>
    </row>
    <row r="31" spans="1:18">
      <c r="A31" s="233" t="s">
        <v>55</v>
      </c>
      <c r="B31" s="33">
        <f>IF(ISERROR(TER_onderwijs_ele_kWh/1000),0,TER_onderwijs_ele_kWh/1000)</f>
        <v>118.172004855373</v>
      </c>
      <c r="C31" s="39">
        <f>IF(ISERROR(B31*3.6/1000000/'E Balans VL '!Z11*100),0,B31*3.6/1000000/'E Balans VL '!Z11*100)</f>
        <v>2.3734934927312715E-2</v>
      </c>
      <c r="D31" s="239" t="s">
        <v>692</v>
      </c>
    </row>
    <row r="32" spans="1:18">
      <c r="A32" s="233" t="s">
        <v>260</v>
      </c>
      <c r="B32" s="33">
        <f>IF(ISERROR(TER_rest_ele_kWh/1000),0,TER_rest_ele_kWh/1000)</f>
        <v>3217.7402454037001</v>
      </c>
      <c r="C32" s="39">
        <f>IF(ISERROR(B32*3.6/1000000/'E Balans VL '!Z8*100),0,B32*3.6/1000000/'E Balans VL '!Z8*100)</f>
        <v>2.6222630252702741E-2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33034.852407518374</v>
      </c>
      <c r="C5" s="17">
        <f>IF(ISERROR('Eigen informatie GS &amp; warmtenet'!B59),0,'Eigen informatie GS &amp; warmtenet'!B59)</f>
        <v>0</v>
      </c>
      <c r="D5" s="30">
        <f>SUM(D6:D15)</f>
        <v>100081.28441953502</v>
      </c>
      <c r="E5" s="17">
        <f>SUM(E6:E15)</f>
        <v>2131.8083262866189</v>
      </c>
      <c r="F5" s="17">
        <f>SUM(F6:F15)</f>
        <v>8834.6441787706153</v>
      </c>
      <c r="G5" s="18"/>
      <c r="H5" s="17"/>
      <c r="I5" s="17"/>
      <c r="J5" s="17">
        <f>SUM(J6:J15)</f>
        <v>79.988507168389589</v>
      </c>
      <c r="K5" s="17"/>
      <c r="L5" s="17"/>
      <c r="M5" s="17"/>
      <c r="N5" s="17">
        <f>SUM(N6:N15)</f>
        <v>6658.1729569046047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161.97030860396799</v>
      </c>
      <c r="C8" s="33"/>
      <c r="D8" s="37">
        <f>IF( ISERROR(IND_metaal_Gas_kWH/1000),0,IND_metaal_Gas_kWH/1000)*0.902</f>
        <v>103.11414724261466</v>
      </c>
      <c r="E8" s="33">
        <f>C30*'E Balans VL '!I18/100/3.6*1000000</f>
        <v>4.6523952250605642</v>
      </c>
      <c r="F8" s="33">
        <f>C30*'E Balans VL '!L18/100/3.6*1000000+C30*'E Balans VL '!N18/100/3.6*1000000</f>
        <v>41.542269020203037</v>
      </c>
      <c r="G8" s="34"/>
      <c r="H8" s="33"/>
      <c r="I8" s="33"/>
      <c r="J8" s="40">
        <f>C30*'E Balans VL '!D18/100/3.6*1000000+C30*'E Balans VL '!E18/100/3.6*1000000</f>
        <v>0</v>
      </c>
      <c r="K8" s="33"/>
      <c r="L8" s="33"/>
      <c r="M8" s="33"/>
      <c r="N8" s="33">
        <f>C30*'E Balans VL '!Y18/100/3.6*1000000</f>
        <v>4.3978245068402471</v>
      </c>
      <c r="O8" s="33"/>
      <c r="P8" s="33"/>
      <c r="R8" s="32"/>
    </row>
    <row r="9" spans="1:18">
      <c r="A9" s="6" t="s">
        <v>33</v>
      </c>
      <c r="B9" s="37">
        <f t="shared" si="0"/>
        <v>1327.59034876029</v>
      </c>
      <c r="C9" s="33"/>
      <c r="D9" s="37">
        <f>IF( ISERROR(IND_andere_gas_kWh/1000),0,IND_andere_gas_kWh/1000)*0.902</f>
        <v>1601.6211954093583</v>
      </c>
      <c r="E9" s="33">
        <f>C31*'E Balans VL '!I19/100/3.6*1000000</f>
        <v>359.34606589181016</v>
      </c>
      <c r="F9" s="33">
        <f>C31*'E Balans VL '!L19/100/3.6*1000000+C31*'E Balans VL '!N19/100/3.6*1000000</f>
        <v>884.31566067991025</v>
      </c>
      <c r="G9" s="34"/>
      <c r="H9" s="33"/>
      <c r="I9" s="33"/>
      <c r="J9" s="40">
        <f>C31*'E Balans VL '!D19/100/3.6*1000000+C31*'E Balans VL '!E19/100/3.6*1000000</f>
        <v>0</v>
      </c>
      <c r="K9" s="33"/>
      <c r="L9" s="33"/>
      <c r="M9" s="33"/>
      <c r="N9" s="33">
        <f>C31*'E Balans VL '!Y19/100/3.6*1000000</f>
        <v>433.43619570654835</v>
      </c>
      <c r="O9" s="33"/>
      <c r="P9" s="33"/>
      <c r="R9" s="32"/>
    </row>
    <row r="10" spans="1:18">
      <c r="A10" s="6" t="s">
        <v>41</v>
      </c>
      <c r="B10" s="37">
        <f t="shared" si="0"/>
        <v>387.81069707247303</v>
      </c>
      <c r="C10" s="33"/>
      <c r="D10" s="37">
        <f>IF( ISERROR(IND_voed_gas_kWh/1000),0,IND_voed_gas_kWh/1000)*0.902</f>
        <v>690.34692743774849</v>
      </c>
      <c r="E10" s="33">
        <f>C32*'E Balans VL '!I20/100/3.6*1000000</f>
        <v>31.630731425123127</v>
      </c>
      <c r="F10" s="33">
        <f>C32*'E Balans VL '!L20/100/3.6*1000000+C32*'E Balans VL '!N20/100/3.6*1000000</f>
        <v>578.2609346044743</v>
      </c>
      <c r="G10" s="34"/>
      <c r="H10" s="33"/>
      <c r="I10" s="33"/>
      <c r="J10" s="40">
        <f>C32*'E Balans VL '!D20/100/3.6*1000000+C32*'E Balans VL '!E20/100/3.6*1000000</f>
        <v>5.1302647832325021E-3</v>
      </c>
      <c r="K10" s="33"/>
      <c r="L10" s="33"/>
      <c r="M10" s="33"/>
      <c r="N10" s="33">
        <f>C32*'E Balans VL '!Y20/100/3.6*1000000</f>
        <v>113.92509843594856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42.4923307791422</v>
      </c>
      <c r="C12" s="33"/>
      <c r="D12" s="37">
        <f>IF( ISERROR(IND_min_gas_kWh/1000),0,IND_min_gas_kWh/1000)*0.902</f>
        <v>0</v>
      </c>
      <c r="E12" s="33">
        <f>C34*'E Balans VL '!I22/100/3.6*1000000</f>
        <v>0.3310059980847419</v>
      </c>
      <c r="F12" s="33">
        <f>C34*'E Balans VL '!L22/100/3.6*1000000+C34*'E Balans VL '!N22/100/3.6*1000000</f>
        <v>16.02549593641313</v>
      </c>
      <c r="G12" s="34"/>
      <c r="H12" s="33"/>
      <c r="I12" s="33"/>
      <c r="J12" s="40">
        <f>C34*'E Balans VL '!D22/100/3.6*1000000+C34*'E Balans VL '!E22/100/3.6*1000000</f>
        <v>0.23370410405640851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31114.9887223025</v>
      </c>
      <c r="C15" s="33"/>
      <c r="D15" s="37">
        <f>IF( ISERROR(IND_rest_gas_kWh/1000),0,IND_rest_gas_kWh/1000)*0.902</f>
        <v>97686.202149445293</v>
      </c>
      <c r="E15" s="33">
        <f>C37*'E Balans VL '!I15/100/3.6*1000000</f>
        <v>1735.8481277465405</v>
      </c>
      <c r="F15" s="33">
        <f>C37*'E Balans VL '!L15/100/3.6*1000000+C37*'E Balans VL '!N15/100/3.6*1000000</f>
        <v>7314.4998185296145</v>
      </c>
      <c r="G15" s="34"/>
      <c r="H15" s="33"/>
      <c r="I15" s="33"/>
      <c r="J15" s="40">
        <f>C37*'E Balans VL '!D15/100/3.6*1000000+C37*'E Balans VL '!E15/100/3.6*1000000</f>
        <v>79.749672799549941</v>
      </c>
      <c r="K15" s="33"/>
      <c r="L15" s="33"/>
      <c r="M15" s="33"/>
      <c r="N15" s="33">
        <f>C37*'E Balans VL '!Y15/100/3.6*1000000</f>
        <v>6106.4138382552674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33034.852407518374</v>
      </c>
      <c r="C18" s="21">
        <f>C5+C16</f>
        <v>0</v>
      </c>
      <c r="D18" s="21">
        <f>MAX((D5+D16),0)</f>
        <v>100081.28441953502</v>
      </c>
      <c r="E18" s="21">
        <f>MAX((E5+E16),0)</f>
        <v>2131.8083262866189</v>
      </c>
      <c r="F18" s="21">
        <f>MAX((F5+F16),0)</f>
        <v>8834.6441787706153</v>
      </c>
      <c r="G18" s="21"/>
      <c r="H18" s="21"/>
      <c r="I18" s="21"/>
      <c r="J18" s="21">
        <f>MAX((J5+J16),0)</f>
        <v>79.988507168389589</v>
      </c>
      <c r="K18" s="21"/>
      <c r="L18" s="21">
        <f>MAX((L5+L16),0)</f>
        <v>0</v>
      </c>
      <c r="M18" s="21"/>
      <c r="N18" s="21">
        <f>MAX((N5+N16),0)</f>
        <v>6658.1729569046047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0.20302295027755829</v>
      </c>
      <c r="C20" s="25">
        <f ca="1">'EF ele_warmte'!B22</f>
        <v>0.20423071109919316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6706.8331977580792</v>
      </c>
      <c r="C22" s="23">
        <f ca="1">C18*C20</f>
        <v>0</v>
      </c>
      <c r="D22" s="23">
        <f>D18*D20</f>
        <v>20216.419452746075</v>
      </c>
      <c r="E22" s="23">
        <f>E18*E20</f>
        <v>483.92049006706253</v>
      </c>
      <c r="F22" s="23">
        <f>F18*F20</f>
        <v>2358.8499957317545</v>
      </c>
      <c r="G22" s="23"/>
      <c r="H22" s="23"/>
      <c r="I22" s="23"/>
      <c r="J22" s="23">
        <f>J18*J20</f>
        <v>28.315931537609913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161.97030860396799</v>
      </c>
      <c r="C30" s="39">
        <f>IF(ISERROR(B30*3.6/1000000/'E Balans VL '!Z18*100),0,B30*3.6/1000000/'E Balans VL '!Z18*100)</f>
        <v>1.5937464900477087E-2</v>
      </c>
      <c r="D30" s="239" t="s">
        <v>692</v>
      </c>
    </row>
    <row r="31" spans="1:18">
      <c r="A31" s="6" t="s">
        <v>33</v>
      </c>
      <c r="B31" s="37">
        <f>IF( ISERROR(IND_ander_ele_kWh/1000),0,IND_ander_ele_kWh/1000)</f>
        <v>1327.59034876029</v>
      </c>
      <c r="C31" s="39">
        <f>IF(ISERROR(B31*3.6/1000000/'E Balans VL '!Z19*100),0,B31*3.6/1000000/'E Balans VL '!Z19*100)</f>
        <v>5.7815500680121354E-2</v>
      </c>
      <c r="D31" s="239" t="s">
        <v>692</v>
      </c>
    </row>
    <row r="32" spans="1:18">
      <c r="A32" s="173" t="s">
        <v>41</v>
      </c>
      <c r="B32" s="37">
        <f>IF( ISERROR(IND_voed_ele_kWh/1000),0,IND_voed_ele_kWh/1000)</f>
        <v>387.81069707247303</v>
      </c>
      <c r="C32" s="39">
        <f>IF(ISERROR(B32*3.6/1000000/'E Balans VL '!Z20*100),0,B32*3.6/1000000/'E Balans VL '!Z20*100)</f>
        <v>7.3581486930821824E-2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42.4923307791422</v>
      </c>
      <c r="C34" s="39">
        <f>IF(ISERROR(B34*3.6/1000000/'E Balans VL '!Z22*100),0,B34*3.6/1000000/'E Balans VL '!Z22*100)</f>
        <v>5.9748484022331613E-3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31114.9887223025</v>
      </c>
      <c r="C37" s="39">
        <f>IF(ISERROR(B37*3.6/1000000/'E Balans VL '!Z15*100),0,B37*3.6/1000000/'E Balans VL '!Z15*100)</f>
        <v>0.23977920518912371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1759.0040387632255</v>
      </c>
      <c r="C5" s="17">
        <f>'Eigen informatie GS &amp; warmtenet'!B60</f>
        <v>0</v>
      </c>
      <c r="D5" s="30">
        <f>IF(ISERROR(SUM(LB_lb_gas_kWh,LB_rest_gas_kWh,onbekend_gas_kWh)/1000),0,SUM(LB_lb_gas_kWh,LB_rest_gas_kWh,onbekend_gas_kWh)/1000)*0.902</f>
        <v>37136.4953780781</v>
      </c>
      <c r="E5" s="17">
        <f>B17*'E Balans VL '!I25/3.6*1000000/100</f>
        <v>22.165716946354777</v>
      </c>
      <c r="F5" s="17">
        <f>B17*('E Balans VL '!L25/3.6*1000000+'E Balans VL '!N25/3.6*1000000)/100</f>
        <v>6069.0045905751649</v>
      </c>
      <c r="G5" s="18"/>
      <c r="H5" s="17"/>
      <c r="I5" s="17"/>
      <c r="J5" s="17">
        <f>('E Balans VL '!D25+'E Balans VL '!E25)/3.6*1000000*landbouw!B17/100</f>
        <v>264.53421177778876</v>
      </c>
      <c r="K5" s="17"/>
      <c r="L5" s="17">
        <f>L6*(-1)</f>
        <v>0</v>
      </c>
      <c r="M5" s="17"/>
      <c r="N5" s="17">
        <f>N6*(-1)</f>
        <v>21812.142857142859</v>
      </c>
      <c r="O5" s="17"/>
      <c r="P5" s="17"/>
      <c r="R5" s="32"/>
    </row>
    <row r="6" spans="1:18">
      <c r="A6" s="16" t="s">
        <v>497</v>
      </c>
      <c r="B6" s="17" t="s">
        <v>211</v>
      </c>
      <c r="C6" s="17">
        <f>'lokale energieproductie'!O91+'lokale energieproductie'!O60</f>
        <v>77560.71428571429</v>
      </c>
      <c r="D6" s="312">
        <f>('lokale energieproductie'!P60+'lokale energieproductie'!P91)*(-1)</f>
        <v>-133309.28571428574</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-21812.142857142859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1759.0040387632255</v>
      </c>
      <c r="C8" s="21">
        <f>C5+C6</f>
        <v>77560.71428571429</v>
      </c>
      <c r="D8" s="21">
        <f>MAX((D5+D6),0)</f>
        <v>0</v>
      </c>
      <c r="E8" s="21">
        <f>MAX((E5+E6),0)</f>
        <v>22.165716946354777</v>
      </c>
      <c r="F8" s="21">
        <f>MAX((F5+F6),0)</f>
        <v>6069.0045905751649</v>
      </c>
      <c r="G8" s="21"/>
      <c r="H8" s="21"/>
      <c r="I8" s="21"/>
      <c r="J8" s="21">
        <f>MAX((J5+J6),0)</f>
        <v>264.53421177778876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0.20302295027755829</v>
      </c>
      <c r="C10" s="31">
        <f ca="1">'EF ele_warmte'!B22</f>
        <v>0.20423071109919316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357.11818949985053</v>
      </c>
      <c r="C12" s="23">
        <f ca="1">C8*C10</f>
        <v>15840.279831932779</v>
      </c>
      <c r="D12" s="23">
        <f>D8*D10</f>
        <v>0</v>
      </c>
      <c r="E12" s="23">
        <f>E8*E10</f>
        <v>5.0316177468225343</v>
      </c>
      <c r="F12" s="23">
        <f>F8*F10</f>
        <v>1620.4242256835691</v>
      </c>
      <c r="G12" s="23"/>
      <c r="H12" s="23"/>
      <c r="I12" s="23"/>
      <c r="J12" s="23">
        <f>J8*J10</f>
        <v>93.64511096933721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0.24532562281828924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106.62407840248069</v>
      </c>
      <c r="C26" s="249">
        <f>B26*'GWP N2O_CH4'!B5</f>
        <v>2239.1056464520943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39.743382367869053</v>
      </c>
      <c r="C27" s="249">
        <f>B27*'GWP N2O_CH4'!B5</f>
        <v>834.61102972525009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1.8547346965110896</v>
      </c>
      <c r="C28" s="249">
        <f>B28*'GWP N2O_CH4'!B4</f>
        <v>574.96775591843777</v>
      </c>
      <c r="D28" s="50"/>
    </row>
    <row r="29" spans="1:4">
      <c r="A29" s="41" t="s">
        <v>277</v>
      </c>
      <c r="B29" s="249">
        <f>B34*'ha_N2O bodem landbouw'!B4</f>
        <v>8.1605750932795296</v>
      </c>
      <c r="C29" s="249">
        <f>B29*'GWP N2O_CH4'!B4</f>
        <v>2529.778278916654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2.037614058049691E-3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5.9433120265894003E-5</v>
      </c>
      <c r="C5" s="448" t="s">
        <v>211</v>
      </c>
      <c r="D5" s="433">
        <f>SUM(D6:D11)</f>
        <v>8.8386167407238154E-5</v>
      </c>
      <c r="E5" s="433">
        <f>SUM(E6:E11)</f>
        <v>3.3245001414765846E-3</v>
      </c>
      <c r="F5" s="446" t="s">
        <v>211</v>
      </c>
      <c r="G5" s="433">
        <f>SUM(G6:G11)</f>
        <v>1.0857147977013564</v>
      </c>
      <c r="H5" s="433">
        <f>SUM(H6:H11)</f>
        <v>0.13868039607050195</v>
      </c>
      <c r="I5" s="448" t="s">
        <v>211</v>
      </c>
      <c r="J5" s="448" t="s">
        <v>211</v>
      </c>
      <c r="K5" s="448" t="s">
        <v>211</v>
      </c>
      <c r="L5" s="448" t="s">
        <v>211</v>
      </c>
      <c r="M5" s="433">
        <f>SUM(M6:M11)</f>
        <v>5.4914860534639211E-2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1.0295625519529405E-5</v>
      </c>
      <c r="C6" s="949"/>
      <c r="D6" s="949">
        <f>vkm_2011_GW_PW*SUMIFS(TableVerdeelsleutelVkm[CNG],TableVerdeelsleutelVkm[Voertuigtype],"Lichte voertuigen")*SUMIFS(TableECFTransport[EnergieConsumptieFactor (PJ per km)],TableECFTransport[Index],CONCATENATE($A6,"_CNG_CNG"))</f>
        <v>1.4580619360418852E-5</v>
      </c>
      <c r="E6" s="949">
        <f>vkm_2011_GW_PW*SUMIFS(TableVerdeelsleutelVkm[LPG],TableVerdeelsleutelVkm[Voertuigtype],"Lichte voertuigen")*SUMIFS(TableECFTransport[EnergieConsumptieFactor (PJ per km)],TableECFTransport[Index],CONCATENATE($A6,"_LPG_LPG"))</f>
        <v>4.5792925344459424E-4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8.2302425880778823E-2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2.2115410578509621E-2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4.6595866246331163E-3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4.5126154631091833E-2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1.6077792894712793E-5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2.0363556061058609E-3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1.0970368052765588E-6</v>
      </c>
      <c r="C8" s="949"/>
      <c r="D8" s="436">
        <f>vkm_2011_NGW_PW*SUMIFS(TableVerdeelsleutelVkm[CNG],TableVerdeelsleutelVkm[Voertuigtype],"Lichte voertuigen")*SUMIFS(TableECFTransport[EnergieConsumptieFactor (PJ per km)],TableECFTransport[Index],CONCATENATE($A8,"_CNG_CNG"))</f>
        <v>2.7677981611689674E-6</v>
      </c>
      <c r="E8" s="436">
        <f>vkm_2011_NGW_PW*SUMIFS(TableVerdeelsleutelVkm[LPG],TableVerdeelsleutelVkm[Voertuigtype],"Lichte voertuigen")*SUMIFS(TableECFTransport[EnergieConsumptieFactor (PJ per km)],TableECFTransport[Index],CONCATENATE($A8,"_LPG_LPG"))</f>
        <v>8.0066177437582072E-5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1.3571993477120297E-2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4.0507598097563611E-3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7.8567471532273267E-4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2.8349464145598454E-4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9.5580139244819773E-8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1.2792701390443609E-5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4.8040457941088039E-5</v>
      </c>
      <c r="C10" s="949"/>
      <c r="D10" s="436">
        <f>vkm_2011_SW_PW*SUMIFS(TableVerdeelsleutelVkm[CNG],TableVerdeelsleutelVkm[Voertuigtype],"Lichte voertuigen")*SUMIFS(TableECFTransport[EnergieConsumptieFactor (PJ per km)],TableECFTransport[Index],CONCATENATE($A10,"_CNG_CNG"))</f>
        <v>7.1037749885650338E-5</v>
      </c>
      <c r="E10" s="436">
        <f>vkm_2011_SW_PW*SUMIFS(TableVerdeelsleutelVkm[LPG],TableVerdeelsleutelVkm[Voertuigtype],"Lichte voertuigen")*SUMIFS(TableECFTransport[EnergieConsumptieFactor (PJ per km)],TableECFTransport[Index],CONCATENATE($A10,"_LPG_LPG"))</f>
        <v>2.7865047105944084E-3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0.45356104866675329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0.11230945141959491</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2.5268957482372637E-2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0.49086968040415602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1.8860088960712747E-4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2.2151493404814419E-2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16.509200073859446</v>
      </c>
      <c r="C14" s="21"/>
      <c r="D14" s="21">
        <f t="shared" ref="D14:M14" si="0">((D5)*10^9/3600)+D12</f>
        <v>24.551713168677267</v>
      </c>
      <c r="E14" s="21">
        <f t="shared" si="0"/>
        <v>923.47226152127348</v>
      </c>
      <c r="F14" s="21"/>
      <c r="G14" s="21">
        <f t="shared" si="0"/>
        <v>301587.44380593236</v>
      </c>
      <c r="H14" s="21">
        <f t="shared" si="0"/>
        <v>38522.3322418061</v>
      </c>
      <c r="I14" s="21"/>
      <c r="J14" s="21"/>
      <c r="K14" s="21"/>
      <c r="L14" s="21"/>
      <c r="M14" s="21">
        <f t="shared" si="0"/>
        <v>15254.127926288669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0.20302295027755829</v>
      </c>
      <c r="C16" s="56">
        <f ca="1">'EF ele_warmte'!B22</f>
        <v>0.20423071109919316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3.3517465057174278</v>
      </c>
      <c r="C18" s="23"/>
      <c r="D18" s="23">
        <f t="shared" ref="D18:M18" si="1">D14*D16</f>
        <v>4.9594460600728079</v>
      </c>
      <c r="E18" s="23">
        <f t="shared" si="1"/>
        <v>209.62820336532909</v>
      </c>
      <c r="F18" s="23"/>
      <c r="G18" s="23">
        <f t="shared" si="1"/>
        <v>80523.847496183938</v>
      </c>
      <c r="H18" s="23">
        <f t="shared" si="1"/>
        <v>9592.0607282097189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1.2710152282604983E-2</v>
      </c>
      <c r="H50" s="323">
        <f t="shared" si="2"/>
        <v>0</v>
      </c>
      <c r="I50" s="323">
        <f t="shared" si="2"/>
        <v>0</v>
      </c>
      <c r="J50" s="323">
        <f t="shared" si="2"/>
        <v>0</v>
      </c>
      <c r="K50" s="323">
        <f t="shared" si="2"/>
        <v>0</v>
      </c>
      <c r="L50" s="323">
        <f t="shared" si="2"/>
        <v>0</v>
      </c>
      <c r="M50" s="323">
        <f t="shared" si="2"/>
        <v>5.6525155997708338E-4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1.2710152282604983E-2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5.6525155997708338E-4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3530.597856279162</v>
      </c>
      <c r="H54" s="21">
        <f t="shared" si="3"/>
        <v>0</v>
      </c>
      <c r="I54" s="21">
        <f t="shared" si="3"/>
        <v>0</v>
      </c>
      <c r="J54" s="21">
        <f t="shared" si="3"/>
        <v>0</v>
      </c>
      <c r="K54" s="21">
        <f t="shared" si="3"/>
        <v>0</v>
      </c>
      <c r="L54" s="21">
        <f t="shared" si="3"/>
        <v>0</v>
      </c>
      <c r="M54" s="21">
        <f t="shared" si="3"/>
        <v>157.01432221585648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0.20302295027755829</v>
      </c>
      <c r="C56" s="56">
        <f ca="1">'EF ele_warmte'!B22</f>
        <v>0.20423071109919316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942.66962762653634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4543.1966780606326</v>
      </c>
      <c r="C6" s="1142"/>
      <c r="D6" s="1145"/>
      <c r="E6" s="1145"/>
      <c r="F6" s="1148"/>
      <c r="G6" s="1151"/>
      <c r="H6" s="1139"/>
      <c r="I6" s="1145"/>
      <c r="J6" s="1145"/>
      <c r="K6" s="1145"/>
      <c r="L6" s="1175"/>
      <c r="M6" s="561"/>
      <c r="N6" s="1187"/>
      <c r="O6" s="1188"/>
      <c r="Q6" s="559"/>
      <c r="R6" s="1172"/>
      <c r="S6" s="1172"/>
    </row>
    <row r="7" spans="1:19" s="549" customFormat="1">
      <c r="A7" s="562" t="s">
        <v>252</v>
      </c>
      <c r="B7" s="563">
        <f>N57</f>
        <v>54292.5</v>
      </c>
      <c r="C7" s="564">
        <f>B100</f>
        <v>54892.05882352942</v>
      </c>
      <c r="D7" s="565"/>
      <c r="E7" s="565">
        <f>E100</f>
        <v>0</v>
      </c>
      <c r="F7" s="566"/>
      <c r="G7" s="567"/>
      <c r="H7" s="565">
        <f>I100</f>
        <v>0</v>
      </c>
      <c r="I7" s="565">
        <f>G100+F100</f>
        <v>0</v>
      </c>
      <c r="J7" s="565">
        <f>H100+D100+C100</f>
        <v>8981.4705882352937</v>
      </c>
      <c r="K7" s="565"/>
      <c r="L7" s="568"/>
      <c r="M7" s="569">
        <f>C7*$C$11+D7*$D$11+E7*$E$11+F7*$F$11+G7*$G$11+H7*$H$11+I7*$I$11+J7*$J$11</f>
        <v>11088.195882352944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58835.696678060631</v>
      </c>
      <c r="C9" s="580">
        <f t="shared" ref="C9:L9" si="0">SUM(C7:C8)</f>
        <v>54892.05882352942</v>
      </c>
      <c r="D9" s="580">
        <f t="shared" si="0"/>
        <v>0</v>
      </c>
      <c r="E9" s="580">
        <f t="shared" si="0"/>
        <v>0</v>
      </c>
      <c r="F9" s="580">
        <f t="shared" si="0"/>
        <v>0</v>
      </c>
      <c r="G9" s="580">
        <f t="shared" si="0"/>
        <v>0</v>
      </c>
      <c r="H9" s="580">
        <f t="shared" si="0"/>
        <v>0</v>
      </c>
      <c r="I9" s="580">
        <f t="shared" si="0"/>
        <v>0</v>
      </c>
      <c r="J9" s="580">
        <f t="shared" si="0"/>
        <v>8981.4705882352937</v>
      </c>
      <c r="K9" s="580">
        <f t="shared" si="0"/>
        <v>0</v>
      </c>
      <c r="L9" s="580">
        <f t="shared" si="0"/>
        <v>0</v>
      </c>
      <c r="M9" s="581">
        <f>SUM(M4:M8)</f>
        <v>11088.195882352944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77560.71428571429</v>
      </c>
      <c r="C16" s="596">
        <f>B101</f>
        <v>78417.226890756327</v>
      </c>
      <c r="D16" s="597"/>
      <c r="E16" s="597">
        <f>E101</f>
        <v>0</v>
      </c>
      <c r="F16" s="598"/>
      <c r="G16" s="599"/>
      <c r="H16" s="596">
        <f>I101</f>
        <v>0</v>
      </c>
      <c r="I16" s="597">
        <f>G101+F101</f>
        <v>0</v>
      </c>
      <c r="J16" s="597">
        <f>H101+D101+C101</f>
        <v>12830.672268907565</v>
      </c>
      <c r="K16" s="597"/>
      <c r="L16" s="600"/>
      <c r="M16" s="601">
        <f>C16*$C$21+E16*$E$21+H16*$H$21+I16*$I$21+J16*$J$21+D16*$D$21+F16*$F$21+G16*$G$21+K16*$K$21+L16*$L$21</f>
        <v>15840.279831932779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77560.71428571429</v>
      </c>
      <c r="C19" s="579">
        <f>SUM(C16:C18)</f>
        <v>78417.226890756327</v>
      </c>
      <c r="D19" s="579">
        <f t="shared" ref="D19:M19" si="1">SUM(D16:D18)</f>
        <v>0</v>
      </c>
      <c r="E19" s="579">
        <f t="shared" si="1"/>
        <v>0</v>
      </c>
      <c r="F19" s="579">
        <f t="shared" si="1"/>
        <v>0</v>
      </c>
      <c r="G19" s="579">
        <f t="shared" si="1"/>
        <v>0</v>
      </c>
      <c r="H19" s="579">
        <f t="shared" si="1"/>
        <v>0</v>
      </c>
      <c r="I19" s="579">
        <f t="shared" si="1"/>
        <v>0</v>
      </c>
      <c r="J19" s="579">
        <f t="shared" si="1"/>
        <v>12830.672268907565</v>
      </c>
      <c r="K19" s="579">
        <f t="shared" si="1"/>
        <v>0</v>
      </c>
      <c r="L19" s="579">
        <f t="shared" si="1"/>
        <v>0</v>
      </c>
      <c r="M19" s="606">
        <f t="shared" si="1"/>
        <v>15840.279831932779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11035</v>
      </c>
      <c r="C27" s="839">
        <v>2520</v>
      </c>
      <c r="D27" s="658" t="s">
        <v>840</v>
      </c>
      <c r="E27" s="657" t="s">
        <v>841</v>
      </c>
      <c r="F27" s="657" t="s">
        <v>842</v>
      </c>
      <c r="G27" s="657" t="s">
        <v>843</v>
      </c>
      <c r="H27" s="657" t="s">
        <v>844</v>
      </c>
      <c r="I27" s="657" t="s">
        <v>841</v>
      </c>
      <c r="J27" s="838">
        <v>39853</v>
      </c>
      <c r="K27" s="838">
        <v>39853</v>
      </c>
      <c r="L27" s="657" t="s">
        <v>845</v>
      </c>
      <c r="M27" s="657">
        <v>2016</v>
      </c>
      <c r="N27" s="657">
        <v>9072</v>
      </c>
      <c r="O27" s="657">
        <v>12960</v>
      </c>
      <c r="P27" s="657">
        <v>25920</v>
      </c>
      <c r="Q27" s="657">
        <v>0</v>
      </c>
      <c r="R27" s="657">
        <v>0</v>
      </c>
      <c r="S27" s="657">
        <v>0</v>
      </c>
      <c r="T27" s="657">
        <v>0</v>
      </c>
      <c r="U27" s="657">
        <v>0</v>
      </c>
      <c r="V27" s="657">
        <v>0</v>
      </c>
      <c r="W27" s="657">
        <v>0</v>
      </c>
      <c r="X27" s="657">
        <v>10</v>
      </c>
      <c r="Y27" s="657" t="s">
        <v>112</v>
      </c>
      <c r="Z27" s="659" t="s">
        <v>112</v>
      </c>
    </row>
    <row r="28" spans="1:26" s="611" customFormat="1" ht="25.5">
      <c r="A28" s="610"/>
      <c r="B28" s="839">
        <v>11035</v>
      </c>
      <c r="C28" s="839">
        <v>2520</v>
      </c>
      <c r="D28" s="658" t="s">
        <v>846</v>
      </c>
      <c r="E28" s="657" t="s">
        <v>847</v>
      </c>
      <c r="F28" s="657" t="s">
        <v>848</v>
      </c>
      <c r="G28" s="657" t="s">
        <v>843</v>
      </c>
      <c r="H28" s="657" t="s">
        <v>844</v>
      </c>
      <c r="I28" s="657" t="s">
        <v>847</v>
      </c>
      <c r="J28" s="838">
        <v>39895</v>
      </c>
      <c r="K28" s="838">
        <v>39895</v>
      </c>
      <c r="L28" s="657" t="s">
        <v>845</v>
      </c>
      <c r="M28" s="657">
        <v>1635</v>
      </c>
      <c r="N28" s="657">
        <v>7357.5</v>
      </c>
      <c r="O28" s="657">
        <v>10510.714285714286</v>
      </c>
      <c r="P28" s="657">
        <v>21021.428571428572</v>
      </c>
      <c r="Q28" s="657">
        <v>0</v>
      </c>
      <c r="R28" s="657">
        <v>0</v>
      </c>
      <c r="S28" s="657">
        <v>0</v>
      </c>
      <c r="T28" s="657">
        <v>0</v>
      </c>
      <c r="U28" s="657">
        <v>0</v>
      </c>
      <c r="V28" s="657">
        <v>0</v>
      </c>
      <c r="W28" s="657">
        <v>0</v>
      </c>
      <c r="X28" s="657">
        <v>10</v>
      </c>
      <c r="Y28" s="657" t="s">
        <v>112</v>
      </c>
      <c r="Z28" s="659" t="s">
        <v>112</v>
      </c>
    </row>
    <row r="29" spans="1:26" s="611" customFormat="1" ht="25.5">
      <c r="A29" s="610"/>
      <c r="B29" s="839">
        <v>11035</v>
      </c>
      <c r="C29" s="839">
        <v>2520</v>
      </c>
      <c r="D29" s="658" t="s">
        <v>849</v>
      </c>
      <c r="E29" s="657" t="s">
        <v>850</v>
      </c>
      <c r="F29" s="657" t="s">
        <v>851</v>
      </c>
      <c r="G29" s="657" t="s">
        <v>843</v>
      </c>
      <c r="H29" s="657" t="s">
        <v>844</v>
      </c>
      <c r="I29" s="657" t="s">
        <v>852</v>
      </c>
      <c r="J29" s="838">
        <v>39976</v>
      </c>
      <c r="K29" s="838">
        <v>39990</v>
      </c>
      <c r="L29" s="657" t="s">
        <v>845</v>
      </c>
      <c r="M29" s="657">
        <v>1400</v>
      </c>
      <c r="N29" s="657">
        <v>6300</v>
      </c>
      <c r="O29" s="657">
        <v>9000</v>
      </c>
      <c r="P29" s="657">
        <v>18000</v>
      </c>
      <c r="Q29" s="657">
        <v>0</v>
      </c>
      <c r="R29" s="657">
        <v>0</v>
      </c>
      <c r="S29" s="657">
        <v>0</v>
      </c>
      <c r="T29" s="657">
        <v>0</v>
      </c>
      <c r="U29" s="657">
        <v>0</v>
      </c>
      <c r="V29" s="657">
        <v>0</v>
      </c>
      <c r="W29" s="657">
        <v>0</v>
      </c>
      <c r="X29" s="657">
        <v>10</v>
      </c>
      <c r="Y29" s="657" t="s">
        <v>112</v>
      </c>
      <c r="Z29" s="659" t="s">
        <v>112</v>
      </c>
    </row>
    <row r="30" spans="1:26" s="611" customFormat="1" ht="25.5">
      <c r="A30" s="610"/>
      <c r="B30" s="839">
        <v>11035</v>
      </c>
      <c r="C30" s="839">
        <v>2520</v>
      </c>
      <c r="D30" s="658" t="s">
        <v>853</v>
      </c>
      <c r="E30" s="657" t="s">
        <v>854</v>
      </c>
      <c r="F30" s="657" t="s">
        <v>855</v>
      </c>
      <c r="G30" s="657" t="s">
        <v>843</v>
      </c>
      <c r="H30" s="657" t="s">
        <v>844</v>
      </c>
      <c r="I30" s="657" t="s">
        <v>854</v>
      </c>
      <c r="J30" s="838">
        <v>40163</v>
      </c>
      <c r="K30" s="838">
        <v>40163</v>
      </c>
      <c r="L30" s="657" t="s">
        <v>845</v>
      </c>
      <c r="M30" s="657">
        <v>1127</v>
      </c>
      <c r="N30" s="657">
        <v>5071.5</v>
      </c>
      <c r="O30" s="657">
        <v>7245</v>
      </c>
      <c r="P30" s="657">
        <v>14490.000000000002</v>
      </c>
      <c r="Q30" s="657">
        <v>0</v>
      </c>
      <c r="R30" s="657">
        <v>0</v>
      </c>
      <c r="S30" s="657">
        <v>0</v>
      </c>
      <c r="T30" s="657">
        <v>0</v>
      </c>
      <c r="U30" s="657">
        <v>0</v>
      </c>
      <c r="V30" s="657">
        <v>0</v>
      </c>
      <c r="W30" s="657">
        <v>0</v>
      </c>
      <c r="X30" s="657">
        <v>10</v>
      </c>
      <c r="Y30" s="657" t="s">
        <v>112</v>
      </c>
      <c r="Z30" s="659" t="s">
        <v>112</v>
      </c>
    </row>
    <row r="31" spans="1:26" s="611" customFormat="1" ht="25.5">
      <c r="A31" s="610"/>
      <c r="B31" s="839">
        <v>11035</v>
      </c>
      <c r="C31" s="839">
        <v>2520</v>
      </c>
      <c r="D31" s="658" t="s">
        <v>856</v>
      </c>
      <c r="E31" s="657" t="s">
        <v>857</v>
      </c>
      <c r="F31" s="657" t="s">
        <v>858</v>
      </c>
      <c r="G31" s="657" t="s">
        <v>843</v>
      </c>
      <c r="H31" s="657" t="s">
        <v>844</v>
      </c>
      <c r="I31" s="657" t="s">
        <v>857</v>
      </c>
      <c r="J31" s="838">
        <v>40259</v>
      </c>
      <c r="K31" s="838">
        <v>40259</v>
      </c>
      <c r="L31" s="657" t="s">
        <v>845</v>
      </c>
      <c r="M31" s="657">
        <v>1008</v>
      </c>
      <c r="N31" s="657">
        <v>4536</v>
      </c>
      <c r="O31" s="657">
        <v>6480</v>
      </c>
      <c r="P31" s="657">
        <v>12960</v>
      </c>
      <c r="Q31" s="657">
        <v>0</v>
      </c>
      <c r="R31" s="657">
        <v>0</v>
      </c>
      <c r="S31" s="657">
        <v>0</v>
      </c>
      <c r="T31" s="657">
        <v>0</v>
      </c>
      <c r="U31" s="657">
        <v>0</v>
      </c>
      <c r="V31" s="657">
        <v>0</v>
      </c>
      <c r="W31" s="657">
        <v>0</v>
      </c>
      <c r="X31" s="657">
        <v>10</v>
      </c>
      <c r="Y31" s="657" t="s">
        <v>112</v>
      </c>
      <c r="Z31" s="659" t="s">
        <v>112</v>
      </c>
    </row>
    <row r="32" spans="1:26" s="611" customFormat="1" ht="25.5">
      <c r="A32" s="610"/>
      <c r="B32" s="839">
        <v>11035</v>
      </c>
      <c r="C32" s="839">
        <v>2520</v>
      </c>
      <c r="D32" s="658" t="s">
        <v>859</v>
      </c>
      <c r="E32" s="657" t="s">
        <v>860</v>
      </c>
      <c r="F32" s="657" t="s">
        <v>861</v>
      </c>
      <c r="G32" s="657" t="s">
        <v>843</v>
      </c>
      <c r="H32" s="657" t="s">
        <v>844</v>
      </c>
      <c r="I32" s="657" t="s">
        <v>860</v>
      </c>
      <c r="J32" s="838">
        <v>40434</v>
      </c>
      <c r="K32" s="838">
        <v>40434</v>
      </c>
      <c r="L32" s="657" t="s">
        <v>845</v>
      </c>
      <c r="M32" s="657">
        <v>2262</v>
      </c>
      <c r="N32" s="657">
        <v>10179</v>
      </c>
      <c r="O32" s="657">
        <v>14541.428571428572</v>
      </c>
      <c r="P32" s="657">
        <v>7270.7142857142862</v>
      </c>
      <c r="Q32" s="657">
        <v>21812.142857142859</v>
      </c>
      <c r="R32" s="657">
        <v>0</v>
      </c>
      <c r="S32" s="657">
        <v>0</v>
      </c>
      <c r="T32" s="657">
        <v>0</v>
      </c>
      <c r="U32" s="657">
        <v>0</v>
      </c>
      <c r="V32" s="657">
        <v>0</v>
      </c>
      <c r="W32" s="657">
        <v>0</v>
      </c>
      <c r="X32" s="657">
        <v>10</v>
      </c>
      <c r="Y32" s="657" t="s">
        <v>112</v>
      </c>
      <c r="Z32" s="659" t="s">
        <v>112</v>
      </c>
    </row>
    <row r="33" spans="1:26" s="611" customFormat="1" ht="25.5">
      <c r="A33" s="610"/>
      <c r="B33" s="839">
        <v>11035</v>
      </c>
      <c r="C33" s="839">
        <v>2520</v>
      </c>
      <c r="D33" s="658" t="s">
        <v>862</v>
      </c>
      <c r="E33" s="657" t="s">
        <v>863</v>
      </c>
      <c r="F33" s="657" t="s">
        <v>864</v>
      </c>
      <c r="G33" s="657" t="s">
        <v>843</v>
      </c>
      <c r="H33" s="657" t="s">
        <v>844</v>
      </c>
      <c r="I33" s="657" t="s">
        <v>863</v>
      </c>
      <c r="J33" s="838">
        <v>40568</v>
      </c>
      <c r="K33" s="838">
        <v>40570</v>
      </c>
      <c r="L33" s="657" t="s">
        <v>845</v>
      </c>
      <c r="M33" s="657">
        <v>800</v>
      </c>
      <c r="N33" s="657">
        <v>3600</v>
      </c>
      <c r="O33" s="657">
        <v>5142.8571428571431</v>
      </c>
      <c r="P33" s="657">
        <v>10285.714285714286</v>
      </c>
      <c r="Q33" s="657">
        <v>0</v>
      </c>
      <c r="R33" s="657">
        <v>0</v>
      </c>
      <c r="S33" s="657">
        <v>0</v>
      </c>
      <c r="T33" s="657">
        <v>0</v>
      </c>
      <c r="U33" s="657">
        <v>0</v>
      </c>
      <c r="V33" s="657">
        <v>0</v>
      </c>
      <c r="W33" s="657">
        <v>0</v>
      </c>
      <c r="X33" s="657">
        <v>10</v>
      </c>
      <c r="Y33" s="657" t="s">
        <v>112</v>
      </c>
      <c r="Z33" s="659" t="s">
        <v>112</v>
      </c>
    </row>
    <row r="34" spans="1:26" s="611" customFormat="1" ht="38.25">
      <c r="A34" s="610"/>
      <c r="B34" s="839">
        <v>11035</v>
      </c>
      <c r="C34" s="839">
        <v>2520</v>
      </c>
      <c r="D34" s="658" t="s">
        <v>865</v>
      </c>
      <c r="E34" s="657" t="s">
        <v>866</v>
      </c>
      <c r="F34" s="657" t="s">
        <v>867</v>
      </c>
      <c r="G34" s="657" t="s">
        <v>843</v>
      </c>
      <c r="H34" s="657" t="s">
        <v>844</v>
      </c>
      <c r="I34" s="657" t="s">
        <v>866</v>
      </c>
      <c r="J34" s="838">
        <v>41043</v>
      </c>
      <c r="K34" s="838">
        <v>39083</v>
      </c>
      <c r="L34" s="657" t="s">
        <v>845</v>
      </c>
      <c r="M34" s="657">
        <v>1817</v>
      </c>
      <c r="N34" s="657">
        <v>8176.5</v>
      </c>
      <c r="O34" s="657">
        <v>11680.714285714286</v>
      </c>
      <c r="P34" s="657">
        <v>23361.428571428572</v>
      </c>
      <c r="Q34" s="657">
        <v>0</v>
      </c>
      <c r="R34" s="657">
        <v>0</v>
      </c>
      <c r="S34" s="657">
        <v>0</v>
      </c>
      <c r="T34" s="657">
        <v>0</v>
      </c>
      <c r="U34" s="657">
        <v>0</v>
      </c>
      <c r="V34" s="657">
        <v>0</v>
      </c>
      <c r="W34" s="657">
        <v>0</v>
      </c>
      <c r="X34" s="657">
        <v>10</v>
      </c>
      <c r="Y34" s="657" t="s">
        <v>112</v>
      </c>
      <c r="Z34" s="659" t="s">
        <v>112</v>
      </c>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12065</v>
      </c>
      <c r="N57" s="615">
        <f>SUM(N27:N56)</f>
        <v>54292.5</v>
      </c>
      <c r="O57" s="615">
        <f t="shared" ref="O57:W57" si="2">SUM(O27:O56)</f>
        <v>77560.71428571429</v>
      </c>
      <c r="P57" s="615">
        <f t="shared" si="2"/>
        <v>133309.28571428574</v>
      </c>
      <c r="Q57" s="615">
        <f t="shared" si="2"/>
        <v>21812.142857142859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12065</v>
      </c>
      <c r="N60" s="620">
        <f t="shared" ref="N60:W60" si="4">SUMIF($Z$27:$Z$56,"landbouw",N27:N56)</f>
        <v>54292.5</v>
      </c>
      <c r="O60" s="620">
        <f t="shared" si="4"/>
        <v>77560.71428571429</v>
      </c>
      <c r="P60" s="620">
        <f t="shared" si="4"/>
        <v>133309.28571428574</v>
      </c>
      <c r="Q60" s="620">
        <f t="shared" si="4"/>
        <v>21812.142857142859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54892.05882352942</v>
      </c>
      <c r="C100" s="649">
        <f t="shared" si="9"/>
        <v>8981.4705882352937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78417.226890756327</v>
      </c>
      <c r="C101" s="652">
        <f t="shared" ref="C101:H101" si="10">$B$97*Q57</f>
        <v>12830.672268907565</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34479.372207325745</v>
      </c>
      <c r="D10" s="704">
        <f ca="1">tertiair!C16</f>
        <v>0</v>
      </c>
      <c r="E10" s="704">
        <f ca="1">tertiair!D16</f>
        <v>44682.168741091766</v>
      </c>
      <c r="F10" s="704">
        <f>tertiair!E16</f>
        <v>302.86840771314701</v>
      </c>
      <c r="G10" s="704">
        <f ca="1">tertiair!F16</f>
        <v>7771.7949594404217</v>
      </c>
      <c r="H10" s="704">
        <f>tertiair!G16</f>
        <v>0</v>
      </c>
      <c r="I10" s="704">
        <f>tertiair!H16</f>
        <v>0</v>
      </c>
      <c r="J10" s="704">
        <f>tertiair!I16</f>
        <v>0</v>
      </c>
      <c r="K10" s="704">
        <f>tertiair!J16</f>
        <v>0</v>
      </c>
      <c r="L10" s="704">
        <f>tertiair!K16</f>
        <v>0</v>
      </c>
      <c r="M10" s="704">
        <f ca="1">tertiair!L16</f>
        <v>0</v>
      </c>
      <c r="N10" s="704">
        <f>tertiair!M16</f>
        <v>0</v>
      </c>
      <c r="O10" s="704">
        <f ca="1">tertiair!N16</f>
        <v>10773.105252824047</v>
      </c>
      <c r="P10" s="704">
        <f>tertiair!O16</f>
        <v>1.5633333333333335</v>
      </c>
      <c r="Q10" s="705">
        <f>tertiair!P16</f>
        <v>19.066666666666666</v>
      </c>
      <c r="R10" s="707">
        <f ca="1">SUM(C10:Q10)</f>
        <v>98029.939568395115</v>
      </c>
      <c r="S10" s="67"/>
    </row>
    <row r="11" spans="1:19" s="459" customFormat="1">
      <c r="A11" s="858" t="s">
        <v>225</v>
      </c>
      <c r="B11" s="863"/>
      <c r="C11" s="704">
        <f>huishoudens!B8</f>
        <v>37206.773701743223</v>
      </c>
      <c r="D11" s="704">
        <f>huishoudens!C8</f>
        <v>0</v>
      </c>
      <c r="E11" s="704">
        <f>huishoudens!D8</f>
        <v>102146.6714729074</v>
      </c>
      <c r="F11" s="704">
        <f>huishoudens!E8</f>
        <v>2388.4680937867074</v>
      </c>
      <c r="G11" s="704">
        <f>huishoudens!F8</f>
        <v>0</v>
      </c>
      <c r="H11" s="704">
        <f>huishoudens!G8</f>
        <v>0</v>
      </c>
      <c r="I11" s="704">
        <f>huishoudens!H8</f>
        <v>0</v>
      </c>
      <c r="J11" s="704">
        <f>huishoudens!I8</f>
        <v>0</v>
      </c>
      <c r="K11" s="704">
        <f>huishoudens!J8</f>
        <v>622.45104059950563</v>
      </c>
      <c r="L11" s="704">
        <f>huishoudens!K8</f>
        <v>0</v>
      </c>
      <c r="M11" s="704">
        <f>huishoudens!L8</f>
        <v>0</v>
      </c>
      <c r="N11" s="704">
        <f>huishoudens!M8</f>
        <v>0</v>
      </c>
      <c r="O11" s="704">
        <f>huishoudens!N8</f>
        <v>25936.284378838085</v>
      </c>
      <c r="P11" s="704">
        <f>huishoudens!O8</f>
        <v>211.05</v>
      </c>
      <c r="Q11" s="705">
        <f>huishoudens!P8</f>
        <v>610.13333333333333</v>
      </c>
      <c r="R11" s="707">
        <f>SUM(C11:Q11)</f>
        <v>169121.83202120825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33034.852407518374</v>
      </c>
      <c r="D13" s="704">
        <f>industrie!C18</f>
        <v>0</v>
      </c>
      <c r="E13" s="704">
        <f>industrie!D18</f>
        <v>100081.28441953502</v>
      </c>
      <c r="F13" s="704">
        <f>industrie!E18</f>
        <v>2131.8083262866189</v>
      </c>
      <c r="G13" s="704">
        <f>industrie!F18</f>
        <v>8834.6441787706153</v>
      </c>
      <c r="H13" s="704">
        <f>industrie!G18</f>
        <v>0</v>
      </c>
      <c r="I13" s="704">
        <f>industrie!H18</f>
        <v>0</v>
      </c>
      <c r="J13" s="704">
        <f>industrie!I18</f>
        <v>0</v>
      </c>
      <c r="K13" s="704">
        <f>industrie!J18</f>
        <v>79.988507168389589</v>
      </c>
      <c r="L13" s="704">
        <f>industrie!K18</f>
        <v>0</v>
      </c>
      <c r="M13" s="704">
        <f>industrie!L18</f>
        <v>0</v>
      </c>
      <c r="N13" s="704">
        <f>industrie!M18</f>
        <v>0</v>
      </c>
      <c r="O13" s="704">
        <f>industrie!N18</f>
        <v>6658.1729569046047</v>
      </c>
      <c r="P13" s="704">
        <f>industrie!O18</f>
        <v>0</v>
      </c>
      <c r="Q13" s="705">
        <f>industrie!P18</f>
        <v>0</v>
      </c>
      <c r="R13" s="707">
        <f>SUM(C13:Q13)</f>
        <v>150820.75079618362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104720.99831658733</v>
      </c>
      <c r="D15" s="709">
        <f t="shared" ref="D15:Q15" ca="1" si="0">SUM(D9:D14)</f>
        <v>0</v>
      </c>
      <c r="E15" s="709">
        <f t="shared" ca="1" si="0"/>
        <v>246910.12463353417</v>
      </c>
      <c r="F15" s="709">
        <f t="shared" si="0"/>
        <v>4823.1448277864729</v>
      </c>
      <c r="G15" s="709">
        <f t="shared" ca="1" si="0"/>
        <v>16606.439138211037</v>
      </c>
      <c r="H15" s="709">
        <f t="shared" si="0"/>
        <v>0</v>
      </c>
      <c r="I15" s="709">
        <f t="shared" si="0"/>
        <v>0</v>
      </c>
      <c r="J15" s="709">
        <f t="shared" si="0"/>
        <v>0</v>
      </c>
      <c r="K15" s="709">
        <f t="shared" si="0"/>
        <v>702.43954776789519</v>
      </c>
      <c r="L15" s="709">
        <f t="shared" si="0"/>
        <v>0</v>
      </c>
      <c r="M15" s="709">
        <f t="shared" ca="1" si="0"/>
        <v>0</v>
      </c>
      <c r="N15" s="709">
        <f t="shared" si="0"/>
        <v>0</v>
      </c>
      <c r="O15" s="709">
        <f t="shared" ca="1" si="0"/>
        <v>43367.56258856674</v>
      </c>
      <c r="P15" s="709">
        <f t="shared" si="0"/>
        <v>212.61333333333334</v>
      </c>
      <c r="Q15" s="710">
        <f t="shared" si="0"/>
        <v>629.20000000000005</v>
      </c>
      <c r="R15" s="711">
        <f ca="1">SUM(R9:R14)</f>
        <v>417972.52238578699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3530.597856279162</v>
      </c>
      <c r="I18" s="704">
        <f>transport!H54</f>
        <v>0</v>
      </c>
      <c r="J18" s="704">
        <f>transport!I54</f>
        <v>0</v>
      </c>
      <c r="K18" s="704">
        <f>transport!J54</f>
        <v>0</v>
      </c>
      <c r="L18" s="704">
        <f>transport!K54</f>
        <v>0</v>
      </c>
      <c r="M18" s="704">
        <f>transport!L54</f>
        <v>0</v>
      </c>
      <c r="N18" s="704">
        <f>transport!M54</f>
        <v>157.01432221585648</v>
      </c>
      <c r="O18" s="704">
        <f>transport!N54</f>
        <v>0</v>
      </c>
      <c r="P18" s="704">
        <f>transport!O54</f>
        <v>0</v>
      </c>
      <c r="Q18" s="705">
        <f>transport!P54</f>
        <v>0</v>
      </c>
      <c r="R18" s="707">
        <f>SUM(C18:Q18)</f>
        <v>3687.6121784950183</v>
      </c>
      <c r="S18" s="67"/>
    </row>
    <row r="19" spans="1:19" s="459" customFormat="1" ht="15" thickBot="1">
      <c r="A19" s="858" t="s">
        <v>307</v>
      </c>
      <c r="B19" s="863"/>
      <c r="C19" s="713">
        <f>transport!B14</f>
        <v>16.509200073859446</v>
      </c>
      <c r="D19" s="713">
        <f>transport!C14</f>
        <v>0</v>
      </c>
      <c r="E19" s="713">
        <f>transport!D14</f>
        <v>24.551713168677267</v>
      </c>
      <c r="F19" s="713">
        <f>transport!E14</f>
        <v>923.47226152127348</v>
      </c>
      <c r="G19" s="713">
        <f>transport!F14</f>
        <v>0</v>
      </c>
      <c r="H19" s="713">
        <f>transport!G14</f>
        <v>301587.44380593236</v>
      </c>
      <c r="I19" s="713">
        <f>transport!H14</f>
        <v>38522.3322418061</v>
      </c>
      <c r="J19" s="713">
        <f>transport!I14</f>
        <v>0</v>
      </c>
      <c r="K19" s="713">
        <f>transport!J14</f>
        <v>0</v>
      </c>
      <c r="L19" s="713">
        <f>transport!K14</f>
        <v>0</v>
      </c>
      <c r="M19" s="713">
        <f>transport!L14</f>
        <v>0</v>
      </c>
      <c r="N19" s="713">
        <f>transport!M14</f>
        <v>15254.127926288669</v>
      </c>
      <c r="O19" s="713">
        <f>transport!N14</f>
        <v>0</v>
      </c>
      <c r="P19" s="713">
        <f>transport!O14</f>
        <v>0</v>
      </c>
      <c r="Q19" s="714">
        <f>transport!P14</f>
        <v>0</v>
      </c>
      <c r="R19" s="715">
        <f>SUM(C19:Q19)</f>
        <v>356328.43714879092</v>
      </c>
      <c r="S19" s="67"/>
    </row>
    <row r="20" spans="1:19" s="459" customFormat="1" ht="15.75" thickBot="1">
      <c r="A20" s="716" t="s">
        <v>230</v>
      </c>
      <c r="B20" s="866"/>
      <c r="C20" s="861">
        <f>SUM(C17:C19)</f>
        <v>16.509200073859446</v>
      </c>
      <c r="D20" s="717">
        <f t="shared" ref="D20:R20" si="1">SUM(D17:D19)</f>
        <v>0</v>
      </c>
      <c r="E20" s="717">
        <f t="shared" si="1"/>
        <v>24.551713168677267</v>
      </c>
      <c r="F20" s="717">
        <f t="shared" si="1"/>
        <v>923.47226152127348</v>
      </c>
      <c r="G20" s="717">
        <f t="shared" si="1"/>
        <v>0</v>
      </c>
      <c r="H20" s="717">
        <f t="shared" si="1"/>
        <v>305118.04166221153</v>
      </c>
      <c r="I20" s="717">
        <f t="shared" si="1"/>
        <v>38522.3322418061</v>
      </c>
      <c r="J20" s="717">
        <f t="shared" si="1"/>
        <v>0</v>
      </c>
      <c r="K20" s="717">
        <f t="shared" si="1"/>
        <v>0</v>
      </c>
      <c r="L20" s="717">
        <f t="shared" si="1"/>
        <v>0</v>
      </c>
      <c r="M20" s="717">
        <f t="shared" si="1"/>
        <v>0</v>
      </c>
      <c r="N20" s="717">
        <f t="shared" si="1"/>
        <v>15411.142248504526</v>
      </c>
      <c r="O20" s="717">
        <f t="shared" si="1"/>
        <v>0</v>
      </c>
      <c r="P20" s="717">
        <f t="shared" si="1"/>
        <v>0</v>
      </c>
      <c r="Q20" s="718">
        <f t="shared" si="1"/>
        <v>0</v>
      </c>
      <c r="R20" s="719">
        <f t="shared" si="1"/>
        <v>360016.04932728596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1759.0040387632255</v>
      </c>
      <c r="D22" s="713">
        <f>+landbouw!C8</f>
        <v>77560.71428571429</v>
      </c>
      <c r="E22" s="713">
        <f>+landbouw!D8</f>
        <v>0</v>
      </c>
      <c r="F22" s="713">
        <f>+landbouw!E8</f>
        <v>22.165716946354777</v>
      </c>
      <c r="G22" s="713">
        <f>+landbouw!F8</f>
        <v>6069.0045905751649</v>
      </c>
      <c r="H22" s="713">
        <f>+landbouw!G8</f>
        <v>0</v>
      </c>
      <c r="I22" s="713">
        <f>+landbouw!H8</f>
        <v>0</v>
      </c>
      <c r="J22" s="713">
        <f>+landbouw!I8</f>
        <v>0</v>
      </c>
      <c r="K22" s="713">
        <f>+landbouw!J8</f>
        <v>264.53421177778876</v>
      </c>
      <c r="L22" s="713">
        <f>+landbouw!K8</f>
        <v>0</v>
      </c>
      <c r="M22" s="713">
        <f>+landbouw!L8</f>
        <v>0</v>
      </c>
      <c r="N22" s="713">
        <f>+landbouw!M8</f>
        <v>0</v>
      </c>
      <c r="O22" s="713">
        <f>+landbouw!N8</f>
        <v>0</v>
      </c>
      <c r="P22" s="713">
        <f>+landbouw!O8</f>
        <v>0</v>
      </c>
      <c r="Q22" s="714">
        <f>+landbouw!P8</f>
        <v>0</v>
      </c>
      <c r="R22" s="715">
        <f>SUM(C22:Q22)</f>
        <v>85675.422843776832</v>
      </c>
      <c r="S22" s="67"/>
    </row>
    <row r="23" spans="1:19" s="459" customFormat="1" ht="17.25" thickTop="1" thickBot="1">
      <c r="A23" s="720" t="s">
        <v>116</v>
      </c>
      <c r="B23" s="852"/>
      <c r="C23" s="721">
        <f ca="1">C20+C15+C22</f>
        <v>106496.51155542443</v>
      </c>
      <c r="D23" s="721">
        <f t="shared" ref="D23:Q23" ca="1" si="2">D20+D15+D22</f>
        <v>77560.71428571429</v>
      </c>
      <c r="E23" s="721">
        <f t="shared" ca="1" si="2"/>
        <v>246934.67634670285</v>
      </c>
      <c r="F23" s="721">
        <f t="shared" si="2"/>
        <v>5768.7828062541012</v>
      </c>
      <c r="G23" s="721">
        <f t="shared" ca="1" si="2"/>
        <v>22675.443728786202</v>
      </c>
      <c r="H23" s="721">
        <f t="shared" si="2"/>
        <v>305118.04166221153</v>
      </c>
      <c r="I23" s="721">
        <f t="shared" si="2"/>
        <v>38522.3322418061</v>
      </c>
      <c r="J23" s="721">
        <f t="shared" si="2"/>
        <v>0</v>
      </c>
      <c r="K23" s="721">
        <f t="shared" si="2"/>
        <v>966.97375954568395</v>
      </c>
      <c r="L23" s="721">
        <f t="shared" si="2"/>
        <v>0</v>
      </c>
      <c r="M23" s="721">
        <f t="shared" ca="1" si="2"/>
        <v>0</v>
      </c>
      <c r="N23" s="721">
        <f t="shared" si="2"/>
        <v>15411.142248504526</v>
      </c>
      <c r="O23" s="721">
        <f t="shared" ca="1" si="2"/>
        <v>43367.56258856674</v>
      </c>
      <c r="P23" s="721">
        <f t="shared" si="2"/>
        <v>212.61333333333334</v>
      </c>
      <c r="Q23" s="722">
        <f t="shared" si="2"/>
        <v>629.20000000000005</v>
      </c>
      <c r="R23" s="723">
        <f ca="1">R20+R15+R22</f>
        <v>863663.99455684982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7000.1038692493194</v>
      </c>
      <c r="D36" s="704">
        <f ca="1">tertiair!C20</f>
        <v>0</v>
      </c>
      <c r="E36" s="704">
        <f ca="1">tertiair!D20</f>
        <v>9025.7980857005368</v>
      </c>
      <c r="F36" s="704">
        <f>tertiair!E20</f>
        <v>68.751128550884374</v>
      </c>
      <c r="G36" s="704">
        <f ca="1">tertiair!F20</f>
        <v>2075.0692541705926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18169.722337671334</v>
      </c>
    </row>
    <row r="37" spans="1:18">
      <c r="A37" s="873" t="s">
        <v>225</v>
      </c>
      <c r="B37" s="880"/>
      <c r="C37" s="704">
        <f ca="1">huishoudens!B12</f>
        <v>7553.8289672373776</v>
      </c>
      <c r="D37" s="704">
        <f ca="1">huishoudens!C12</f>
        <v>0</v>
      </c>
      <c r="E37" s="704">
        <f>huishoudens!D12</f>
        <v>20633.627637527297</v>
      </c>
      <c r="F37" s="704">
        <f>huishoudens!E12</f>
        <v>542.18225728958259</v>
      </c>
      <c r="G37" s="704">
        <f>huishoudens!F12</f>
        <v>0</v>
      </c>
      <c r="H37" s="704">
        <f>huishoudens!G12</f>
        <v>0</v>
      </c>
      <c r="I37" s="704">
        <f>huishoudens!H12</f>
        <v>0</v>
      </c>
      <c r="J37" s="704">
        <f>huishoudens!I12</f>
        <v>0</v>
      </c>
      <c r="K37" s="704">
        <f>huishoudens!J12</f>
        <v>220.34766837222497</v>
      </c>
      <c r="L37" s="704">
        <f>huishoudens!K12</f>
        <v>0</v>
      </c>
      <c r="M37" s="704">
        <f>huishoudens!L12</f>
        <v>0</v>
      </c>
      <c r="N37" s="704">
        <f>huishoudens!M12</f>
        <v>0</v>
      </c>
      <c r="O37" s="704">
        <f>huishoudens!N12</f>
        <v>0</v>
      </c>
      <c r="P37" s="704">
        <f>huishoudens!O12</f>
        <v>0</v>
      </c>
      <c r="Q37" s="814">
        <f>huishoudens!P12</f>
        <v>0</v>
      </c>
      <c r="R37" s="905">
        <f ca="1">SUM(C37:Q37)</f>
        <v>28949.986530426482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6706.8331977580792</v>
      </c>
      <c r="D39" s="704">
        <f ca="1">industrie!C22</f>
        <v>0</v>
      </c>
      <c r="E39" s="704">
        <f>industrie!D22</f>
        <v>20216.419452746075</v>
      </c>
      <c r="F39" s="704">
        <f>industrie!E22</f>
        <v>483.92049006706253</v>
      </c>
      <c r="G39" s="704">
        <f>industrie!F22</f>
        <v>2358.8499957317545</v>
      </c>
      <c r="H39" s="704">
        <f>industrie!G22</f>
        <v>0</v>
      </c>
      <c r="I39" s="704">
        <f>industrie!H22</f>
        <v>0</v>
      </c>
      <c r="J39" s="704">
        <f>industrie!I22</f>
        <v>0</v>
      </c>
      <c r="K39" s="704">
        <f>industrie!J22</f>
        <v>28.315931537609913</v>
      </c>
      <c r="L39" s="704">
        <f>industrie!K22</f>
        <v>0</v>
      </c>
      <c r="M39" s="704">
        <f>industrie!L22</f>
        <v>0</v>
      </c>
      <c r="N39" s="704">
        <f>industrie!M22</f>
        <v>0</v>
      </c>
      <c r="O39" s="704">
        <f>industrie!N22</f>
        <v>0</v>
      </c>
      <c r="P39" s="704">
        <f>industrie!O22</f>
        <v>0</v>
      </c>
      <c r="Q39" s="814">
        <f>industrie!P22</f>
        <v>0</v>
      </c>
      <c r="R39" s="906">
        <f ca="1">SUM(C39:Q39)</f>
        <v>29794.339067840581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21260.766034244774</v>
      </c>
      <c r="D41" s="749">
        <f t="shared" ref="D41:R41" ca="1" si="4">SUM(D35:D40)</f>
        <v>0</v>
      </c>
      <c r="E41" s="749">
        <f t="shared" ca="1" si="4"/>
        <v>49875.845175973911</v>
      </c>
      <c r="F41" s="749">
        <f t="shared" si="4"/>
        <v>1094.8538759075295</v>
      </c>
      <c r="G41" s="749">
        <f t="shared" ca="1" si="4"/>
        <v>4433.9192499023466</v>
      </c>
      <c r="H41" s="749">
        <f t="shared" si="4"/>
        <v>0</v>
      </c>
      <c r="I41" s="749">
        <f t="shared" si="4"/>
        <v>0</v>
      </c>
      <c r="J41" s="749">
        <f t="shared" si="4"/>
        <v>0</v>
      </c>
      <c r="K41" s="749">
        <f t="shared" si="4"/>
        <v>248.66359990983489</v>
      </c>
      <c r="L41" s="749">
        <f t="shared" si="4"/>
        <v>0</v>
      </c>
      <c r="M41" s="749">
        <f t="shared" ca="1" si="4"/>
        <v>0</v>
      </c>
      <c r="N41" s="749">
        <f t="shared" si="4"/>
        <v>0</v>
      </c>
      <c r="O41" s="749">
        <f t="shared" ca="1" si="4"/>
        <v>0</v>
      </c>
      <c r="P41" s="749">
        <f t="shared" si="4"/>
        <v>0</v>
      </c>
      <c r="Q41" s="750">
        <f t="shared" si="4"/>
        <v>0</v>
      </c>
      <c r="R41" s="751">
        <f t="shared" ca="1" si="4"/>
        <v>76914.047935938404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942.66962762653634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942.66962762653634</v>
      </c>
    </row>
    <row r="45" spans="1:18" ht="15" thickBot="1">
      <c r="A45" s="876" t="s">
        <v>307</v>
      </c>
      <c r="B45" s="886"/>
      <c r="C45" s="713">
        <f ca="1">transport!B18</f>
        <v>3.3517465057174278</v>
      </c>
      <c r="D45" s="713">
        <f>transport!C18</f>
        <v>0</v>
      </c>
      <c r="E45" s="713">
        <f>transport!D18</f>
        <v>4.9594460600728079</v>
      </c>
      <c r="F45" s="713">
        <f>transport!E18</f>
        <v>209.62820336532909</v>
      </c>
      <c r="G45" s="713">
        <f>transport!F18</f>
        <v>0</v>
      </c>
      <c r="H45" s="713">
        <f>transport!G18</f>
        <v>80523.847496183938</v>
      </c>
      <c r="I45" s="713">
        <f>transport!H18</f>
        <v>9592.0607282097189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90333.84762032477</v>
      </c>
    </row>
    <row r="46" spans="1:18" ht="15.75" thickBot="1">
      <c r="A46" s="874" t="s">
        <v>230</v>
      </c>
      <c r="B46" s="887"/>
      <c r="C46" s="749">
        <f t="shared" ref="C46:R46" ca="1" si="5">SUM(C43:C45)</f>
        <v>3.3517465057174278</v>
      </c>
      <c r="D46" s="749">
        <f t="shared" ca="1" si="5"/>
        <v>0</v>
      </c>
      <c r="E46" s="749">
        <f t="shared" si="5"/>
        <v>4.9594460600728079</v>
      </c>
      <c r="F46" s="749">
        <f t="shared" si="5"/>
        <v>209.62820336532909</v>
      </c>
      <c r="G46" s="749">
        <f t="shared" si="5"/>
        <v>0</v>
      </c>
      <c r="H46" s="749">
        <f t="shared" si="5"/>
        <v>81466.517123810481</v>
      </c>
      <c r="I46" s="749">
        <f t="shared" si="5"/>
        <v>9592.0607282097189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91276.517247951313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357.11818949985053</v>
      </c>
      <c r="D48" s="704">
        <f ca="1">+landbouw!C12</f>
        <v>15840.279831932779</v>
      </c>
      <c r="E48" s="704">
        <f>+landbouw!D12</f>
        <v>0</v>
      </c>
      <c r="F48" s="704">
        <f>+landbouw!E12</f>
        <v>5.0316177468225343</v>
      </c>
      <c r="G48" s="704">
        <f>+landbouw!F12</f>
        <v>1620.4242256835691</v>
      </c>
      <c r="H48" s="704">
        <f>+landbouw!G12</f>
        <v>0</v>
      </c>
      <c r="I48" s="704">
        <f>+landbouw!H12</f>
        <v>0</v>
      </c>
      <c r="J48" s="704">
        <f>+landbouw!I12</f>
        <v>0</v>
      </c>
      <c r="K48" s="704">
        <f>+landbouw!J12</f>
        <v>93.64511096933721</v>
      </c>
      <c r="L48" s="704">
        <f>+landbouw!K12</f>
        <v>0</v>
      </c>
      <c r="M48" s="704">
        <f>+landbouw!L12</f>
        <v>0</v>
      </c>
      <c r="N48" s="704">
        <f>+landbouw!M12</f>
        <v>0</v>
      </c>
      <c r="O48" s="704">
        <f>+landbouw!N12</f>
        <v>0</v>
      </c>
      <c r="P48" s="704">
        <f>+landbouw!O12</f>
        <v>0</v>
      </c>
      <c r="Q48" s="705">
        <f>+landbouw!P12</f>
        <v>0</v>
      </c>
      <c r="R48" s="747">
        <f ca="1">SUM(C48:Q48)</f>
        <v>17916.498975832357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21621.235970250342</v>
      </c>
      <c r="D53" s="759">
        <f t="shared" ref="D53:Q53" ca="1" si="6">D41+D46+D48</f>
        <v>15840.279831932779</v>
      </c>
      <c r="E53" s="759">
        <f t="shared" ca="1" si="6"/>
        <v>49880.804622033982</v>
      </c>
      <c r="F53" s="759">
        <f t="shared" si="6"/>
        <v>1309.5136970196811</v>
      </c>
      <c r="G53" s="759">
        <f t="shared" ca="1" si="6"/>
        <v>6054.3434755859162</v>
      </c>
      <c r="H53" s="759">
        <f t="shared" si="6"/>
        <v>81466.517123810481</v>
      </c>
      <c r="I53" s="759">
        <f t="shared" si="6"/>
        <v>9592.0607282097189</v>
      </c>
      <c r="J53" s="759">
        <f t="shared" si="6"/>
        <v>0</v>
      </c>
      <c r="K53" s="759">
        <f t="shared" si="6"/>
        <v>342.30871087917211</v>
      </c>
      <c r="L53" s="759">
        <f t="shared" si="6"/>
        <v>0</v>
      </c>
      <c r="M53" s="759">
        <f t="shared" ca="1" si="6"/>
        <v>0</v>
      </c>
      <c r="N53" s="759">
        <f t="shared" si="6"/>
        <v>0</v>
      </c>
      <c r="O53" s="759">
        <f t="shared" ca="1" si="6"/>
        <v>0</v>
      </c>
      <c r="P53" s="759">
        <f>P41+P46+P48</f>
        <v>0</v>
      </c>
      <c r="Q53" s="760">
        <f t="shared" si="6"/>
        <v>0</v>
      </c>
      <c r="R53" s="761">
        <f ca="1">R41+R46+R48</f>
        <v>186107.06415972207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0.20302295027755826</v>
      </c>
      <c r="D55" s="824">
        <f t="shared" ca="1" si="7"/>
        <v>0.20423071109919316</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4543.1966780606326</v>
      </c>
      <c r="C66" s="781">
        <f>'lokale energieproductie'!B6</f>
        <v>4543.1966780606326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54292.5</v>
      </c>
      <c r="C67" s="780">
        <f>B67*IFERROR(SUM(J67:L67)/SUM(D67:M67),0)</f>
        <v>7634.2499999999982</v>
      </c>
      <c r="D67" s="812">
        <f>'lokale energieproductie'!C7</f>
        <v>54892.05882352942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8981.4705882352937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11088.195882352944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58835.696678060631</v>
      </c>
      <c r="C69" s="789">
        <f>SUM(C64:C68)</f>
        <v>12177.446678060631</v>
      </c>
      <c r="D69" s="790">
        <f t="shared" ref="D69:M69" si="8">SUM(D67:D68)</f>
        <v>54892.05882352942</v>
      </c>
      <c r="E69" s="790">
        <f t="shared" si="8"/>
        <v>0</v>
      </c>
      <c r="F69" s="790">
        <f t="shared" si="8"/>
        <v>0</v>
      </c>
      <c r="G69" s="790">
        <f t="shared" si="8"/>
        <v>0</v>
      </c>
      <c r="H69" s="790">
        <f t="shared" si="8"/>
        <v>0</v>
      </c>
      <c r="I69" s="790">
        <f t="shared" si="8"/>
        <v>0</v>
      </c>
      <c r="J69" s="790">
        <f t="shared" si="8"/>
        <v>0</v>
      </c>
      <c r="K69" s="790">
        <f t="shared" si="8"/>
        <v>8981.4705882352937</v>
      </c>
      <c r="L69" s="790">
        <f t="shared" si="8"/>
        <v>0</v>
      </c>
      <c r="M69" s="918">
        <f t="shared" si="8"/>
        <v>0</v>
      </c>
      <c r="N69" s="791">
        <v>0</v>
      </c>
      <c r="O69" s="791">
        <f>SUM(O67:O68)</f>
        <v>11088.195882352944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77560.71428571429</v>
      </c>
      <c r="C78" s="803">
        <f>B78*IFERROR(SUM(I78:L78)/SUM(D78:M78),0)</f>
        <v>10906.071428571428</v>
      </c>
      <c r="D78" s="818">
        <f>'lokale energieproductie'!C16</f>
        <v>78417.226890756327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12830.672268907565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15840.279831932779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77560.71428571429</v>
      </c>
      <c r="C81" s="789">
        <f>SUM(C78:C80)</f>
        <v>10906.071428571428</v>
      </c>
      <c r="D81" s="789">
        <f t="shared" ref="D81:P81" si="9">SUM(D78:D80)</f>
        <v>78417.226890756327</v>
      </c>
      <c r="E81" s="789">
        <f t="shared" si="9"/>
        <v>0</v>
      </c>
      <c r="F81" s="789">
        <f t="shared" si="9"/>
        <v>0</v>
      </c>
      <c r="G81" s="789">
        <f t="shared" si="9"/>
        <v>0</v>
      </c>
      <c r="H81" s="789">
        <f t="shared" si="9"/>
        <v>0</v>
      </c>
      <c r="I81" s="789">
        <f t="shared" si="9"/>
        <v>0</v>
      </c>
      <c r="J81" s="789">
        <f t="shared" si="9"/>
        <v>0</v>
      </c>
      <c r="K81" s="789">
        <f t="shared" si="9"/>
        <v>12830.672268907565</v>
      </c>
      <c r="L81" s="789">
        <f t="shared" si="9"/>
        <v>0</v>
      </c>
      <c r="M81" s="789">
        <f t="shared" si="9"/>
        <v>0</v>
      </c>
      <c r="N81" s="789">
        <v>0</v>
      </c>
      <c r="O81" s="789">
        <f>SUM(O78:O80)</f>
        <v>15840.279831932779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37206.773701743223</v>
      </c>
      <c r="C4" s="463">
        <f>huishoudens!C8</f>
        <v>0</v>
      </c>
      <c r="D4" s="463">
        <f>huishoudens!D8</f>
        <v>102146.6714729074</v>
      </c>
      <c r="E4" s="463">
        <f>huishoudens!E8</f>
        <v>2388.4680937867074</v>
      </c>
      <c r="F4" s="463">
        <f>huishoudens!F8</f>
        <v>0</v>
      </c>
      <c r="G4" s="463">
        <f>huishoudens!G8</f>
        <v>0</v>
      </c>
      <c r="H4" s="463">
        <f>huishoudens!H8</f>
        <v>0</v>
      </c>
      <c r="I4" s="463">
        <f>huishoudens!I8</f>
        <v>0</v>
      </c>
      <c r="J4" s="463">
        <f>huishoudens!J8</f>
        <v>622.45104059950563</v>
      </c>
      <c r="K4" s="463">
        <f>huishoudens!K8</f>
        <v>0</v>
      </c>
      <c r="L4" s="463">
        <f>huishoudens!L8</f>
        <v>0</v>
      </c>
      <c r="M4" s="463">
        <f>huishoudens!M8</f>
        <v>0</v>
      </c>
      <c r="N4" s="463">
        <f>huishoudens!N8</f>
        <v>25936.284378838085</v>
      </c>
      <c r="O4" s="463">
        <f>huishoudens!O8</f>
        <v>211.05</v>
      </c>
      <c r="P4" s="464">
        <f>huishoudens!P8</f>
        <v>610.13333333333333</v>
      </c>
      <c r="Q4" s="465">
        <f>SUM(B4:P4)</f>
        <v>169121.83202120825</v>
      </c>
    </row>
    <row r="5" spans="1:17">
      <c r="A5" s="462" t="s">
        <v>156</v>
      </c>
      <c r="B5" s="463">
        <f ca="1">tertiair!B16</f>
        <v>33069.529207325744</v>
      </c>
      <c r="C5" s="463">
        <f ca="1">tertiair!C16</f>
        <v>0</v>
      </c>
      <c r="D5" s="463">
        <f ca="1">tertiair!D16</f>
        <v>44682.168741091766</v>
      </c>
      <c r="E5" s="463">
        <f>tertiair!E16</f>
        <v>302.86840771314701</v>
      </c>
      <c r="F5" s="463">
        <f ca="1">tertiair!F16</f>
        <v>7771.7949594404217</v>
      </c>
      <c r="G5" s="463">
        <f>tertiair!G16</f>
        <v>0</v>
      </c>
      <c r="H5" s="463">
        <f>tertiair!H16</f>
        <v>0</v>
      </c>
      <c r="I5" s="463">
        <f>tertiair!I16</f>
        <v>0</v>
      </c>
      <c r="J5" s="463">
        <f>tertiair!J16</f>
        <v>0</v>
      </c>
      <c r="K5" s="463">
        <f>tertiair!K16</f>
        <v>0</v>
      </c>
      <c r="L5" s="463">
        <f ca="1">tertiair!L16</f>
        <v>0</v>
      </c>
      <c r="M5" s="463">
        <f>tertiair!M16</f>
        <v>0</v>
      </c>
      <c r="N5" s="463">
        <f ca="1">tertiair!N16</f>
        <v>10773.105252824047</v>
      </c>
      <c r="O5" s="463">
        <f>tertiair!O16</f>
        <v>1.5633333333333335</v>
      </c>
      <c r="P5" s="464">
        <f>tertiair!P16</f>
        <v>19.066666666666666</v>
      </c>
      <c r="Q5" s="462">
        <f t="shared" ref="Q5:Q13" ca="1" si="0">SUM(B5:P5)</f>
        <v>96620.096568395122</v>
      </c>
    </row>
    <row r="6" spans="1:17">
      <c r="A6" s="462" t="s">
        <v>194</v>
      </c>
      <c r="B6" s="463">
        <f>'openbare verlichting'!B8</f>
        <v>1409.8430000000001</v>
      </c>
      <c r="C6" s="463"/>
      <c r="D6" s="463"/>
      <c r="E6" s="463"/>
      <c r="F6" s="463"/>
      <c r="G6" s="463"/>
      <c r="H6" s="463"/>
      <c r="I6" s="463"/>
      <c r="J6" s="463"/>
      <c r="K6" s="463"/>
      <c r="L6" s="463"/>
      <c r="M6" s="463"/>
      <c r="N6" s="463"/>
      <c r="O6" s="463"/>
      <c r="P6" s="464"/>
      <c r="Q6" s="462">
        <f t="shared" si="0"/>
        <v>1409.8430000000001</v>
      </c>
    </row>
    <row r="7" spans="1:17">
      <c r="A7" s="462" t="s">
        <v>112</v>
      </c>
      <c r="B7" s="463">
        <f>landbouw!B8</f>
        <v>1759.0040387632255</v>
      </c>
      <c r="C7" s="463">
        <f>landbouw!C8</f>
        <v>77560.71428571429</v>
      </c>
      <c r="D7" s="463">
        <f>landbouw!D8</f>
        <v>0</v>
      </c>
      <c r="E7" s="463">
        <f>landbouw!E8</f>
        <v>22.165716946354777</v>
      </c>
      <c r="F7" s="463">
        <f>landbouw!F8</f>
        <v>6069.0045905751649</v>
      </c>
      <c r="G7" s="463">
        <f>landbouw!G8</f>
        <v>0</v>
      </c>
      <c r="H7" s="463">
        <f>landbouw!H8</f>
        <v>0</v>
      </c>
      <c r="I7" s="463">
        <f>landbouw!I8</f>
        <v>0</v>
      </c>
      <c r="J7" s="463">
        <f>landbouw!J8</f>
        <v>264.53421177778876</v>
      </c>
      <c r="K7" s="463">
        <f>landbouw!K8</f>
        <v>0</v>
      </c>
      <c r="L7" s="463">
        <f>landbouw!L8</f>
        <v>0</v>
      </c>
      <c r="M7" s="463">
        <f>landbouw!M8</f>
        <v>0</v>
      </c>
      <c r="N7" s="463">
        <f>landbouw!N8</f>
        <v>0</v>
      </c>
      <c r="O7" s="463">
        <f>landbouw!O8</f>
        <v>0</v>
      </c>
      <c r="P7" s="464">
        <f>landbouw!P8</f>
        <v>0</v>
      </c>
      <c r="Q7" s="462">
        <f t="shared" si="0"/>
        <v>85675.422843776832</v>
      </c>
    </row>
    <row r="8" spans="1:17">
      <c r="A8" s="462" t="s">
        <v>657</v>
      </c>
      <c r="B8" s="463">
        <f>industrie!B18</f>
        <v>33034.852407518374</v>
      </c>
      <c r="C8" s="463">
        <f>industrie!C18</f>
        <v>0</v>
      </c>
      <c r="D8" s="463">
        <f>industrie!D18</f>
        <v>100081.28441953502</v>
      </c>
      <c r="E8" s="463">
        <f>industrie!E18</f>
        <v>2131.8083262866189</v>
      </c>
      <c r="F8" s="463">
        <f>industrie!F18</f>
        <v>8834.6441787706153</v>
      </c>
      <c r="G8" s="463">
        <f>industrie!G18</f>
        <v>0</v>
      </c>
      <c r="H8" s="463">
        <f>industrie!H18</f>
        <v>0</v>
      </c>
      <c r="I8" s="463">
        <f>industrie!I18</f>
        <v>0</v>
      </c>
      <c r="J8" s="463">
        <f>industrie!J18</f>
        <v>79.988507168389589</v>
      </c>
      <c r="K8" s="463">
        <f>industrie!K18</f>
        <v>0</v>
      </c>
      <c r="L8" s="463">
        <f>industrie!L18</f>
        <v>0</v>
      </c>
      <c r="M8" s="463">
        <f>industrie!M18</f>
        <v>0</v>
      </c>
      <c r="N8" s="463">
        <f>industrie!N18</f>
        <v>6658.1729569046047</v>
      </c>
      <c r="O8" s="463">
        <f>industrie!O18</f>
        <v>0</v>
      </c>
      <c r="P8" s="464">
        <f>industrie!P18</f>
        <v>0</v>
      </c>
      <c r="Q8" s="462">
        <f t="shared" si="0"/>
        <v>150820.75079618362</v>
      </c>
    </row>
    <row r="9" spans="1:17" s="468" customFormat="1">
      <c r="A9" s="466" t="s">
        <v>574</v>
      </c>
      <c r="B9" s="467">
        <f>transport!B14</f>
        <v>16.509200073859446</v>
      </c>
      <c r="C9" s="467">
        <f>transport!C14</f>
        <v>0</v>
      </c>
      <c r="D9" s="467">
        <f>transport!D14</f>
        <v>24.551713168677267</v>
      </c>
      <c r="E9" s="467">
        <f>transport!E14</f>
        <v>923.47226152127348</v>
      </c>
      <c r="F9" s="467">
        <f>transport!F14</f>
        <v>0</v>
      </c>
      <c r="G9" s="467">
        <f>transport!G14</f>
        <v>301587.44380593236</v>
      </c>
      <c r="H9" s="467">
        <f>transport!H14</f>
        <v>38522.3322418061</v>
      </c>
      <c r="I9" s="467">
        <f>transport!I14</f>
        <v>0</v>
      </c>
      <c r="J9" s="467">
        <f>transport!J14</f>
        <v>0</v>
      </c>
      <c r="K9" s="467">
        <f>transport!K14</f>
        <v>0</v>
      </c>
      <c r="L9" s="467">
        <f>transport!L14</f>
        <v>0</v>
      </c>
      <c r="M9" s="467">
        <f>transport!M14</f>
        <v>15254.127926288669</v>
      </c>
      <c r="N9" s="467">
        <f>transport!N14</f>
        <v>0</v>
      </c>
      <c r="O9" s="467">
        <f>transport!O14</f>
        <v>0</v>
      </c>
      <c r="P9" s="467">
        <f>transport!P14</f>
        <v>0</v>
      </c>
      <c r="Q9" s="466">
        <f>SUM(B9:P9)</f>
        <v>356328.43714879092</v>
      </c>
    </row>
    <row r="10" spans="1:17">
      <c r="A10" s="462" t="s">
        <v>564</v>
      </c>
      <c r="B10" s="463">
        <f>transport!B54</f>
        <v>0</v>
      </c>
      <c r="C10" s="463">
        <f>transport!C54</f>
        <v>0</v>
      </c>
      <c r="D10" s="463">
        <f>transport!D54</f>
        <v>0</v>
      </c>
      <c r="E10" s="463">
        <f>transport!E54</f>
        <v>0</v>
      </c>
      <c r="F10" s="463">
        <f>transport!F54</f>
        <v>0</v>
      </c>
      <c r="G10" s="463">
        <f>transport!G54</f>
        <v>3530.597856279162</v>
      </c>
      <c r="H10" s="463">
        <f>transport!H54</f>
        <v>0</v>
      </c>
      <c r="I10" s="463">
        <f>transport!I54</f>
        <v>0</v>
      </c>
      <c r="J10" s="463">
        <f>transport!J54</f>
        <v>0</v>
      </c>
      <c r="K10" s="463">
        <f>transport!K54</f>
        <v>0</v>
      </c>
      <c r="L10" s="463">
        <f>transport!L54</f>
        <v>0</v>
      </c>
      <c r="M10" s="463">
        <f>transport!M54</f>
        <v>157.01432221585648</v>
      </c>
      <c r="N10" s="463">
        <f>transport!N54</f>
        <v>0</v>
      </c>
      <c r="O10" s="463">
        <f>transport!O54</f>
        <v>0</v>
      </c>
      <c r="P10" s="464">
        <f>transport!P54</f>
        <v>0</v>
      </c>
      <c r="Q10" s="462">
        <f t="shared" si="0"/>
        <v>3687.6121784950183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106496.51155542443</v>
      </c>
      <c r="C14" s="473">
        <f t="shared" ref="C14:Q14" ca="1" si="1">SUM(C4:C13)</f>
        <v>77560.71428571429</v>
      </c>
      <c r="D14" s="473">
        <f t="shared" ca="1" si="1"/>
        <v>246934.67634670285</v>
      </c>
      <c r="E14" s="473">
        <f t="shared" si="1"/>
        <v>5768.7828062541012</v>
      </c>
      <c r="F14" s="473">
        <f t="shared" ca="1" si="1"/>
        <v>22675.443728786202</v>
      </c>
      <c r="G14" s="473">
        <f t="shared" si="1"/>
        <v>305118.04166221153</v>
      </c>
      <c r="H14" s="473">
        <f t="shared" si="1"/>
        <v>38522.3322418061</v>
      </c>
      <c r="I14" s="473">
        <f t="shared" si="1"/>
        <v>0</v>
      </c>
      <c r="J14" s="473">
        <f t="shared" si="1"/>
        <v>966.97375954568395</v>
      </c>
      <c r="K14" s="473">
        <f t="shared" si="1"/>
        <v>0</v>
      </c>
      <c r="L14" s="473">
        <f t="shared" ca="1" si="1"/>
        <v>0</v>
      </c>
      <c r="M14" s="473">
        <f t="shared" si="1"/>
        <v>15411.142248504526</v>
      </c>
      <c r="N14" s="473">
        <f t="shared" ca="1" si="1"/>
        <v>43367.56258856674</v>
      </c>
      <c r="O14" s="473">
        <f t="shared" si="1"/>
        <v>212.61333333333334</v>
      </c>
      <c r="P14" s="474">
        <f t="shared" si="1"/>
        <v>629.20000000000005</v>
      </c>
      <c r="Q14" s="474">
        <f t="shared" ca="1" si="1"/>
        <v>863663.99455684982</v>
      </c>
    </row>
    <row r="16" spans="1:17">
      <c r="A16" s="476" t="s">
        <v>569</v>
      </c>
      <c r="B16" s="829">
        <f ca="1">huishoudens!B10</f>
        <v>0.20302295027755829</v>
      </c>
      <c r="C16" s="829">
        <f ca="1">huishoudens!C10</f>
        <v>0.20423071109919316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7553.8289672373776</v>
      </c>
      <c r="C21" s="463">
        <f t="shared" ref="C21:C30" ca="1" si="3">C4*$C$16</f>
        <v>0</v>
      </c>
      <c r="D21" s="463">
        <f t="shared" ref="D21:D30" si="4">D4*$D$16</f>
        <v>20633.627637527297</v>
      </c>
      <c r="E21" s="463">
        <f t="shared" ref="E21:E30" si="5">E4*$E$16</f>
        <v>542.18225728958259</v>
      </c>
      <c r="F21" s="463">
        <f t="shared" ref="F21:F30" si="6">F4*$F$16</f>
        <v>0</v>
      </c>
      <c r="G21" s="463">
        <f t="shared" ref="G21:G30" si="7">G4*$G$16</f>
        <v>0</v>
      </c>
      <c r="H21" s="463">
        <f t="shared" ref="H21:H30" si="8">H4*$H$16</f>
        <v>0</v>
      </c>
      <c r="I21" s="463">
        <f t="shared" ref="I21:I30" si="9">I4*$I$16</f>
        <v>0</v>
      </c>
      <c r="J21" s="463">
        <f t="shared" ref="J21:J30" si="10">J4*$J$16</f>
        <v>220.34766837222497</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28949.986530426482</v>
      </c>
    </row>
    <row r="22" spans="1:17">
      <c r="A22" s="462" t="s">
        <v>156</v>
      </c>
      <c r="B22" s="463">
        <f t="shared" ca="1" si="2"/>
        <v>6713.8733839611559</v>
      </c>
      <c r="C22" s="463">
        <f t="shared" ca="1" si="3"/>
        <v>0</v>
      </c>
      <c r="D22" s="463">
        <f t="shared" ca="1" si="4"/>
        <v>9025.7980857005368</v>
      </c>
      <c r="E22" s="463">
        <f t="shared" si="5"/>
        <v>68.751128550884374</v>
      </c>
      <c r="F22" s="463">
        <f t="shared" ca="1" si="6"/>
        <v>2075.0692541705926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17883.491852383169</v>
      </c>
    </row>
    <row r="23" spans="1:17">
      <c r="A23" s="462" t="s">
        <v>194</v>
      </c>
      <c r="B23" s="463">
        <f t="shared" ca="1" si="2"/>
        <v>286.23048528816361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286.23048528816361</v>
      </c>
    </row>
    <row r="24" spans="1:17">
      <c r="A24" s="462" t="s">
        <v>112</v>
      </c>
      <c r="B24" s="463">
        <f t="shared" ca="1" si="2"/>
        <v>357.11818949985053</v>
      </c>
      <c r="C24" s="463">
        <f t="shared" ca="1" si="3"/>
        <v>15840.279831932779</v>
      </c>
      <c r="D24" s="463">
        <f t="shared" si="4"/>
        <v>0</v>
      </c>
      <c r="E24" s="463">
        <f t="shared" si="5"/>
        <v>5.0316177468225343</v>
      </c>
      <c r="F24" s="463">
        <f t="shared" si="6"/>
        <v>1620.4242256835691</v>
      </c>
      <c r="G24" s="463">
        <f t="shared" si="7"/>
        <v>0</v>
      </c>
      <c r="H24" s="463">
        <f t="shared" si="8"/>
        <v>0</v>
      </c>
      <c r="I24" s="463">
        <f t="shared" si="9"/>
        <v>0</v>
      </c>
      <c r="J24" s="463">
        <f t="shared" si="10"/>
        <v>93.64511096933721</v>
      </c>
      <c r="K24" s="463">
        <f t="shared" si="11"/>
        <v>0</v>
      </c>
      <c r="L24" s="463">
        <f t="shared" si="12"/>
        <v>0</v>
      </c>
      <c r="M24" s="463">
        <f t="shared" si="13"/>
        <v>0</v>
      </c>
      <c r="N24" s="463">
        <f t="shared" si="14"/>
        <v>0</v>
      </c>
      <c r="O24" s="463">
        <f t="shared" si="15"/>
        <v>0</v>
      </c>
      <c r="P24" s="464">
        <f t="shared" si="16"/>
        <v>0</v>
      </c>
      <c r="Q24" s="462">
        <f t="shared" ca="1" si="17"/>
        <v>17916.498975832357</v>
      </c>
    </row>
    <row r="25" spans="1:17">
      <c r="A25" s="462" t="s">
        <v>657</v>
      </c>
      <c r="B25" s="463">
        <f t="shared" ca="1" si="2"/>
        <v>6706.8331977580792</v>
      </c>
      <c r="C25" s="463">
        <f t="shared" ca="1" si="3"/>
        <v>0</v>
      </c>
      <c r="D25" s="463">
        <f t="shared" si="4"/>
        <v>20216.419452746075</v>
      </c>
      <c r="E25" s="463">
        <f t="shared" si="5"/>
        <v>483.92049006706253</v>
      </c>
      <c r="F25" s="463">
        <f t="shared" si="6"/>
        <v>2358.8499957317545</v>
      </c>
      <c r="G25" s="463">
        <f t="shared" si="7"/>
        <v>0</v>
      </c>
      <c r="H25" s="463">
        <f t="shared" si="8"/>
        <v>0</v>
      </c>
      <c r="I25" s="463">
        <f t="shared" si="9"/>
        <v>0</v>
      </c>
      <c r="J25" s="463">
        <f t="shared" si="10"/>
        <v>28.315931537609913</v>
      </c>
      <c r="K25" s="463">
        <f t="shared" si="11"/>
        <v>0</v>
      </c>
      <c r="L25" s="463">
        <f t="shared" si="12"/>
        <v>0</v>
      </c>
      <c r="M25" s="463">
        <f t="shared" si="13"/>
        <v>0</v>
      </c>
      <c r="N25" s="463">
        <f t="shared" si="14"/>
        <v>0</v>
      </c>
      <c r="O25" s="463">
        <f t="shared" si="15"/>
        <v>0</v>
      </c>
      <c r="P25" s="464">
        <f t="shared" si="16"/>
        <v>0</v>
      </c>
      <c r="Q25" s="462">
        <f t="shared" ca="1" si="17"/>
        <v>29794.339067840581</v>
      </c>
    </row>
    <row r="26" spans="1:17" s="468" customFormat="1">
      <c r="A26" s="466" t="s">
        <v>574</v>
      </c>
      <c r="B26" s="823">
        <f t="shared" ca="1" si="2"/>
        <v>3.3517465057174278</v>
      </c>
      <c r="C26" s="467">
        <f t="shared" ca="1" si="3"/>
        <v>0</v>
      </c>
      <c r="D26" s="467">
        <f t="shared" si="4"/>
        <v>4.9594460600728079</v>
      </c>
      <c r="E26" s="467">
        <f t="shared" si="5"/>
        <v>209.62820336532909</v>
      </c>
      <c r="F26" s="467">
        <f t="shared" si="6"/>
        <v>0</v>
      </c>
      <c r="G26" s="467">
        <f t="shared" si="7"/>
        <v>80523.847496183938</v>
      </c>
      <c r="H26" s="467">
        <f t="shared" si="8"/>
        <v>9592.0607282097189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90333.84762032477</v>
      </c>
    </row>
    <row r="27" spans="1:17">
      <c r="A27" s="462" t="s">
        <v>564</v>
      </c>
      <c r="B27" s="463">
        <f t="shared" ca="1" si="2"/>
        <v>0</v>
      </c>
      <c r="C27" s="463">
        <f t="shared" ca="1" si="3"/>
        <v>0</v>
      </c>
      <c r="D27" s="463">
        <f t="shared" si="4"/>
        <v>0</v>
      </c>
      <c r="E27" s="463">
        <f t="shared" si="5"/>
        <v>0</v>
      </c>
      <c r="F27" s="463">
        <f t="shared" si="6"/>
        <v>0</v>
      </c>
      <c r="G27" s="463">
        <f t="shared" si="7"/>
        <v>942.66962762653634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942.66962762653634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21621.235970250342</v>
      </c>
      <c r="C31" s="473">
        <f t="shared" ca="1" si="18"/>
        <v>15840.279831932779</v>
      </c>
      <c r="D31" s="473">
        <f t="shared" ca="1" si="18"/>
        <v>49880.804622033982</v>
      </c>
      <c r="E31" s="473">
        <f t="shared" si="18"/>
        <v>1309.5136970196811</v>
      </c>
      <c r="F31" s="473">
        <f t="shared" ca="1" si="18"/>
        <v>6054.3434755859162</v>
      </c>
      <c r="G31" s="473">
        <f t="shared" si="18"/>
        <v>81466.517123810481</v>
      </c>
      <c r="H31" s="473">
        <f t="shared" si="18"/>
        <v>9592.0607282097189</v>
      </c>
      <c r="I31" s="473">
        <f t="shared" si="18"/>
        <v>0</v>
      </c>
      <c r="J31" s="473">
        <f t="shared" si="18"/>
        <v>342.30871087917211</v>
      </c>
      <c r="K31" s="473">
        <f t="shared" si="18"/>
        <v>0</v>
      </c>
      <c r="L31" s="473">
        <f t="shared" ca="1" si="18"/>
        <v>0</v>
      </c>
      <c r="M31" s="473">
        <f t="shared" si="18"/>
        <v>0</v>
      </c>
      <c r="N31" s="473">
        <f t="shared" ca="1" si="18"/>
        <v>0</v>
      </c>
      <c r="O31" s="473">
        <f t="shared" si="18"/>
        <v>0</v>
      </c>
      <c r="P31" s="474">
        <f t="shared" si="18"/>
        <v>0</v>
      </c>
      <c r="Q31" s="474">
        <f t="shared" ca="1" si="18"/>
        <v>186107.06415972207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0.20302295027755829</v>
      </c>
      <c r="C17" s="513">
        <f ca="1">'EF ele_warmte'!B22</f>
        <v>0.20423071109919316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0.20302295027755829</v>
      </c>
      <c r="C17" s="513">
        <f ca="1">'EF ele_warmte'!B22</f>
        <v>0.20423071109919316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0.20302295027755829</v>
      </c>
      <c r="C29" s="514">
        <f ca="1">'EF ele_warmte'!B22</f>
        <v>0.20423071109919316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2018-06-27T09:28:48Z</dcterms:modified>
</cp:coreProperties>
</file>