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G14" i="22"/>
  <c r="L7" i="48"/>
  <c r="L24" s="1"/>
  <c r="E12" i="17"/>
  <c r="F48" i="1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5" i="48" l="1"/>
  <c r="J22" s="1"/>
  <c r="Q7"/>
  <c r="L3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Q4" i="48"/>
  <c r="N22"/>
  <c r="R11" i="14"/>
  <c r="J21" i="48"/>
  <c r="R10" i="14"/>
  <c r="Q5" i="48" l="1"/>
  <c r="F8"/>
  <c r="Q8" s="1"/>
  <c r="Q14" s="1"/>
  <c r="K41" i="14"/>
  <c r="K53" s="1"/>
  <c r="N25" i="48"/>
  <c r="N31" s="1"/>
  <c r="N14"/>
  <c r="E25"/>
  <c r="E31" s="1"/>
  <c r="E14"/>
  <c r="H55" i="14"/>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K55" i="14"/>
  <c r="R13"/>
  <c r="R15" s="1"/>
  <c r="F14" i="48" l="1"/>
  <c r="F25"/>
  <c r="F31"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<sst xmlns="http://schemas.openxmlformats.org/spreadsheetml/2006/main" count="1961" uniqueCount="840">
  <si>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</si>
  <si>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</si>
  <si>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</si>
  <si>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</si>
  <si>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</si>
  <si>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</si>
  <si>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</si>
  <si>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</si>
  <si>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</si>
  <si>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</si>
  <si>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</si>
  <si>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</si>
  <si>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</si>
  <si>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</si>
  <si>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</si>
  <si>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</si>
  <si>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</si>
  <si>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</si>
  <si>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</si>
  <si>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</si>
  <si>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</si>
  <si>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</si>
  <si>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</si>
  <si>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</si>
  <si>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</si>
  <si>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</si>
  <si>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</si>
  <si>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</si>
  <si>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</si>
  <si>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</si>
  <si>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</si>
  <si>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</si>
  <si>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</si>
  <si>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</si>
  <si>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</si>
  <si>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</si>
  <si>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</si>
  <si>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</si>
  <si>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</si>
  <si>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</si>
  <si>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</si>
  <si>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</si>
  <si>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</si>
  <si>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</si>
  <si>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</si>
  <si>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</si>
  <si>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</si>
  <si>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</si>
  <si>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</si>
  <si>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</si>
  <si>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</si>
  <si>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</si>
  <si>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</si>
  <si>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</si>
  <si>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</si>
  <si>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</si>
  <si>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</si>
  <si>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</si>
  <si>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</si>
  <si>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</si>
  <si>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</si>
  <si>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</si>
  <si>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</si>
  <si>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</si>
  <si>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</si>
  <si>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</si>
  <si>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</si>
  <si>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</si>
  <si>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</si>
  <si>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</si>
  <si>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</si>
  <si>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</si>
  <si>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</si>
  <si>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</si>
  <si>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</si>
  <si>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</si>
  <si>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</si>
  <si>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</si>
  <si>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</si>
  <si>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</si>
  <si>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</si>
  <si>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</si>
  <si>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</si>
  <si>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</si>
  <si>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</si>
  <si>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</si>
  <si>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</si>
  <si>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</si>
  <si>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</si>
  <si>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</si>
  <si>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</si>
  <si>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</si>
  <si>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</si>
  <si>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</si>
  <si>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</si>
  <si>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</si>
  <si>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</si>
  <si>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</si>
  <si>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</si>
  <si>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</si>
  <si>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</si>
  <si>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</si>
  <si>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</si>
  <si>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</si>
  <si>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</si>
  <si>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</si>
  <si>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</si>
  <si>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</si>
  <si>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</si>
  <si>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</si>
  <si>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</si>
  <si>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</si>
  <si>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</si>
  <si>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</si>
  <si>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</si>
  <si>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</si>
  <si>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</si>
  <si>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</si>
  <si>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</si>
  <si>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</si>
  <si>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</si>
  <si>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</si>
  <si>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</si>
  <si>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</si>
  <si>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</si>
  <si>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</si>
  <si>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</si>
  <si>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</si>
  <si>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</si>
  <si>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</si>
  <si>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</si>
  <si>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</si>
  <si>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</si>
  <si>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</si>
  <si>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</si>
  <si>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</si>
  <si>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</si>
  <si>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</si>
  <si>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</si>
  <si>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</si>
  <si>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</si>
  <si>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</si>
  <si>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</si>
  <si>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</si>
  <si>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</si>
  <si>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</si>
  <si>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</si>
  <si>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</si>
  <si>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</si>
  <si>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</si>
  <si>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</si>
  <si>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</si>
  <si>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</si>
  <si>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</si>
  <si>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</si>
  <si>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</si>
  <si>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</si>
  <si>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</si>
  <si>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</si>
  <si>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</si>
  <si>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</si>
  <si>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</si>
  <si>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</si>
  <si>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</si>
  <si>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</si>
  <si>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</si>
  <si>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</si>
  <si>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</si>
  <si>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</si>
  <si>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</si>
  <si>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</si>
  <si>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</si>
  <si>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</si>
  <si>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</si>
  <si>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</si>
  <si>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</si>
  <si>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</si>
  <si>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</si>
  <si>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</si>
  <si>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</si>
  <si>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</si>
  <si>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</si>
  <si>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</si>
  <si>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</si>
  <si>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</si>
  <si>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</si>
  <si>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</si>
  <si>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</si>
  <si>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</si>
  <si>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</si>
  <si>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</si>
  <si>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</si>
  <si>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</si>
  <si>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</si>
  <si>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</si>
  <si>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</si>
  <si>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</si>
  <si>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</si>
  <si>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</si>
  <si>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</si>
  <si>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</si>
  <si>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</si>
  <si>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</si>
  <si>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</si>
  <si>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</si>
  <si>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</si>
  <si>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</si>
  <si>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</si>
  <si>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</si>
  <si>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</si>
  <si>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</si>
  <si>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</si>
  <si>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</si>
  <si>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</si>
  <si>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</si>
  <si>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</si>
  <si>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</si>
  <si>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</si>
  <si>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</si>
  <si>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</si>
  <si>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</si>
  <si>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</si>
  <si>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</si>
  <si>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</si>
  <si>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</si>
  <si>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</si>
  <si>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</si>
  <si>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</si>
  <si>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</si>
  <si>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</si>
  <si>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</si>
  <si>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</si>
  <si>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</si>
  <si>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</si>
  <si>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</si>
  <si>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</si>
  <si>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</si>
  <si>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</si>
  <si>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</si>
  <si>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</si>
  <si>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</si>
  <si>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</si>
  <si>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</si>
  <si>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</si>
  <si>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</si>
  <si>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</si>
  <si>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</si>
  <si>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</si>
  <si>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</si>
  <si>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</si>
  <si>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</si>
  <si>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</si>
  <si>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</si>
  <si>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</si>
  <si>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</si>
  <si>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</si>
  <si>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</si>
  <si>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</si>
  <si>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</si>
  <si>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</si>
  <si>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</si>
  <si>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</si>
  <si>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</si>
  <si>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</si>
  <si>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</si>
  <si>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</si>
  <si>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</si>
  <si>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</si>
  <si>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</si>
  <si>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</si>
  <si>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</si>
  <si>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</si>
  <si>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</si>
  <si>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</si>
  <si>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</si>
  <si>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</si>
  <si>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</si>
  <si>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</si>
  <si>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</si>
  <si>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</si>
  <si>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</si>
  <si>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</si>
  <si>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</si>
  <si>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</si>
  <si>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</si>
  <si>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</si>
  <si>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</si>
  <si>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</si>
  <si>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</si>
  <si>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</si>
  <si>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</si>
  <si>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</si>
  <si>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</si>
  <si>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</si>
  <si>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</si>
  <si>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</si>
  <si>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</si>
  <si>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</si>
  <si>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</si>
  <si>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</si>
  <si>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</si>
  <si>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</si>
  <si>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</si>
  <si>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</si>
  <si>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</si>
  <si>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</si>
  <si>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</si>
  <si>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</si>
  <si>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</si>
  <si>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</si>
  <si>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</si>
  <si>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</si>
  <si>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</si>
  <si>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</si>
  <si>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</si>
  <si>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</si>
  <si>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</si>
  <si>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</si>
  <si>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</si>
  <si>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</si>
  <si>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</si>
  <si>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</si>
  <si>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</si>
  <si>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</si>
  <si>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</si>
  <si>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</si>
  <si>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</si>
  <si>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</si>
  <si>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</si>
  <si>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</si>
  <si>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</si>
  <si>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</si>
  <si>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</si>
  <si>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</si>
  <si>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</si>
  <si>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</si>
  <si>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</si>
  <si>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</si>
  <si>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</si>
  <si>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</si>
  <si>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</si>
  <si>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</si>
  <si>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</si>
  <si>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</si>
  <si>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</si>
  <si>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</si>
  <si>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</si>
  <si>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</si>
  <si>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</si>
  <si>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</si>
  <si>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</si>
  <si>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</si>
  <si>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</si>
  <si>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</si>
  <si>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</si>
  <si>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</si>
  <si>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</si>
  <si>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</si>
  <si>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</si>
  <si>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</si>
  <si>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</si>
  <si>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</si>
  <si>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</si>
  <si>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</si>
  <si>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</si>
  <si>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</si>
  <si>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</si>
  <si>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</si>
  <si>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</si>
  <si>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</si>
  <si>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</si>
  <si>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</si>
  <si>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</si>
  <si>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</si>
  <si>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</si>
  <si>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</si>
  <si>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</si>
  <si>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</si>
  <si>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</si>
  <si>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</si>
  <si>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</si>
  <si>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</si>
  <si>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</si>
  <si>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</si>
  <si>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</si>
  <si>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</si>
  <si>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</si>
  <si>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</si>
  <si>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</si>
  <si>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</si>
  <si>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</si>
  <si>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</si>
  <si>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</si>
  <si>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</si>
  <si>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</si>
  <si>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</si>
  <si>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</si>
  <si>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</si>
  <si>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</si>
  <si>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</si>
  <si>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</si>
  <si>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</si>
  <si>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</si>
  <si>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</si>
  <si>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</si>
  <si>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</si>
  <si>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</si>
  <si>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</si>
  <si>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</si>
  <si>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</si>
  <si>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</si>
  <si>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</si>
  <si>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</si>
  <si>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</si>
  <si>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</si>
  <si>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</si>
  <si>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</si>
  <si>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</si>
  <si>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</si>
  <si>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</si>
  <si>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</si>
  <si>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</si>
  <si>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</si>
  <si>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</si>
  <si>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</si>
  <si>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</si>
  <si>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</si>
  <si>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</si>
  <si>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</si>
  <si>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</si>
  <si>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</si>
  <si>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</si>
  <si>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</si>
  <si>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</si>
  <si>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</si>
  <si>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</si>
  <si>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</si>
  <si>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</si>
  <si>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</si>
  <si>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</si>
  <si>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</si>
  <si>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</si>
  <si>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</si>
  <si>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</si>
  <si>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</si>
  <si>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</si>
  <si>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</si>
  <si>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</si>
  <si>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</si>
  <si>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</si>
  <si>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</si>
  <si>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</si>
  <si>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</si>
  <si>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</si>
  <si>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</si>
  <si>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</si>
  <si>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</si>
  <si>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</si>
  <si>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</si>
  <si>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</si>
  <si>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</si>
  <si>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</si>
  <si>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</si>
  <si>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</si>
  <si>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</si>
  <si>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</si>
  <si>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</si>
  <si>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</si>
  <si>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</si>
  <si>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</si>
  <si>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</si>
  <si>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</si>
  <si>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</si>
  <si>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</si>
  <si>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</si>
  <si>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</si>
  <si>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</si>
  <si>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</si>
  <si>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</si>
  <si>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</si>
  <si>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</si>
  <si>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</si>
  <si>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</si>
  <si>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</si>
  <si>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</si>
  <si>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</si>
  <si>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</si>
  <si>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</si>
  <si>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</si>
  <si>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</si>
  <si>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</si>
  <si>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</si>
  <si>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</si>
  <si>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</si>
  <si>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</si>
  <si>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</si>
  <si>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</si>
  <si>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</si>
  <si>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</si>
  <si>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</si>
  <si>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</si>
  <si>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</si>
  <si>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</si>
  <si>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</si>
  <si>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</si>
  <si>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</si>
  <si>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</si>
  <si>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</si>
  <si>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</si>
  <si>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</si>
  <si>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</si>
  <si>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</si>
  <si>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</si>
  <si>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</si>
  <si>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</si>
  <si>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</si>
  <si>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</si>
  <si>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</si>
  <si>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</si>
  <si>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</si>
  <si>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</si>
  <si>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</si>
  <si>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</si>
  <si>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</si>
  <si>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</si>
  <si>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</si>
  <si>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</si>
  <si>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</si>
  <si>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</si>
  <si>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</si>
  <si>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</si>
  <si>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</si>
  <si>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</si>
  <si>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</si>
  <si>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</si>
  <si>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</si>
  <si>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</si>
  <si>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</si>
  <si>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</si>
  <si>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</si>
  <si>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</si>
  <si>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</si>
  <si>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</si>
  <si>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</si>
  <si>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</si>
  <si>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</si>
  <si>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</si>
  <si>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</si>
  <si>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</si>
  <si>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</si>
  <si>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</si>
  <si>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</si>
  <si>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</si>
  <si>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</si>
  <si>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</si>
  <si>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</si>
  <si>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</si>
  <si>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</si>
  <si>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</si>
  <si>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</si>
  <si>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</si>
  <si>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</si>
  <si>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</si>
  <si>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</si>
  <si>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</si>
  <si>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</si>
  <si>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</si>
  <si>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</si>
  <si>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</si>
  <si>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</si>
  <si>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</si>
  <si>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</si>
  <si>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</si>
  <si>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</si>
  <si>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</si>
  <si>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</si>
  <si>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</si>
  <si>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</si>
  <si>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</si>
  <si>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</si>
  <si>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</si>
  <si>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</si>
  <si>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</si>
  <si>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</si>
  <si>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</si>
  <si>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</si>
  <si>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</si>
  <si>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</si>
  <si>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</si>
  <si>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</si>
  <si>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</si>
  <si>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</si>
  <si>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</si>
  <si>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</si>
  <si>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</si>
  <si>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</si>
  <si>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</si>
  <si>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</si>
  <si>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</si>
  <si>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</si>
  <si>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</si>
  <si>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</si>
  <si>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</si>
  <si>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</si>
  <si>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</si>
  <si>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</si>
  <si>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</si>
  <si>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</si>
  <si>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</si>
  <si>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</si>
  <si>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</si>
  <si>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</si>
  <si>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</si>
  <si>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</si>
  <si>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</si>
  <si>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</si>
  <si>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</si>
  <si>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</si>
  <si>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</si>
  <si>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</si>
  <si>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</si>
  <si>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</si>
  <si>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</si>
  <si>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</si>
  <si>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</si>
  <si>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</si>
  <si>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</si>
  <si>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</si>
  <si>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</si>
  <si>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</si>
  <si>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</si>
  <si>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</si>
  <si>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</si>
  <si>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</si>
  <si>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</si>
  <si>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</si>
  <si>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</si>
  <si>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</si>
  <si>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</si>
  <si>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</si>
  <si>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</si>
  <si>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</si>
  <si>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</si>
  <si>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</si>
  <si>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</si>
  <si>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</si>
  <si>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</si>
  <si>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</si>
  <si>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</si>
  <si>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</si>
  <si>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</si>
  <si>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</si>
  <si>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</si>
  <si>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</si>
  <si>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</si>
  <si>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</si>
  <si>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</si>
  <si>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</si>
  <si>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</si>
  <si>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</si>
  <si>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</si>
  <si>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</si>
  <si>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</si>
  <si>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</si>
  <si>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</si>
  <si>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</si>
  <si>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</si>
  <si>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</si>
  <si>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</si>
  <si>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</si>
  <si>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</si>
  <si>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</si>
  <si>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</si>
  <si>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</si>
  <si>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</si>
  <si>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</si>
  <si>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</si>
  <si>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</si>
  <si>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</si>
  <si>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</si>
  <si>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</si>
  <si>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</si>
  <si>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</si>
  <si>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</si>
  <si>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</si>
  <si>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</si>
  <si>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</si>
  <si>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</si>
  <si>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</si>
  <si>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</si>
  <si>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</si>
  <si>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</si>
  <si>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</si>
  <si>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</si>
  <si>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</si>
  <si>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</si>
  <si>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</si>
  <si>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</si>
  <si>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</si>
  <si>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</si>
  <si>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</si>
  <si>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</si>
  <si>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</si>
  <si>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</si>
  <si>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</si>
  <si>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</si>
  <si>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</si>
  <si>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</si>
  <si>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</si>
  <si>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</si>
  <si>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</si>
  <si>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</si>
  <si>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</si>
  <si>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</si>
  <si>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</si>
  <si>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</si>
  <si>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</si>
  <si>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</si>
  <si>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</si>
  <si>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</si>
  <si>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</si>
  <si>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</si>
  <si>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</si>
  <si>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</si>
  <si>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</si>
  <si>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</si>
  <si>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</si>
  <si>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</si>
  <si>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</si>
  <si>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</si>
  <si>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</si>
  <si>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</si>
  <si>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</si>
  <si>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</si>
  <si>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</si>
  <si>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</si>
  <si>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</si>
  <si>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</si>
  <si>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</si>
  <si>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</si>
  <si>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</si>
  <si>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</si>
  <si>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</si>
  <si>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</si>
  <si>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</si>
  <si>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</si>
  <si>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</si>
  <si>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</si>
  <si>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</si>
  <si>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</si>
  <si>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</si>
  <si>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</si>
  <si>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</si>
  <si>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</si>
  <si>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</si>
  <si>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</si>
  <si>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</si>
  <si>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</si>
  <si>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</si>
  <si>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</si>
  <si>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</si>
  <si>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</si>
  <si>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</si>
  <si>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</si>
  <si>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</si>
  <si>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</si>
  <si>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</si>
  <si>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</si>
  <si>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</si>
  <si>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</si>
  <si>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</si>
  <si>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</si>
  <si>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</si>
  <si>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</si>
  <si>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</si>
  <si>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</si>
  <si>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</si>
  <si>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</si>
  <si>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</si>
  <si>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</si>
  <si>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</si>
  <si>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</si>
  <si>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</si>
  <si>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</si>
  <si>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</si>
  <si>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</si>
  <si>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</si>
  <si>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</si>
  <si>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</si>
  <si>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</si>
  <si>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</si>
  <si>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</si>
  <si>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</si>
  <si>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</si>
  <si>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</si>
  <si>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</si>
  <si>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</si>
  <si>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</si>
  <si>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</si>
  <si>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</si>
  <si>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</si>
  <si>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</si>
  <si>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</si>
  <si>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</si>
  <si>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</si>
  <si>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</si>
  <si>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</si>
  <si>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</si>
  <si>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</si>
  <si>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</si>
  <si>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</si>
  <si>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</si>
  <si>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</si>
  <si>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</si>
  <si>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</si>
  <si>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</si>
  <si>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</si>
  <si>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</si>
  <si>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</si>
  <si>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</si>
  <si>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</si>
  <si>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</si>
  <si>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</si>
  <si>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</si>
  <si>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</si>
  <si>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</si>
  <si>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</si>
  <si>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</si>
  <si>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</si>
  <si>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</si>
  <si>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</si>
  <si>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</si>
  <si>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</si>
  <si>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11029</t>
  </si>
  <si>
    <t>MORTSEL</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</si>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</sst>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195612.61293926556</c:v>
                </c:pt>
                <c:pt idx="1">
                  <c:v>91441.49337882892</c:v>
                </c:pt>
                <c:pt idx="2">
                  <c:v>1095.567</c:v>
                </c:pt>
                <c:pt idx="3">
                  <c:v>6957.9465955358073</c:v>
                </c:pt>
                <c:pt idx="4">
                  <c:v>395800.19978854805</c:v>
                </c:pt>
                <c:pt idx="5">
                  <c:v>53981.990841515399</c:v>
                </c:pt>
                <c:pt idx="6">
                  <c:v>4177.5337562838422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4880"/>
        <c:axId val="182396416"/>
      </c:barChart>
      <c:catAx>
        <c:axId val="182394880"/>
        <c:scaling>
          <c:orientation val="minMax"/>
        </c:scaling>
        <c:axPos val="b"/>
        <c:numFmt formatCode="General" sourceLinked="0"/>
        <c:tickLblPos val="nextTo"/>
        <c:crossAx val="182396416"/>
        <c:crosses val="autoZero"/>
        <c:auto val="1"/>
        <c:lblAlgn val="ctr"/>
        <c:lblOffset val="100"/>
      </c:catAx>
      <c:valAx>
        <c:axId val="182396416"/>
        <c:scaling>
          <c:orientation val="minMax"/>
        </c:scaling>
        <c:axPos val="l"/>
        <c:majorGridlines/>
        <c:numFmt formatCode="#,##0" sourceLinked="1"/>
        <c:tickLblPos val="nextTo"/>
        <c:crossAx val="1823948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195612.61293926556</c:v>
                </c:pt>
                <c:pt idx="1">
                  <c:v>91441.49337882892</c:v>
                </c:pt>
                <c:pt idx="2">
                  <c:v>1095.567</c:v>
                </c:pt>
                <c:pt idx="3">
                  <c:v>6957.9465955358073</c:v>
                </c:pt>
                <c:pt idx="4">
                  <c:v>395800.19978854805</c:v>
                </c:pt>
                <c:pt idx="5">
                  <c:v>53981.990841515399</c:v>
                </c:pt>
                <c:pt idx="6">
                  <c:v>4177.5337562838422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39293.430902152664</c:v>
                </c:pt>
                <c:pt idx="1">
                  <c:v>18945.464743902947</c:v>
                </c:pt>
                <c:pt idx="2">
                  <c:v>235.04144235846056</c:v>
                </c:pt>
                <c:pt idx="3">
                  <c:v>1449.7005256968237</c:v>
                </c:pt>
                <c:pt idx="4">
                  <c:v>79957.645364671203</c:v>
                </c:pt>
                <c:pt idx="5">
                  <c:v>13621.953553516771</c:v>
                </c:pt>
                <c:pt idx="6">
                  <c:v>1002.6619454653218</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99968"/>
        <c:axId val="182514048"/>
      </c:barChart>
      <c:catAx>
        <c:axId val="182499968"/>
        <c:scaling>
          <c:orientation val="minMax"/>
        </c:scaling>
        <c:axPos val="b"/>
        <c:numFmt formatCode="General" sourceLinked="0"/>
        <c:tickLblPos val="nextTo"/>
        <c:crossAx val="182514048"/>
        <c:crosses val="autoZero"/>
        <c:auto val="1"/>
        <c:lblAlgn val="ctr"/>
        <c:lblOffset val="100"/>
      </c:catAx>
      <c:valAx>
        <c:axId val="182514048"/>
        <c:scaling>
          <c:orientation val="minMax"/>
        </c:scaling>
        <c:axPos val="l"/>
        <c:majorGridlines/>
        <c:numFmt formatCode="#,##0" sourceLinked="1"/>
        <c:tickLblPos val="nextTo"/>
        <c:crossAx val="1824999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39293.430902152664</c:v>
                </c:pt>
                <c:pt idx="1">
                  <c:v>18945.464743902947</c:v>
                </c:pt>
                <c:pt idx="2">
                  <c:v>235.04144235846056</c:v>
                </c:pt>
                <c:pt idx="3">
                  <c:v>1449.7005256968237</c:v>
                </c:pt>
                <c:pt idx="4">
                  <c:v>79957.645364671203</c:v>
                </c:pt>
                <c:pt idx="5">
                  <c:v>13621.953553516771</c:v>
                </c:pt>
                <c:pt idx="6">
                  <c:v>1002.6619454653218</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11029</v>
      </c>
      <c r="B6" s="398"/>
      <c r="C6" s="399"/>
    </row>
    <row r="7" spans="1:7" s="396" customFormat="1" ht="15.75" customHeight="1">
      <c r="A7" s="400" t="str">
        <f>txtMunicipality</f>
        <v>MORTSEL</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31100.791384442568</v>
      </c>
      <c r="D10" s="704">
        <f ca="1">tertiair!C16</f>
        <v>0</v>
      </c>
      <c r="E10" s="704">
        <f ca="1">tertiair!D16</f>
        <v>53692.119755082276</v>
      </c>
      <c r="F10" s="704">
        <f>tertiair!E16</f>
        <v>426.37668994534209</v>
      </c>
      <c r="G10" s="704">
        <f ca="1">tertiair!F16</f>
        <v>5863.6304755921174</v>
      </c>
      <c r="H10" s="704">
        <f>tertiair!G16</f>
        <v>0</v>
      </c>
      <c r="I10" s="704">
        <f>tertiair!H16</f>
        <v>0</v>
      </c>
      <c r="J10" s="704">
        <f>tertiair!I16</f>
        <v>0</v>
      </c>
      <c r="K10" s="704">
        <f>tertiair!J16</f>
        <v>0</v>
      </c>
      <c r="L10" s="704">
        <f>tertiair!K16</f>
        <v>0</v>
      </c>
      <c r="M10" s="704">
        <f ca="1">tertiair!L16</f>
        <v>0</v>
      </c>
      <c r="N10" s="704">
        <f>tertiair!M16</f>
        <v>0</v>
      </c>
      <c r="O10" s="704">
        <f ca="1">tertiair!N16</f>
        <v>1454.142073766604</v>
      </c>
      <c r="P10" s="704">
        <f>tertiair!O16</f>
        <v>0</v>
      </c>
      <c r="Q10" s="705">
        <f>tertiair!P16</f>
        <v>0</v>
      </c>
      <c r="R10" s="707">
        <f ca="1">SUM(C10:Q10)</f>
        <v>92537.060378828915</v>
      </c>
      <c r="S10" s="67"/>
    </row>
    <row r="11" spans="1:19" s="459" customFormat="1">
      <c r="A11" s="858" t="s">
        <v>225</v>
      </c>
      <c r="B11" s="863"/>
      <c r="C11" s="704">
        <f>huishoudens!B8</f>
        <v>36901.351146864748</v>
      </c>
      <c r="D11" s="704">
        <f>huishoudens!C8</f>
        <v>0</v>
      </c>
      <c r="E11" s="704">
        <f>huishoudens!D8</f>
        <v>143782.16060894349</v>
      </c>
      <c r="F11" s="704">
        <f>huishoudens!E8</f>
        <v>752.4576268422378</v>
      </c>
      <c r="G11" s="704">
        <f>huishoudens!F8</f>
        <v>8096.858755778745</v>
      </c>
      <c r="H11" s="704">
        <f>huishoudens!G8</f>
        <v>0</v>
      </c>
      <c r="I11" s="704">
        <f>huishoudens!H8</f>
        <v>0</v>
      </c>
      <c r="J11" s="704">
        <f>huishoudens!I8</f>
        <v>0</v>
      </c>
      <c r="K11" s="704">
        <f>huishoudens!J8</f>
        <v>0</v>
      </c>
      <c r="L11" s="704">
        <f>huishoudens!K8</f>
        <v>0</v>
      </c>
      <c r="M11" s="704">
        <f>huishoudens!L8</f>
        <v>0</v>
      </c>
      <c r="N11" s="704">
        <f>huishoudens!M8</f>
        <v>0</v>
      </c>
      <c r="O11" s="704">
        <f>huishoudens!N8</f>
        <v>5818.1248008363273</v>
      </c>
      <c r="P11" s="704">
        <f>huishoudens!O8</f>
        <v>128.19333333333336</v>
      </c>
      <c r="Q11" s="705">
        <f>huishoudens!P8</f>
        <v>133.46666666666667</v>
      </c>
      <c r="R11" s="707">
        <f>SUM(C11:Q11)</f>
        <v>195612.61293926556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3709.8301805687206</v>
      </c>
      <c r="D13" s="704">
        <f>industrie!C18</f>
        <v>0</v>
      </c>
      <c r="E13" s="704">
        <f>industrie!D18</f>
        <v>387217.8084453154</v>
      </c>
      <c r="F13" s="704">
        <f>industrie!E18</f>
        <v>817.59447580379708</v>
      </c>
      <c r="G13" s="704">
        <f>industrie!F18</f>
        <v>2839.0627674061225</v>
      </c>
      <c r="H13" s="704">
        <f>industrie!G18</f>
        <v>0</v>
      </c>
      <c r="I13" s="704">
        <f>industrie!H18</f>
        <v>0</v>
      </c>
      <c r="J13" s="704">
        <f>industrie!I18</f>
        <v>0</v>
      </c>
      <c r="K13" s="704">
        <f>industrie!J18</f>
        <v>0.34596714845296367</v>
      </c>
      <c r="L13" s="704">
        <f>industrie!K18</f>
        <v>0</v>
      </c>
      <c r="M13" s="704">
        <f>industrie!L18</f>
        <v>0</v>
      </c>
      <c r="N13" s="704">
        <f>industrie!M18</f>
        <v>0</v>
      </c>
      <c r="O13" s="704">
        <f>industrie!N18</f>
        <v>1215.5579523056101</v>
      </c>
      <c r="P13" s="704">
        <f>industrie!O18</f>
        <v>0</v>
      </c>
      <c r="Q13" s="705">
        <f>industrie!P18</f>
        <v>0</v>
      </c>
      <c r="R13" s="707">
        <f>SUM(C13:Q13)</f>
        <v>395800.19978854805</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71711.972711876035</v>
      </c>
      <c r="D15" s="709">
        <f t="shared" ref="D15:Q15" ca="1" si="0">SUM(D9:D14)</f>
        <v>0</v>
      </c>
      <c r="E15" s="709">
        <f t="shared" ca="1" si="0"/>
        <v>584692.08880934119</v>
      </c>
      <c r="F15" s="709">
        <f t="shared" si="0"/>
        <v>1996.4287925913768</v>
      </c>
      <c r="G15" s="709">
        <f t="shared" ca="1" si="0"/>
        <v>16799.551998776984</v>
      </c>
      <c r="H15" s="709">
        <f t="shared" si="0"/>
        <v>0</v>
      </c>
      <c r="I15" s="709">
        <f t="shared" si="0"/>
        <v>0</v>
      </c>
      <c r="J15" s="709">
        <f t="shared" si="0"/>
        <v>0</v>
      </c>
      <c r="K15" s="709">
        <f t="shared" si="0"/>
        <v>0.34596714845296367</v>
      </c>
      <c r="L15" s="709">
        <f t="shared" si="0"/>
        <v>0</v>
      </c>
      <c r="M15" s="709">
        <f t="shared" ca="1" si="0"/>
        <v>0</v>
      </c>
      <c r="N15" s="709">
        <f t="shared" si="0"/>
        <v>0</v>
      </c>
      <c r="O15" s="709">
        <f t="shared" ca="1" si="0"/>
        <v>8487.8248269085416</v>
      </c>
      <c r="P15" s="709">
        <f t="shared" si="0"/>
        <v>128.19333333333336</v>
      </c>
      <c r="Q15" s="710">
        <f t="shared" si="0"/>
        <v>133.46666666666667</v>
      </c>
      <c r="R15" s="711">
        <f ca="1">SUM(R9:R14)</f>
        <v>683949.87310664251</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1587.7968538999298</v>
      </c>
      <c r="D18" s="704">
        <f>transport!C54</f>
        <v>0</v>
      </c>
      <c r="E18" s="704">
        <f>transport!D54</f>
        <v>0</v>
      </c>
      <c r="F18" s="704">
        <f>transport!E54</f>
        <v>0</v>
      </c>
      <c r="G18" s="704">
        <f>transport!F54</f>
        <v>0</v>
      </c>
      <c r="H18" s="704">
        <f>transport!G54</f>
        <v>2479.4688577081429</v>
      </c>
      <c r="I18" s="704">
        <f>transport!H54</f>
        <v>0</v>
      </c>
      <c r="J18" s="704">
        <f>transport!I54</f>
        <v>0</v>
      </c>
      <c r="K18" s="704">
        <f>transport!J54</f>
        <v>0</v>
      </c>
      <c r="L18" s="704">
        <f>transport!K54</f>
        <v>0</v>
      </c>
      <c r="M18" s="704">
        <f>transport!L54</f>
        <v>0</v>
      </c>
      <c r="N18" s="704">
        <f>transport!M54</f>
        <v>110.26804467576984</v>
      </c>
      <c r="O18" s="704">
        <f>transport!N54</f>
        <v>0</v>
      </c>
      <c r="P18" s="704">
        <f>transport!O54</f>
        <v>0</v>
      </c>
      <c r="Q18" s="705">
        <f>transport!P54</f>
        <v>0</v>
      </c>
      <c r="R18" s="707">
        <f>SUM(C18:Q18)</f>
        <v>4177.5337562838422</v>
      </c>
      <c r="S18" s="67"/>
    </row>
    <row r="19" spans="1:19" s="459" customFormat="1" ht="15" thickBot="1">
      <c r="A19" s="858" t="s">
        <v>307</v>
      </c>
      <c r="B19" s="863"/>
      <c r="C19" s="713">
        <f>transport!B14</f>
        <v>3.6128241647459505</v>
      </c>
      <c r="D19" s="713">
        <f>transport!C14</f>
        <v>0</v>
      </c>
      <c r="E19" s="713">
        <f>transport!D14</f>
        <v>6.2695595385266429</v>
      </c>
      <c r="F19" s="713">
        <f>transport!E14</f>
        <v>190.39016482442449</v>
      </c>
      <c r="G19" s="713">
        <f>transport!F14</f>
        <v>0</v>
      </c>
      <c r="H19" s="713">
        <f>transport!G14</f>
        <v>42108.31915956374</v>
      </c>
      <c r="I19" s="713">
        <f>transport!H14</f>
        <v>9372.5792334439411</v>
      </c>
      <c r="J19" s="713">
        <f>transport!I14</f>
        <v>0</v>
      </c>
      <c r="K19" s="713">
        <f>transport!J14</f>
        <v>0</v>
      </c>
      <c r="L19" s="713">
        <f>transport!K14</f>
        <v>0</v>
      </c>
      <c r="M19" s="713">
        <f>transport!L14</f>
        <v>0</v>
      </c>
      <c r="N19" s="713">
        <f>transport!M14</f>
        <v>2300.8198999800202</v>
      </c>
      <c r="O19" s="713">
        <f>transport!N14</f>
        <v>0</v>
      </c>
      <c r="P19" s="713">
        <f>transport!O14</f>
        <v>0</v>
      </c>
      <c r="Q19" s="714">
        <f>transport!P14</f>
        <v>0</v>
      </c>
      <c r="R19" s="715">
        <f>SUM(C19:Q19)</f>
        <v>53981.990841515399</v>
      </c>
      <c r="S19" s="67"/>
    </row>
    <row r="20" spans="1:19" s="459" customFormat="1" ht="15.75" thickBot="1">
      <c r="A20" s="716" t="s">
        <v>230</v>
      </c>
      <c r="B20" s="866"/>
      <c r="C20" s="861">
        <f>SUM(C17:C19)</f>
        <v>1591.4096780646757</v>
      </c>
      <c r="D20" s="717">
        <f t="shared" ref="D20:R20" si="1">SUM(D17:D19)</f>
        <v>0</v>
      </c>
      <c r="E20" s="717">
        <f t="shared" si="1"/>
        <v>6.2695595385266429</v>
      </c>
      <c r="F20" s="717">
        <f t="shared" si="1"/>
        <v>190.39016482442449</v>
      </c>
      <c r="G20" s="717">
        <f t="shared" si="1"/>
        <v>0</v>
      </c>
      <c r="H20" s="717">
        <f t="shared" si="1"/>
        <v>44587.78801727188</v>
      </c>
      <c r="I20" s="717">
        <f t="shared" si="1"/>
        <v>9372.5792334439411</v>
      </c>
      <c r="J20" s="717">
        <f t="shared" si="1"/>
        <v>0</v>
      </c>
      <c r="K20" s="717">
        <f t="shared" si="1"/>
        <v>0</v>
      </c>
      <c r="L20" s="717">
        <f t="shared" si="1"/>
        <v>0</v>
      </c>
      <c r="M20" s="717">
        <f t="shared" si="1"/>
        <v>0</v>
      </c>
      <c r="N20" s="717">
        <f t="shared" si="1"/>
        <v>2411.0879446557901</v>
      </c>
      <c r="O20" s="717">
        <f t="shared" si="1"/>
        <v>0</v>
      </c>
      <c r="P20" s="717">
        <f t="shared" si="1"/>
        <v>0</v>
      </c>
      <c r="Q20" s="718">
        <f t="shared" si="1"/>
        <v>0</v>
      </c>
      <c r="R20" s="719">
        <f t="shared" si="1"/>
        <v>58159.524597799238</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169.99569392426531</v>
      </c>
      <c r="D22" s="713">
        <f>+landbouw!C8</f>
        <v>0</v>
      </c>
      <c r="E22" s="713">
        <f>+landbouw!D8</f>
        <v>6173.7155864410624</v>
      </c>
      <c r="F22" s="713">
        <f>+landbouw!E8</f>
        <v>2.142164742426516</v>
      </c>
      <c r="G22" s="713">
        <f>+landbouw!F8</f>
        <v>586.52773050468898</v>
      </c>
      <c r="H22" s="713">
        <f>+landbouw!G8</f>
        <v>0</v>
      </c>
      <c r="I22" s="713">
        <f>+landbouw!H8</f>
        <v>0</v>
      </c>
      <c r="J22" s="713">
        <f>+landbouw!I8</f>
        <v>0</v>
      </c>
      <c r="K22" s="713">
        <f>+landbouw!J8</f>
        <v>25.565419923363223</v>
      </c>
      <c r="L22" s="713">
        <f>+landbouw!K8</f>
        <v>0</v>
      </c>
      <c r="M22" s="713">
        <f>+landbouw!L8</f>
        <v>0</v>
      </c>
      <c r="N22" s="713">
        <f>+landbouw!M8</f>
        <v>0</v>
      </c>
      <c r="O22" s="713">
        <f>+landbouw!N8</f>
        <v>0</v>
      </c>
      <c r="P22" s="713">
        <f>+landbouw!O8</f>
        <v>0</v>
      </c>
      <c r="Q22" s="714">
        <f>+landbouw!P8</f>
        <v>0</v>
      </c>
      <c r="R22" s="715">
        <f>SUM(C22:Q22)</f>
        <v>6957.9465955358073</v>
      </c>
      <c r="S22" s="67"/>
    </row>
    <row r="23" spans="1:19" s="459" customFormat="1" ht="17.25" thickTop="1" thickBot="1">
      <c r="A23" s="720" t="s">
        <v>116</v>
      </c>
      <c r="B23" s="852"/>
      <c r="C23" s="721">
        <f ca="1">C20+C15+C22</f>
        <v>73473.378083864984</v>
      </c>
      <c r="D23" s="721">
        <f t="shared" ref="D23:Q23" ca="1" si="2">D20+D15+D22</f>
        <v>0</v>
      </c>
      <c r="E23" s="721">
        <f t="shared" ca="1" si="2"/>
        <v>590872.07395532087</v>
      </c>
      <c r="F23" s="721">
        <f t="shared" si="2"/>
        <v>2188.9611221582277</v>
      </c>
      <c r="G23" s="721">
        <f t="shared" ca="1" si="2"/>
        <v>17386.079729281671</v>
      </c>
      <c r="H23" s="721">
        <f t="shared" si="2"/>
        <v>44587.78801727188</v>
      </c>
      <c r="I23" s="721">
        <f t="shared" si="2"/>
        <v>9372.5792334439411</v>
      </c>
      <c r="J23" s="721">
        <f t="shared" si="2"/>
        <v>0</v>
      </c>
      <c r="K23" s="721">
        <f t="shared" si="2"/>
        <v>25.911387071816186</v>
      </c>
      <c r="L23" s="721">
        <f t="shared" si="2"/>
        <v>0</v>
      </c>
      <c r="M23" s="721">
        <f t="shared" ca="1" si="2"/>
        <v>0</v>
      </c>
      <c r="N23" s="721">
        <f t="shared" si="2"/>
        <v>2411.0879446557901</v>
      </c>
      <c r="O23" s="721">
        <f t="shared" ca="1" si="2"/>
        <v>8487.8248269085416</v>
      </c>
      <c r="P23" s="721">
        <f t="shared" si="2"/>
        <v>128.19333333333336</v>
      </c>
      <c r="Q23" s="722">
        <f t="shared" si="2"/>
        <v>133.46666666666667</v>
      </c>
      <c r="R23" s="723">
        <f ca="1">R20+R15+R22</f>
        <v>749067.34429997765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6672.3211501340993</v>
      </c>
      <c r="D36" s="704">
        <f ca="1">tertiair!C20</f>
        <v>0</v>
      </c>
      <c r="E36" s="704">
        <f ca="1">tertiair!D20</f>
        <v>10845.808190526621</v>
      </c>
      <c r="F36" s="704">
        <f>tertiair!E20</f>
        <v>96.787508617592664</v>
      </c>
      <c r="G36" s="704">
        <f ca="1">tertiair!F20</f>
        <v>1565.5893369830953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19180.506186261409</v>
      </c>
    </row>
    <row r="37" spans="1:18">
      <c r="A37" s="873" t="s">
        <v>225</v>
      </c>
      <c r="B37" s="880"/>
      <c r="C37" s="704">
        <f ca="1">huishoudens!B12</f>
        <v>7916.7652900599624</v>
      </c>
      <c r="D37" s="704">
        <f ca="1">huishoudens!C12</f>
        <v>0</v>
      </c>
      <c r="E37" s="704">
        <f>huishoudens!D12</f>
        <v>29043.996443006588</v>
      </c>
      <c r="F37" s="704">
        <f>huishoudens!E12</f>
        <v>170.80788129318799</v>
      </c>
      <c r="G37" s="704">
        <f>huishoudens!F12</f>
        <v>2161.8612877929249</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39293.430902152664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795.90188144204808</v>
      </c>
      <c r="D39" s="704">
        <f ca="1">industrie!C22</f>
        <v>0</v>
      </c>
      <c r="E39" s="704">
        <f>industrie!D22</f>
        <v>78217.997305953715</v>
      </c>
      <c r="F39" s="704">
        <f>industrie!E22</f>
        <v>185.59394600746194</v>
      </c>
      <c r="G39" s="704">
        <f>industrie!F22</f>
        <v>758.0297588974347</v>
      </c>
      <c r="H39" s="704">
        <f>industrie!G22</f>
        <v>0</v>
      </c>
      <c r="I39" s="704">
        <f>industrie!H22</f>
        <v>0</v>
      </c>
      <c r="J39" s="704">
        <f>industrie!I22</f>
        <v>0</v>
      </c>
      <c r="K39" s="704">
        <f>industrie!J22</f>
        <v>0.12247237055234914</v>
      </c>
      <c r="L39" s="704">
        <f>industrie!K22</f>
        <v>0</v>
      </c>
      <c r="M39" s="704">
        <f>industrie!L22</f>
        <v>0</v>
      </c>
      <c r="N39" s="704">
        <f>industrie!M22</f>
        <v>0</v>
      </c>
      <c r="O39" s="704">
        <f>industrie!N22</f>
        <v>0</v>
      </c>
      <c r="P39" s="704">
        <f>industrie!O22</f>
        <v>0</v>
      </c>
      <c r="Q39" s="814">
        <f>industrie!P22</f>
        <v>0</v>
      </c>
      <c r="R39" s="906">
        <f ca="1">SUM(C39:Q39)</f>
        <v>79957.645364671203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15384.98832163611</v>
      </c>
      <c r="D41" s="749">
        <f t="shared" ref="D41:R41" ca="1" si="4">SUM(D35:D40)</f>
        <v>0</v>
      </c>
      <c r="E41" s="749">
        <f t="shared" ca="1" si="4"/>
        <v>118107.80193948693</v>
      </c>
      <c r="F41" s="749">
        <f t="shared" si="4"/>
        <v>453.18933591824259</v>
      </c>
      <c r="G41" s="749">
        <f t="shared" ca="1" si="4"/>
        <v>4485.4803836734545</v>
      </c>
      <c r="H41" s="749">
        <f t="shared" si="4"/>
        <v>0</v>
      </c>
      <c r="I41" s="749">
        <f t="shared" si="4"/>
        <v>0</v>
      </c>
      <c r="J41" s="749">
        <f t="shared" si="4"/>
        <v>0</v>
      </c>
      <c r="K41" s="749">
        <f t="shared" si="4"/>
        <v>0.12247237055234914</v>
      </c>
      <c r="L41" s="749">
        <f t="shared" si="4"/>
        <v>0</v>
      </c>
      <c r="M41" s="749">
        <f t="shared" ca="1" si="4"/>
        <v>0</v>
      </c>
      <c r="N41" s="749">
        <f t="shared" si="4"/>
        <v>0</v>
      </c>
      <c r="O41" s="749">
        <f t="shared" ca="1" si="4"/>
        <v>0</v>
      </c>
      <c r="P41" s="749">
        <f t="shared" si="4"/>
        <v>0</v>
      </c>
      <c r="Q41" s="750">
        <f t="shared" si="4"/>
        <v>0</v>
      </c>
      <c r="R41" s="751">
        <f t="shared" ca="1" si="4"/>
        <v>138431.58245308528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340.64376045724759</v>
      </c>
      <c r="D44" s="704">
        <f ca="1">transport!C58</f>
        <v>0</v>
      </c>
      <c r="E44" s="704">
        <f>transport!D58</f>
        <v>0</v>
      </c>
      <c r="F44" s="704">
        <f>transport!E58</f>
        <v>0</v>
      </c>
      <c r="G44" s="704">
        <f>transport!F58</f>
        <v>0</v>
      </c>
      <c r="H44" s="704">
        <f>transport!G58</f>
        <v>662.01818500807417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1002.6619454653218</v>
      </c>
    </row>
    <row r="45" spans="1:18" ht="15" thickBot="1">
      <c r="A45" s="876" t="s">
        <v>307</v>
      </c>
      <c r="B45" s="886"/>
      <c r="C45" s="713">
        <f ca="1">transport!B18</f>
        <v>0.77509034378489738</v>
      </c>
      <c r="D45" s="713">
        <f>transport!C18</f>
        <v>0</v>
      </c>
      <c r="E45" s="713">
        <f>transport!D18</f>
        <v>1.2664510267823819</v>
      </c>
      <c r="F45" s="713">
        <f>transport!E18</f>
        <v>43.218567415144364</v>
      </c>
      <c r="G45" s="713">
        <f>transport!F18</f>
        <v>0</v>
      </c>
      <c r="H45" s="713">
        <f>transport!G18</f>
        <v>11242.921215603519</v>
      </c>
      <c r="I45" s="713">
        <f>transport!H18</f>
        <v>2333.7722291275413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13621.953553516771</v>
      </c>
    </row>
    <row r="46" spans="1:18" ht="15.75" thickBot="1">
      <c r="A46" s="874" t="s">
        <v>230</v>
      </c>
      <c r="B46" s="887"/>
      <c r="C46" s="749">
        <f t="shared" ref="C46:R46" ca="1" si="5">SUM(C43:C45)</f>
        <v>341.41885080103248</v>
      </c>
      <c r="D46" s="749">
        <f t="shared" ca="1" si="5"/>
        <v>0</v>
      </c>
      <c r="E46" s="749">
        <f t="shared" si="5"/>
        <v>1.2664510267823819</v>
      </c>
      <c r="F46" s="749">
        <f t="shared" si="5"/>
        <v>43.218567415144364</v>
      </c>
      <c r="G46" s="749">
        <f t="shared" si="5"/>
        <v>0</v>
      </c>
      <c r="H46" s="749">
        <f t="shared" si="5"/>
        <v>11904.939400611593</v>
      </c>
      <c r="I46" s="749">
        <f t="shared" si="5"/>
        <v>2333.7722291275413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14624.615498982092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36.470643141575735</v>
      </c>
      <c r="D48" s="704">
        <f ca="1">+landbouw!C12</f>
        <v>0</v>
      </c>
      <c r="E48" s="704">
        <f>+landbouw!D12</f>
        <v>1247.0905484610946</v>
      </c>
      <c r="F48" s="704">
        <f>+landbouw!E12</f>
        <v>0.48627139653081913</v>
      </c>
      <c r="G48" s="704">
        <f>+landbouw!F12</f>
        <v>156.60290404475197</v>
      </c>
      <c r="H48" s="704">
        <f>+landbouw!G12</f>
        <v>0</v>
      </c>
      <c r="I48" s="704">
        <f>+landbouw!H12</f>
        <v>0</v>
      </c>
      <c r="J48" s="704">
        <f>+landbouw!I12</f>
        <v>0</v>
      </c>
      <c r="K48" s="704">
        <f>+landbouw!J12</f>
        <v>9.0501586528705804</v>
      </c>
      <c r="L48" s="704">
        <f>+landbouw!K12</f>
        <v>0</v>
      </c>
      <c r="M48" s="704">
        <f>+landbouw!L12</f>
        <v>0</v>
      </c>
      <c r="N48" s="704">
        <f>+landbouw!M12</f>
        <v>0</v>
      </c>
      <c r="O48" s="704">
        <f>+landbouw!N12</f>
        <v>0</v>
      </c>
      <c r="P48" s="704">
        <f>+landbouw!O12</f>
        <v>0</v>
      </c>
      <c r="Q48" s="705">
        <f>+landbouw!P12</f>
        <v>0</v>
      </c>
      <c r="R48" s="747">
        <f ca="1">SUM(C48:Q48)</f>
        <v>1449.7005256968237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15762.877815578719</v>
      </c>
      <c r="D53" s="759">
        <f t="shared" ref="D53:Q53" ca="1" si="6">D41+D46+D48</f>
        <v>0</v>
      </c>
      <c r="E53" s="759">
        <f t="shared" ca="1" si="6"/>
        <v>119356.15893897481</v>
      </c>
      <c r="F53" s="759">
        <f t="shared" si="6"/>
        <v>496.89417472991778</v>
      </c>
      <c r="G53" s="759">
        <f t="shared" ca="1" si="6"/>
        <v>4642.0832877182065</v>
      </c>
      <c r="H53" s="759">
        <f t="shared" si="6"/>
        <v>11904.939400611593</v>
      </c>
      <c r="I53" s="759">
        <f t="shared" si="6"/>
        <v>2333.7722291275413</v>
      </c>
      <c r="J53" s="759">
        <f t="shared" si="6"/>
        <v>0</v>
      </c>
      <c r="K53" s="759">
        <f t="shared" si="6"/>
        <v>9.1726310234229302</v>
      </c>
      <c r="L53" s="759">
        <f t="shared" si="6"/>
        <v>0</v>
      </c>
      <c r="M53" s="759">
        <f t="shared" ca="1" si="6"/>
        <v>0</v>
      </c>
      <c r="N53" s="759">
        <f t="shared" si="6"/>
        <v>0</v>
      </c>
      <c r="O53" s="759">
        <f t="shared" ca="1" si="6"/>
        <v>0</v>
      </c>
      <c r="P53" s="759">
        <f>P41+P46+P48</f>
        <v>0</v>
      </c>
      <c r="Q53" s="760">
        <f t="shared" si="6"/>
        <v>0</v>
      </c>
      <c r="R53" s="761">
        <f ca="1">R41+R46+R48</f>
        <v>154505.89847776419</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0.21453862918330011</v>
      </c>
      <c r="D55" s="824">
        <f t="shared" ca="1" si="7"/>
        <v>0</v>
      </c>
      <c r="E55" s="824">
        <f t="shared" ca="1" si="7"/>
        <v>0.20199999999999999</v>
      </c>
      <c r="F55" s="824">
        <f t="shared" si="7"/>
        <v>0.22700000000000004</v>
      </c>
      <c r="G55" s="824">
        <f t="shared" ca="1" si="7"/>
        <v>0.26700000000000002</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2148.1390993458854</v>
      </c>
      <c r="C66" s="781">
        <f>'lokale energieproductie'!B6</f>
        <v>2148.1390993458854</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2148.1390993458854</v>
      </c>
      <c r="C69" s="789">
        <f>SUM(C64:C68)</f>
        <v>2148.1390993458854</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36901.351146864748</v>
      </c>
      <c r="C4" s="463">
        <f>huishoudens!C8</f>
        <v>0</v>
      </c>
      <c r="D4" s="463">
        <f>huishoudens!D8</f>
        <v>143782.16060894349</v>
      </c>
      <c r="E4" s="463">
        <f>huishoudens!E8</f>
        <v>752.4576268422378</v>
      </c>
      <c r="F4" s="463">
        <f>huishoudens!F8</f>
        <v>8096.858755778745</v>
      </c>
      <c r="G4" s="463">
        <f>huishoudens!G8</f>
        <v>0</v>
      </c>
      <c r="H4" s="463">
        <f>huishoudens!H8</f>
        <v>0</v>
      </c>
      <c r="I4" s="463">
        <f>huishoudens!I8</f>
        <v>0</v>
      </c>
      <c r="J4" s="463">
        <f>huishoudens!J8</f>
        <v>0</v>
      </c>
      <c r="K4" s="463">
        <f>huishoudens!K8</f>
        <v>0</v>
      </c>
      <c r="L4" s="463">
        <f>huishoudens!L8</f>
        <v>0</v>
      </c>
      <c r="M4" s="463">
        <f>huishoudens!M8</f>
        <v>0</v>
      </c>
      <c r="N4" s="463">
        <f>huishoudens!N8</f>
        <v>5818.1248008363273</v>
      </c>
      <c r="O4" s="463">
        <f>huishoudens!O8</f>
        <v>128.19333333333336</v>
      </c>
      <c r="P4" s="464">
        <f>huishoudens!P8</f>
        <v>133.46666666666667</v>
      </c>
      <c r="Q4" s="465">
        <f>SUM(B4:P4)</f>
        <v>195612.61293926556</v>
      </c>
    </row>
    <row r="5" spans="1:17">
      <c r="A5" s="462" t="s">
        <v>156</v>
      </c>
      <c r="B5" s="463">
        <f ca="1">tertiair!B16</f>
        <v>30005.224384442568</v>
      </c>
      <c r="C5" s="463">
        <f ca="1">tertiair!C16</f>
        <v>0</v>
      </c>
      <c r="D5" s="463">
        <f ca="1">tertiair!D16</f>
        <v>53692.119755082276</v>
      </c>
      <c r="E5" s="463">
        <f>tertiair!E16</f>
        <v>426.37668994534209</v>
      </c>
      <c r="F5" s="463">
        <f ca="1">tertiair!F16</f>
        <v>5863.6304755921174</v>
      </c>
      <c r="G5" s="463">
        <f>tertiair!G16</f>
        <v>0</v>
      </c>
      <c r="H5" s="463">
        <f>tertiair!H16</f>
        <v>0</v>
      </c>
      <c r="I5" s="463">
        <f>tertiair!I16</f>
        <v>0</v>
      </c>
      <c r="J5" s="463">
        <f>tertiair!J16</f>
        <v>0</v>
      </c>
      <c r="K5" s="463">
        <f>tertiair!K16</f>
        <v>0</v>
      </c>
      <c r="L5" s="463">
        <f ca="1">tertiair!L16</f>
        <v>0</v>
      </c>
      <c r="M5" s="463">
        <f>tertiair!M16</f>
        <v>0</v>
      </c>
      <c r="N5" s="463">
        <f ca="1">tertiair!N16</f>
        <v>1454.142073766604</v>
      </c>
      <c r="O5" s="463">
        <f>tertiair!O16</f>
        <v>0</v>
      </c>
      <c r="P5" s="464">
        <f>tertiair!P16</f>
        <v>0</v>
      </c>
      <c r="Q5" s="462">
        <f t="shared" ref="Q5:Q13" ca="1" si="0">SUM(B5:P5)</f>
        <v>91441.49337882892</v>
      </c>
    </row>
    <row r="6" spans="1:17">
      <c r="A6" s="462" t="s">
        <v>194</v>
      </c>
      <c r="B6" s="463">
        <f>'openbare verlichting'!B8</f>
        <v>1095.567</v>
      </c>
      <c r="C6" s="463"/>
      <c r="D6" s="463"/>
      <c r="E6" s="463"/>
      <c r="F6" s="463"/>
      <c r="G6" s="463"/>
      <c r="H6" s="463"/>
      <c r="I6" s="463"/>
      <c r="J6" s="463"/>
      <c r="K6" s="463"/>
      <c r="L6" s="463"/>
      <c r="M6" s="463"/>
      <c r="N6" s="463"/>
      <c r="O6" s="463"/>
      <c r="P6" s="464"/>
      <c r="Q6" s="462">
        <f t="shared" si="0"/>
        <v>1095.567</v>
      </c>
    </row>
    <row r="7" spans="1:17">
      <c r="A7" s="462" t="s">
        <v>112</v>
      </c>
      <c r="B7" s="463">
        <f>landbouw!B8</f>
        <v>169.99569392426531</v>
      </c>
      <c r="C7" s="463">
        <f>landbouw!C8</f>
        <v>0</v>
      </c>
      <c r="D7" s="463">
        <f>landbouw!D8</f>
        <v>6173.7155864410624</v>
      </c>
      <c r="E7" s="463">
        <f>landbouw!E8</f>
        <v>2.142164742426516</v>
      </c>
      <c r="F7" s="463">
        <f>landbouw!F8</f>
        <v>586.52773050468898</v>
      </c>
      <c r="G7" s="463">
        <f>landbouw!G8</f>
        <v>0</v>
      </c>
      <c r="H7" s="463">
        <f>landbouw!H8</f>
        <v>0</v>
      </c>
      <c r="I7" s="463">
        <f>landbouw!I8</f>
        <v>0</v>
      </c>
      <c r="J7" s="463">
        <f>landbouw!J8</f>
        <v>25.565419923363223</v>
      </c>
      <c r="K7" s="463">
        <f>landbouw!K8</f>
        <v>0</v>
      </c>
      <c r="L7" s="463">
        <f>landbouw!L8</f>
        <v>0</v>
      </c>
      <c r="M7" s="463">
        <f>landbouw!M8</f>
        <v>0</v>
      </c>
      <c r="N7" s="463">
        <f>landbouw!N8</f>
        <v>0</v>
      </c>
      <c r="O7" s="463">
        <f>landbouw!O8</f>
        <v>0</v>
      </c>
      <c r="P7" s="464">
        <f>landbouw!P8</f>
        <v>0</v>
      </c>
      <c r="Q7" s="462">
        <f t="shared" si="0"/>
        <v>6957.9465955358073</v>
      </c>
    </row>
    <row r="8" spans="1:17">
      <c r="A8" s="462" t="s">
        <v>657</v>
      </c>
      <c r="B8" s="463">
        <f>industrie!B18</f>
        <v>3709.8301805687206</v>
      </c>
      <c r="C8" s="463">
        <f>industrie!C18</f>
        <v>0</v>
      </c>
      <c r="D8" s="463">
        <f>industrie!D18</f>
        <v>387217.8084453154</v>
      </c>
      <c r="E8" s="463">
        <f>industrie!E18</f>
        <v>817.59447580379708</v>
      </c>
      <c r="F8" s="463">
        <f>industrie!F18</f>
        <v>2839.0627674061225</v>
      </c>
      <c r="G8" s="463">
        <f>industrie!G18</f>
        <v>0</v>
      </c>
      <c r="H8" s="463">
        <f>industrie!H18</f>
        <v>0</v>
      </c>
      <c r="I8" s="463">
        <f>industrie!I18</f>
        <v>0</v>
      </c>
      <c r="J8" s="463">
        <f>industrie!J18</f>
        <v>0.34596714845296367</v>
      </c>
      <c r="K8" s="463">
        <f>industrie!K18</f>
        <v>0</v>
      </c>
      <c r="L8" s="463">
        <f>industrie!L18</f>
        <v>0</v>
      </c>
      <c r="M8" s="463">
        <f>industrie!M18</f>
        <v>0</v>
      </c>
      <c r="N8" s="463">
        <f>industrie!N18</f>
        <v>1215.5579523056101</v>
      </c>
      <c r="O8" s="463">
        <f>industrie!O18</f>
        <v>0</v>
      </c>
      <c r="P8" s="464">
        <f>industrie!P18</f>
        <v>0</v>
      </c>
      <c r="Q8" s="462">
        <f t="shared" si="0"/>
        <v>395800.19978854805</v>
      </c>
    </row>
    <row r="9" spans="1:17" s="468" customFormat="1">
      <c r="A9" s="466" t="s">
        <v>574</v>
      </c>
      <c r="B9" s="467">
        <f>transport!B14</f>
        <v>3.6128241647459505</v>
      </c>
      <c r="C9" s="467">
        <f>transport!C14</f>
        <v>0</v>
      </c>
      <c r="D9" s="467">
        <f>transport!D14</f>
        <v>6.2695595385266429</v>
      </c>
      <c r="E9" s="467">
        <f>transport!E14</f>
        <v>190.39016482442449</v>
      </c>
      <c r="F9" s="467">
        <f>transport!F14</f>
        <v>0</v>
      </c>
      <c r="G9" s="467">
        <f>transport!G14</f>
        <v>42108.31915956374</v>
      </c>
      <c r="H9" s="467">
        <f>transport!H14</f>
        <v>9372.5792334439411</v>
      </c>
      <c r="I9" s="467">
        <f>transport!I14</f>
        <v>0</v>
      </c>
      <c r="J9" s="467">
        <f>transport!J14</f>
        <v>0</v>
      </c>
      <c r="K9" s="467">
        <f>transport!K14</f>
        <v>0</v>
      </c>
      <c r="L9" s="467">
        <f>transport!L14</f>
        <v>0</v>
      </c>
      <c r="M9" s="467">
        <f>transport!M14</f>
        <v>2300.8198999800202</v>
      </c>
      <c r="N9" s="467">
        <f>transport!N14</f>
        <v>0</v>
      </c>
      <c r="O9" s="467">
        <f>transport!O14</f>
        <v>0</v>
      </c>
      <c r="P9" s="467">
        <f>transport!P14</f>
        <v>0</v>
      </c>
      <c r="Q9" s="466">
        <f>SUM(B9:P9)</f>
        <v>53981.990841515399</v>
      </c>
    </row>
    <row r="10" spans="1:17">
      <c r="A10" s="462" t="s">
        <v>564</v>
      </c>
      <c r="B10" s="463">
        <f>transport!B54</f>
        <v>1587.7968538999298</v>
      </c>
      <c r="C10" s="463">
        <f>transport!C54</f>
        <v>0</v>
      </c>
      <c r="D10" s="463">
        <f>transport!D54</f>
        <v>0</v>
      </c>
      <c r="E10" s="463">
        <f>transport!E54</f>
        <v>0</v>
      </c>
      <c r="F10" s="463">
        <f>transport!F54</f>
        <v>0</v>
      </c>
      <c r="G10" s="463">
        <f>transport!G54</f>
        <v>2479.4688577081429</v>
      </c>
      <c r="H10" s="463">
        <f>transport!H54</f>
        <v>0</v>
      </c>
      <c r="I10" s="463">
        <f>transport!I54</f>
        <v>0</v>
      </c>
      <c r="J10" s="463">
        <f>transport!J54</f>
        <v>0</v>
      </c>
      <c r="K10" s="463">
        <f>transport!K54</f>
        <v>0</v>
      </c>
      <c r="L10" s="463">
        <f>transport!L54</f>
        <v>0</v>
      </c>
      <c r="M10" s="463">
        <f>transport!M54</f>
        <v>110.26804467576984</v>
      </c>
      <c r="N10" s="463">
        <f>transport!N54</f>
        <v>0</v>
      </c>
      <c r="O10" s="463">
        <f>transport!O54</f>
        <v>0</v>
      </c>
      <c r="P10" s="464">
        <f>transport!P54</f>
        <v>0</v>
      </c>
      <c r="Q10" s="462">
        <f t="shared" si="0"/>
        <v>4177.5337562838422</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73473.378083864984</v>
      </c>
      <c r="C14" s="473">
        <f t="shared" ref="C14:Q14" ca="1" si="1">SUM(C4:C13)</f>
        <v>0</v>
      </c>
      <c r="D14" s="473">
        <f t="shared" ca="1" si="1"/>
        <v>590872.07395532087</v>
      </c>
      <c r="E14" s="473">
        <f t="shared" si="1"/>
        <v>2188.9611221582281</v>
      </c>
      <c r="F14" s="473">
        <f t="shared" ca="1" si="1"/>
        <v>17386.079729281675</v>
      </c>
      <c r="G14" s="473">
        <f t="shared" si="1"/>
        <v>44587.78801727188</v>
      </c>
      <c r="H14" s="473">
        <f t="shared" si="1"/>
        <v>9372.5792334439411</v>
      </c>
      <c r="I14" s="473">
        <f t="shared" si="1"/>
        <v>0</v>
      </c>
      <c r="J14" s="473">
        <f t="shared" si="1"/>
        <v>25.911387071816186</v>
      </c>
      <c r="K14" s="473">
        <f t="shared" si="1"/>
        <v>0</v>
      </c>
      <c r="L14" s="473">
        <f t="shared" ca="1" si="1"/>
        <v>0</v>
      </c>
      <c r="M14" s="473">
        <f t="shared" si="1"/>
        <v>2411.0879446557901</v>
      </c>
      <c r="N14" s="473">
        <f t="shared" ca="1" si="1"/>
        <v>8487.8248269085416</v>
      </c>
      <c r="O14" s="473">
        <f t="shared" si="1"/>
        <v>128.19333333333336</v>
      </c>
      <c r="P14" s="474">
        <f t="shared" si="1"/>
        <v>133.46666666666667</v>
      </c>
      <c r="Q14" s="474">
        <f t="shared" ca="1" si="1"/>
        <v>749067.34429997741</v>
      </c>
    </row>
    <row r="16" spans="1:17">
      <c r="A16" s="476" t="s">
        <v>569</v>
      </c>
      <c r="B16" s="829">
        <f ca="1">huishoudens!B10</f>
        <v>0.21453862918330011</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7916.7652900599624</v>
      </c>
      <c r="C21" s="463">
        <f t="shared" ref="C21:C30" ca="1" si="3">C4*$C$16</f>
        <v>0</v>
      </c>
      <c r="D21" s="463">
        <f t="shared" ref="D21:D30" si="4">D4*$D$16</f>
        <v>29043.996443006588</v>
      </c>
      <c r="E21" s="463">
        <f t="shared" ref="E21:E30" si="5">E4*$E$16</f>
        <v>170.80788129318799</v>
      </c>
      <c r="F21" s="463">
        <f t="shared" ref="F21:F30" si="6">F4*$F$16</f>
        <v>2161.8612877929249</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39293.430902152664</v>
      </c>
    </row>
    <row r="22" spans="1:17">
      <c r="A22" s="462" t="s">
        <v>156</v>
      </c>
      <c r="B22" s="463">
        <f t="shared" ca="1" si="2"/>
        <v>6437.2797077756386</v>
      </c>
      <c r="C22" s="463">
        <f t="shared" ca="1" si="3"/>
        <v>0</v>
      </c>
      <c r="D22" s="463">
        <f t="shared" ca="1" si="4"/>
        <v>10845.808190526621</v>
      </c>
      <c r="E22" s="463">
        <f t="shared" si="5"/>
        <v>96.787508617592664</v>
      </c>
      <c r="F22" s="463">
        <f t="shared" ca="1" si="6"/>
        <v>1565.5893369830953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18945.464743902947</v>
      </c>
    </row>
    <row r="23" spans="1:17">
      <c r="A23" s="462" t="s">
        <v>194</v>
      </c>
      <c r="B23" s="463">
        <f t="shared" ca="1" si="2"/>
        <v>235.04144235846056</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235.04144235846056</v>
      </c>
    </row>
    <row r="24" spans="1:17">
      <c r="A24" s="462" t="s">
        <v>112</v>
      </c>
      <c r="B24" s="463">
        <f t="shared" ca="1" si="2"/>
        <v>36.470643141575735</v>
      </c>
      <c r="C24" s="463">
        <f t="shared" ca="1" si="3"/>
        <v>0</v>
      </c>
      <c r="D24" s="463">
        <f t="shared" si="4"/>
        <v>1247.0905484610946</v>
      </c>
      <c r="E24" s="463">
        <f t="shared" si="5"/>
        <v>0.48627139653081913</v>
      </c>
      <c r="F24" s="463">
        <f t="shared" si="6"/>
        <v>156.60290404475197</v>
      </c>
      <c r="G24" s="463">
        <f t="shared" si="7"/>
        <v>0</v>
      </c>
      <c r="H24" s="463">
        <f t="shared" si="8"/>
        <v>0</v>
      </c>
      <c r="I24" s="463">
        <f t="shared" si="9"/>
        <v>0</v>
      </c>
      <c r="J24" s="463">
        <f t="shared" si="10"/>
        <v>9.0501586528705804</v>
      </c>
      <c r="K24" s="463">
        <f t="shared" si="11"/>
        <v>0</v>
      </c>
      <c r="L24" s="463">
        <f t="shared" si="12"/>
        <v>0</v>
      </c>
      <c r="M24" s="463">
        <f t="shared" si="13"/>
        <v>0</v>
      </c>
      <c r="N24" s="463">
        <f t="shared" si="14"/>
        <v>0</v>
      </c>
      <c r="O24" s="463">
        <f t="shared" si="15"/>
        <v>0</v>
      </c>
      <c r="P24" s="464">
        <f t="shared" si="16"/>
        <v>0</v>
      </c>
      <c r="Q24" s="462">
        <f t="shared" ca="1" si="17"/>
        <v>1449.7005256968237</v>
      </c>
    </row>
    <row r="25" spans="1:17">
      <c r="A25" s="462" t="s">
        <v>657</v>
      </c>
      <c r="B25" s="463">
        <f t="shared" ca="1" si="2"/>
        <v>795.90188144204808</v>
      </c>
      <c r="C25" s="463">
        <f t="shared" ca="1" si="3"/>
        <v>0</v>
      </c>
      <c r="D25" s="463">
        <f t="shared" si="4"/>
        <v>78217.997305953715</v>
      </c>
      <c r="E25" s="463">
        <f t="shared" si="5"/>
        <v>185.59394600746194</v>
      </c>
      <c r="F25" s="463">
        <f t="shared" si="6"/>
        <v>758.0297588974347</v>
      </c>
      <c r="G25" s="463">
        <f t="shared" si="7"/>
        <v>0</v>
      </c>
      <c r="H25" s="463">
        <f t="shared" si="8"/>
        <v>0</v>
      </c>
      <c r="I25" s="463">
        <f t="shared" si="9"/>
        <v>0</v>
      </c>
      <c r="J25" s="463">
        <f t="shared" si="10"/>
        <v>0.12247237055234914</v>
      </c>
      <c r="K25" s="463">
        <f t="shared" si="11"/>
        <v>0</v>
      </c>
      <c r="L25" s="463">
        <f t="shared" si="12"/>
        <v>0</v>
      </c>
      <c r="M25" s="463">
        <f t="shared" si="13"/>
        <v>0</v>
      </c>
      <c r="N25" s="463">
        <f t="shared" si="14"/>
        <v>0</v>
      </c>
      <c r="O25" s="463">
        <f t="shared" si="15"/>
        <v>0</v>
      </c>
      <c r="P25" s="464">
        <f t="shared" si="16"/>
        <v>0</v>
      </c>
      <c r="Q25" s="462">
        <f t="shared" ca="1" si="17"/>
        <v>79957.645364671203</v>
      </c>
    </row>
    <row r="26" spans="1:17" s="468" customFormat="1">
      <c r="A26" s="466" t="s">
        <v>574</v>
      </c>
      <c r="B26" s="823">
        <f t="shared" ca="1" si="2"/>
        <v>0.77509034378489738</v>
      </c>
      <c r="C26" s="467">
        <f t="shared" ca="1" si="3"/>
        <v>0</v>
      </c>
      <c r="D26" s="467">
        <f t="shared" si="4"/>
        <v>1.2664510267823819</v>
      </c>
      <c r="E26" s="467">
        <f t="shared" si="5"/>
        <v>43.218567415144364</v>
      </c>
      <c r="F26" s="467">
        <f t="shared" si="6"/>
        <v>0</v>
      </c>
      <c r="G26" s="467">
        <f t="shared" si="7"/>
        <v>11242.921215603519</v>
      </c>
      <c r="H26" s="467">
        <f t="shared" si="8"/>
        <v>2333.7722291275413</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13621.953553516771</v>
      </c>
    </row>
    <row r="27" spans="1:17">
      <c r="A27" s="462" t="s">
        <v>564</v>
      </c>
      <c r="B27" s="463">
        <f t="shared" ca="1" si="2"/>
        <v>340.64376045724759</v>
      </c>
      <c r="C27" s="463">
        <f t="shared" ca="1" si="3"/>
        <v>0</v>
      </c>
      <c r="D27" s="463">
        <f t="shared" si="4"/>
        <v>0</v>
      </c>
      <c r="E27" s="463">
        <f t="shared" si="5"/>
        <v>0</v>
      </c>
      <c r="F27" s="463">
        <f t="shared" si="6"/>
        <v>0</v>
      </c>
      <c r="G27" s="463">
        <f t="shared" si="7"/>
        <v>662.01818500807417</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1002.6619454653218</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15762.877815578719</v>
      </c>
      <c r="C31" s="473">
        <f t="shared" ca="1" si="18"/>
        <v>0</v>
      </c>
      <c r="D31" s="473">
        <f t="shared" ca="1" si="18"/>
        <v>119356.1589389748</v>
      </c>
      <c r="E31" s="473">
        <f t="shared" si="18"/>
        <v>496.89417472991778</v>
      </c>
      <c r="F31" s="473">
        <f t="shared" ca="1" si="18"/>
        <v>4642.0832877182065</v>
      </c>
      <c r="G31" s="473">
        <f t="shared" si="18"/>
        <v>11904.939400611593</v>
      </c>
      <c r="H31" s="473">
        <f t="shared" si="18"/>
        <v>2333.7722291275413</v>
      </c>
      <c r="I31" s="473">
        <f t="shared" si="18"/>
        <v>0</v>
      </c>
      <c r="J31" s="473">
        <f t="shared" si="18"/>
        <v>9.1726310234229302</v>
      </c>
      <c r="K31" s="473">
        <f t="shared" si="18"/>
        <v>0</v>
      </c>
      <c r="L31" s="473">
        <f t="shared" ca="1" si="18"/>
        <v>0</v>
      </c>
      <c r="M31" s="473">
        <f t="shared" si="18"/>
        <v>0</v>
      </c>
      <c r="N31" s="473">
        <f t="shared" ca="1" si="18"/>
        <v>0</v>
      </c>
      <c r="O31" s="473">
        <f t="shared" si="18"/>
        <v>0</v>
      </c>
      <c r="P31" s="474">
        <f t="shared" si="18"/>
        <v>0</v>
      </c>
      <c r="Q31" s="474">
        <f t="shared" ca="1" si="18"/>
        <v>154505.89847776416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0.21453862918330011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2</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3.1266666666666669</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0.21453862918330011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0.21453862918330011</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11029</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10863</v>
      </c>
      <c r="C9" s="338">
        <v>10776</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106</v>
      </c>
    </row>
    <row r="15" spans="1:6">
      <c r="A15" s="1212" t="s">
        <v>184</v>
      </c>
      <c r="B15" s="335">
        <v>2</v>
      </c>
    </row>
    <row r="16" spans="1:6">
      <c r="A16" s="1212" t="s">
        <v>6</v>
      </c>
      <c r="B16" s="335">
        <v>157</v>
      </c>
    </row>
    <row r="17" spans="1:6">
      <c r="A17" s="1212" t="s">
        <v>7</v>
      </c>
      <c r="B17" s="335">
        <v>1</v>
      </c>
    </row>
    <row r="18" spans="1:6">
      <c r="A18" s="1212" t="s">
        <v>8</v>
      </c>
      <c r="B18" s="335">
        <v>72</v>
      </c>
    </row>
    <row r="19" spans="1:6">
      <c r="A19" s="1212" t="s">
        <v>9</v>
      </c>
      <c r="B19" s="335">
        <v>76</v>
      </c>
    </row>
    <row r="20" spans="1:6">
      <c r="A20" s="1212" t="s">
        <v>10</v>
      </c>
      <c r="B20" s="335">
        <v>63</v>
      </c>
    </row>
    <row r="21" spans="1:6">
      <c r="A21" s="1212" t="s">
        <v>11</v>
      </c>
      <c r="B21" s="335">
        <v>0</v>
      </c>
    </row>
    <row r="22" spans="1:6">
      <c r="A22" s="1212" t="s">
        <v>12</v>
      </c>
      <c r="B22" s="335">
        <v>0</v>
      </c>
    </row>
    <row r="23" spans="1:6">
      <c r="A23" s="1212" t="s">
        <v>13</v>
      </c>
      <c r="B23" s="335">
        <v>0</v>
      </c>
    </row>
    <row r="24" spans="1:6">
      <c r="A24" s="1212" t="s">
        <v>14</v>
      </c>
      <c r="B24" s="335">
        <v>0</v>
      </c>
    </row>
    <row r="25" spans="1:6">
      <c r="A25" s="1212" t="s">
        <v>15</v>
      </c>
      <c r="B25" s="335">
        <v>0</v>
      </c>
    </row>
    <row r="26" spans="1:6">
      <c r="A26" s="1212" t="s">
        <v>16</v>
      </c>
      <c r="B26" s="335">
        <v>0</v>
      </c>
    </row>
    <row r="27" spans="1:6">
      <c r="A27" s="1212" t="s">
        <v>17</v>
      </c>
      <c r="B27" s="335">
        <v>0</v>
      </c>
    </row>
    <row r="28" spans="1:6" s="341" customFormat="1">
      <c r="A28" s="1213" t="s">
        <v>18</v>
      </c>
      <c r="B28" s="1213">
        <v>0</v>
      </c>
    </row>
    <row r="29" spans="1:6">
      <c r="A29" s="1213" t="s">
        <v>836</v>
      </c>
      <c r="B29" s="1213">
        <v>3</v>
      </c>
      <c r="C29" s="341"/>
      <c r="D29" s="341"/>
      <c r="E29" s="341"/>
      <c r="F29" s="341"/>
    </row>
    <row r="30" spans="1:6">
      <c r="A30" s="1208" t="s">
        <v>837</v>
      </c>
      <c r="B30" s="1208">
        <v>2</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4</v>
      </c>
      <c r="F36" s="335">
        <v>17447.5188373483</v>
      </c>
    </row>
    <row r="37" spans="1:6">
      <c r="A37" s="1212" t="s">
        <v>25</v>
      </c>
      <c r="B37" s="1212" t="s">
        <v>28</v>
      </c>
      <c r="C37" s="335">
        <v>0</v>
      </c>
      <c r="D37" s="335">
        <v>0</v>
      </c>
      <c r="E37" s="335">
        <v>0</v>
      </c>
      <c r="F37" s="335">
        <v>0</v>
      </c>
    </row>
    <row r="38" spans="1:6">
      <c r="A38" s="1212" t="s">
        <v>25</v>
      </c>
      <c r="B38" s="1212" t="s">
        <v>29</v>
      </c>
      <c r="C38" s="335">
        <v>1</v>
      </c>
      <c r="D38" s="335">
        <v>77229.640147824</v>
      </c>
      <c r="E38" s="335">
        <v>3</v>
      </c>
      <c r="F38" s="335">
        <v>15552</v>
      </c>
    </row>
    <row r="39" spans="1:6">
      <c r="A39" s="1212" t="s">
        <v>30</v>
      </c>
      <c r="B39" s="1212" t="s">
        <v>31</v>
      </c>
      <c r="C39" s="335">
        <v>9211</v>
      </c>
      <c r="D39" s="335">
        <v>159403725.73053601</v>
      </c>
      <c r="E39" s="335">
        <v>11155</v>
      </c>
      <c r="F39" s="335">
        <v>35658027.536850899</v>
      </c>
    </row>
    <row r="40" spans="1:6">
      <c r="A40" s="1212" t="s">
        <v>30</v>
      </c>
      <c r="B40" s="1212" t="s">
        <v>29</v>
      </c>
      <c r="C40" s="335">
        <v>0</v>
      </c>
      <c r="D40" s="335">
        <v>0</v>
      </c>
      <c r="E40" s="335">
        <v>0</v>
      </c>
      <c r="F40" s="335">
        <v>0</v>
      </c>
    </row>
    <row r="41" spans="1:6">
      <c r="A41" s="1212" t="s">
        <v>32</v>
      </c>
      <c r="B41" s="1212" t="s">
        <v>33</v>
      </c>
      <c r="C41" s="335">
        <v>54</v>
      </c>
      <c r="D41" s="335">
        <v>1073547.8490134401</v>
      </c>
      <c r="E41" s="335">
        <v>110</v>
      </c>
      <c r="F41" s="335">
        <v>2794339.7421230902</v>
      </c>
    </row>
    <row r="42" spans="1:6">
      <c r="A42" s="1212" t="s">
        <v>32</v>
      </c>
      <c r="B42" s="1212" t="s">
        <v>34</v>
      </c>
      <c r="C42" s="335">
        <v>8</v>
      </c>
      <c r="D42" s="335">
        <v>426802693.883174</v>
      </c>
      <c r="E42" s="335">
        <v>3</v>
      </c>
      <c r="F42" s="335">
        <v>6066.2979857316004</v>
      </c>
    </row>
    <row r="43" spans="1:6">
      <c r="A43" s="1212" t="s">
        <v>32</v>
      </c>
      <c r="B43" s="1212" t="s">
        <v>35</v>
      </c>
      <c r="C43" s="335">
        <v>0</v>
      </c>
      <c r="D43" s="335">
        <v>0</v>
      </c>
      <c r="E43" s="335">
        <v>0</v>
      </c>
      <c r="F43" s="335">
        <v>0</v>
      </c>
    </row>
    <row r="44" spans="1:6">
      <c r="A44" s="1212" t="s">
        <v>32</v>
      </c>
      <c r="B44" s="1212" t="s">
        <v>36</v>
      </c>
      <c r="C44" s="335">
        <v>0</v>
      </c>
      <c r="D44" s="335">
        <v>0</v>
      </c>
      <c r="E44" s="335">
        <v>13</v>
      </c>
      <c r="F44" s="335">
        <v>121812.46339371501</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3</v>
      </c>
      <c r="D47" s="335">
        <v>125504.28637446401</v>
      </c>
      <c r="E47" s="335">
        <v>4</v>
      </c>
      <c r="F47" s="335">
        <v>44086.719535233096</v>
      </c>
    </row>
    <row r="48" spans="1:6">
      <c r="A48" s="1212" t="s">
        <v>32</v>
      </c>
      <c r="B48" s="1212" t="s">
        <v>29</v>
      </c>
      <c r="C48" s="335">
        <v>17</v>
      </c>
      <c r="D48" s="335">
        <v>658759.474979572</v>
      </c>
      <c r="E48" s="335">
        <v>17</v>
      </c>
      <c r="F48" s="335">
        <v>131824.73941124501</v>
      </c>
    </row>
    <row r="49" spans="1:6">
      <c r="A49" s="1212" t="s">
        <v>32</v>
      </c>
      <c r="B49" s="1212" t="s">
        <v>40</v>
      </c>
      <c r="C49" s="335">
        <v>0</v>
      </c>
      <c r="D49" s="335">
        <v>0</v>
      </c>
      <c r="E49" s="335">
        <v>0</v>
      </c>
      <c r="F49" s="335">
        <v>0</v>
      </c>
    </row>
    <row r="50" spans="1:6">
      <c r="A50" s="1212" t="s">
        <v>32</v>
      </c>
      <c r="B50" s="1212" t="s">
        <v>41</v>
      </c>
      <c r="C50" s="335">
        <v>8</v>
      </c>
      <c r="D50" s="335">
        <v>627530.47687471099</v>
      </c>
      <c r="E50" s="335">
        <v>10</v>
      </c>
      <c r="F50" s="335">
        <v>611700.21811970603</v>
      </c>
    </row>
    <row r="51" spans="1:6">
      <c r="A51" s="1212" t="s">
        <v>42</v>
      </c>
      <c r="B51" s="1212" t="s">
        <v>43</v>
      </c>
      <c r="C51" s="335">
        <v>0</v>
      </c>
      <c r="D51" s="335">
        <v>0</v>
      </c>
      <c r="E51" s="335">
        <v>5</v>
      </c>
      <c r="F51" s="335">
        <v>155435.768648506</v>
      </c>
    </row>
    <row r="52" spans="1:6">
      <c r="A52" s="1212" t="s">
        <v>42</v>
      </c>
      <c r="B52" s="1212" t="s">
        <v>29</v>
      </c>
      <c r="C52" s="335">
        <v>3</v>
      </c>
      <c r="D52" s="335">
        <v>79311.339195165594</v>
      </c>
      <c r="E52" s="335">
        <v>1</v>
      </c>
      <c r="F52" s="335">
        <v>14559.9252757593</v>
      </c>
    </row>
    <row r="53" spans="1:6">
      <c r="A53" s="1212" t="s">
        <v>44</v>
      </c>
      <c r="B53" s="1212" t="s">
        <v>45</v>
      </c>
      <c r="C53" s="335">
        <v>266</v>
      </c>
      <c r="D53" s="335">
        <v>6765162.7034224197</v>
      </c>
      <c r="E53" s="335">
        <v>460</v>
      </c>
      <c r="F53" s="335">
        <v>1332041.2515473899</v>
      </c>
    </row>
    <row r="54" spans="1:6">
      <c r="A54" s="1212" t="s">
        <v>46</v>
      </c>
      <c r="B54" s="1212" t="s">
        <v>47</v>
      </c>
      <c r="C54" s="335">
        <v>0</v>
      </c>
      <c r="D54" s="335">
        <v>0</v>
      </c>
      <c r="E54" s="335">
        <v>1</v>
      </c>
      <c r="F54" s="335">
        <v>1095567</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83</v>
      </c>
      <c r="D57" s="335">
        <v>2690969.326049</v>
      </c>
      <c r="E57" s="335">
        <v>116</v>
      </c>
      <c r="F57" s="335">
        <v>1047948.91061025</v>
      </c>
    </row>
    <row r="58" spans="1:6">
      <c r="A58" s="1212" t="s">
        <v>49</v>
      </c>
      <c r="B58" s="1212" t="s">
        <v>51</v>
      </c>
      <c r="C58" s="335">
        <v>97</v>
      </c>
      <c r="D58" s="335">
        <v>14110294.4152396</v>
      </c>
      <c r="E58" s="335">
        <v>125</v>
      </c>
      <c r="F58" s="335">
        <v>2623357.8962310902</v>
      </c>
    </row>
    <row r="59" spans="1:6">
      <c r="A59" s="1212" t="s">
        <v>49</v>
      </c>
      <c r="B59" s="1212" t="s">
        <v>52</v>
      </c>
      <c r="C59" s="335">
        <v>186</v>
      </c>
      <c r="D59" s="335">
        <v>6851594.0383645501</v>
      </c>
      <c r="E59" s="335">
        <v>309</v>
      </c>
      <c r="F59" s="335">
        <v>6900100.0887788003</v>
      </c>
    </row>
    <row r="60" spans="1:6">
      <c r="A60" s="1212" t="s">
        <v>49</v>
      </c>
      <c r="B60" s="1212" t="s">
        <v>53</v>
      </c>
      <c r="C60" s="335">
        <v>83</v>
      </c>
      <c r="D60" s="335">
        <v>12255389.2784626</v>
      </c>
      <c r="E60" s="335">
        <v>92</v>
      </c>
      <c r="F60" s="335">
        <v>3352085.8351506698</v>
      </c>
    </row>
    <row r="61" spans="1:6">
      <c r="A61" s="1212" t="s">
        <v>49</v>
      </c>
      <c r="B61" s="1212" t="s">
        <v>54</v>
      </c>
      <c r="C61" s="335">
        <v>277</v>
      </c>
      <c r="D61" s="335">
        <v>17490527.124506399</v>
      </c>
      <c r="E61" s="335">
        <v>597</v>
      </c>
      <c r="F61" s="335">
        <v>6997315.3408852397</v>
      </c>
    </row>
    <row r="62" spans="1:6">
      <c r="A62" s="1212" t="s">
        <v>49</v>
      </c>
      <c r="B62" s="1212" t="s">
        <v>55</v>
      </c>
      <c r="C62" s="335">
        <v>19</v>
      </c>
      <c r="D62" s="335">
        <v>927412.25129793806</v>
      </c>
      <c r="E62" s="335">
        <v>31</v>
      </c>
      <c r="F62" s="335">
        <v>615820.52321619901</v>
      </c>
    </row>
    <row r="63" spans="1:6">
      <c r="A63" s="1212" t="s">
        <v>49</v>
      </c>
      <c r="B63" s="1212" t="s">
        <v>29</v>
      </c>
      <c r="C63" s="335">
        <v>91</v>
      </c>
      <c r="D63" s="335">
        <v>5199445.2235990604</v>
      </c>
      <c r="E63" s="335">
        <v>89</v>
      </c>
      <c r="F63" s="335">
        <v>8468595.7895703204</v>
      </c>
    </row>
    <row r="64" spans="1:6">
      <c r="A64" s="1212" t="s">
        <v>56</v>
      </c>
      <c r="B64" s="1212" t="s">
        <v>57</v>
      </c>
      <c r="C64" s="335">
        <v>0</v>
      </c>
      <c r="D64" s="335">
        <v>0</v>
      </c>
      <c r="E64" s="335">
        <v>0</v>
      </c>
      <c r="F64" s="335">
        <v>0</v>
      </c>
    </row>
    <row r="65" spans="1:6">
      <c r="A65" s="1212" t="s">
        <v>56</v>
      </c>
      <c r="B65" s="1212" t="s">
        <v>29</v>
      </c>
      <c r="C65" s="335">
        <v>4</v>
      </c>
      <c r="D65" s="335">
        <v>80687.079681830699</v>
      </c>
      <c r="E65" s="335">
        <v>2</v>
      </c>
      <c r="F65" s="335">
        <v>8227.4178773008007</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3</v>
      </c>
      <c r="D68" s="335">
        <v>109429.60298796601</v>
      </c>
      <c r="E68" s="335">
        <v>8</v>
      </c>
      <c r="F68" s="335">
        <v>40896.305781772397</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47084133</v>
      </c>
      <c r="E73" s="335">
        <v>46746374.197787844</v>
      </c>
    </row>
    <row r="74" spans="1:6">
      <c r="A74" s="1212" t="s">
        <v>64</v>
      </c>
      <c r="B74" s="1212" t="s">
        <v>727</v>
      </c>
      <c r="C74" s="1212" t="s">
        <v>728</v>
      </c>
      <c r="D74" s="335">
        <v>2516031.1963470108</v>
      </c>
      <c r="E74" s="335">
        <v>2590815.8648148524</v>
      </c>
    </row>
    <row r="75" spans="1:6">
      <c r="A75" s="1212" t="s">
        <v>65</v>
      </c>
      <c r="B75" s="1212" t="s">
        <v>725</v>
      </c>
      <c r="C75" s="1212" t="s">
        <v>729</v>
      </c>
      <c r="D75" s="335">
        <v>19080026</v>
      </c>
      <c r="E75" s="335">
        <v>19049613.596057791</v>
      </c>
    </row>
    <row r="76" spans="1:6">
      <c r="A76" s="1212" t="s">
        <v>65</v>
      </c>
      <c r="B76" s="1212" t="s">
        <v>727</v>
      </c>
      <c r="C76" s="1212" t="s">
        <v>730</v>
      </c>
      <c r="D76" s="335">
        <v>618704.1963470109</v>
      </c>
      <c r="E76" s="335">
        <v>719904.28661527159</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684177.60730597819</v>
      </c>
      <c r="C83" s="335">
        <v>675922.93390698673</v>
      </c>
    </row>
    <row r="84" spans="1:6">
      <c r="A84" s="1208" t="s">
        <v>337</v>
      </c>
      <c r="B84" s="338">
        <v>450438.82380139857</v>
      </c>
      <c r="C84" s="338">
        <v>452470.74265457405</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1243.3236100138465</v>
      </c>
    </row>
    <row r="92" spans="1:6">
      <c r="A92" s="1208" t="s">
        <v>69</v>
      </c>
      <c r="B92" s="338">
        <v>904.81548933203885</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7129</v>
      </c>
    </row>
    <row r="98" spans="1:6">
      <c r="A98" s="1212" t="s">
        <v>72</v>
      </c>
      <c r="B98" s="335">
        <v>9</v>
      </c>
    </row>
    <row r="99" spans="1:6">
      <c r="A99" s="1212" t="s">
        <v>73</v>
      </c>
      <c r="B99" s="335">
        <v>16</v>
      </c>
    </row>
    <row r="100" spans="1:6">
      <c r="A100" s="1212" t="s">
        <v>74</v>
      </c>
      <c r="B100" s="335">
        <v>538</v>
      </c>
    </row>
    <row r="101" spans="1:6">
      <c r="A101" s="1212" t="s">
        <v>75</v>
      </c>
      <c r="B101" s="335">
        <v>33</v>
      </c>
    </row>
    <row r="102" spans="1:6">
      <c r="A102" s="1212" t="s">
        <v>76</v>
      </c>
      <c r="B102" s="335">
        <v>143</v>
      </c>
    </row>
    <row r="103" spans="1:6">
      <c r="A103" s="1212" t="s">
        <v>77</v>
      </c>
      <c r="B103" s="335">
        <v>56</v>
      </c>
    </row>
    <row r="104" spans="1:6">
      <c r="A104" s="1212" t="s">
        <v>78</v>
      </c>
      <c r="B104" s="335">
        <v>2194</v>
      </c>
    </row>
    <row r="105" spans="1:6">
      <c r="A105" s="1208" t="s">
        <v>79</v>
      </c>
      <c r="B105" s="1208">
        <v>1</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2</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5</v>
      </c>
      <c r="C123" s="335">
        <v>5</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77</v>
      </c>
    </row>
    <row r="130" spans="1:6">
      <c r="A130" s="1212" t="s">
        <v>295</v>
      </c>
      <c r="B130" s="335">
        <v>0</v>
      </c>
    </row>
    <row r="131" spans="1:6">
      <c r="A131" s="1212" t="s">
        <v>296</v>
      </c>
      <c r="B131" s="335">
        <v>0</v>
      </c>
    </row>
    <row r="132" spans="1:6">
      <c r="A132" s="1208" t="s">
        <v>297</v>
      </c>
      <c r="B132" s="338">
        <v>2</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73473.378083864984</v>
      </c>
      <c r="C3" s="43" t="s">
        <v>170</v>
      </c>
      <c r="D3" s="43"/>
      <c r="E3" s="156"/>
      <c r="F3" s="43"/>
      <c r="G3" s="43"/>
      <c r="H3" s="43"/>
      <c r="I3" s="43"/>
      <c r="J3" s="43"/>
      <c r="K3" s="96"/>
    </row>
    <row r="4" spans="1:11">
      <c r="A4" s="366" t="s">
        <v>171</v>
      </c>
      <c r="B4" s="49">
        <f>IF(ISERROR('SEAP template'!B69),0,'SEAP template'!B69)</f>
        <v>2148.1390993458854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0.21453862918330011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1095.567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1095.567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0.21453862918330011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235.04144235846056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35658.027536850903</v>
      </c>
      <c r="C5" s="17">
        <f>IF(ISERROR('Eigen informatie GS &amp; warmtenet'!B57),0,'Eigen informatie GS &amp; warmtenet'!B57)</f>
        <v>0</v>
      </c>
      <c r="D5" s="30">
        <f>(SUM(HH_hh_gas_kWh,HH_rest_gas_kWh)/1000)*0.902</f>
        <v>143782.16060894349</v>
      </c>
      <c r="E5" s="17">
        <f>B46*B57</f>
        <v>752.4576268422378</v>
      </c>
      <c r="F5" s="17">
        <f>B51*B62</f>
        <v>8096.858755778745</v>
      </c>
      <c r="G5" s="18"/>
      <c r="H5" s="17"/>
      <c r="I5" s="17"/>
      <c r="J5" s="17">
        <f>B50*B61+C50*C61</f>
        <v>0</v>
      </c>
      <c r="K5" s="17"/>
      <c r="L5" s="17"/>
      <c r="M5" s="17"/>
      <c r="N5" s="17">
        <f>B48*B59+C48*C59</f>
        <v>5818.1248008363273</v>
      </c>
      <c r="O5" s="17">
        <f>B69*B70*B71</f>
        <v>128.19333333333336</v>
      </c>
      <c r="P5" s="17">
        <f>B77*B78*B79/1000-B77*B78*B79/1000/B80</f>
        <v>133.46666666666667</v>
      </c>
    </row>
    <row r="6" spans="1:16">
      <c r="A6" s="16" t="s">
        <v>634</v>
      </c>
      <c r="B6" s="831">
        <f>kWh_PV_kleiner_dan_10kW</f>
        <v>1243.3236100138465</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36901.351146864748</v>
      </c>
      <c r="C8" s="21">
        <f>C5</f>
        <v>0</v>
      </c>
      <c r="D8" s="21">
        <f>D5</f>
        <v>143782.16060894349</v>
      </c>
      <c r="E8" s="21">
        <f>E5</f>
        <v>752.4576268422378</v>
      </c>
      <c r="F8" s="21">
        <f>F5</f>
        <v>8096.858755778745</v>
      </c>
      <c r="G8" s="21"/>
      <c r="H8" s="21"/>
      <c r="I8" s="21"/>
      <c r="J8" s="21">
        <f>J5</f>
        <v>0</v>
      </c>
      <c r="K8" s="21"/>
      <c r="L8" s="21">
        <f>L5</f>
        <v>0</v>
      </c>
      <c r="M8" s="21">
        <f>M5</f>
        <v>0</v>
      </c>
      <c r="N8" s="21">
        <f>N5</f>
        <v>5818.1248008363273</v>
      </c>
      <c r="O8" s="21">
        <f>O5</f>
        <v>128.19333333333336</v>
      </c>
      <c r="P8" s="21">
        <f>P5</f>
        <v>133.46666666666667</v>
      </c>
    </row>
    <row r="9" spans="1:16">
      <c r="B9" s="19"/>
      <c r="C9" s="19"/>
      <c r="D9" s="261"/>
      <c r="E9" s="19"/>
      <c r="F9" s="19"/>
      <c r="G9" s="19"/>
      <c r="H9" s="19"/>
      <c r="I9" s="19"/>
      <c r="J9" s="19"/>
      <c r="K9" s="19"/>
      <c r="L9" s="19"/>
      <c r="M9" s="19"/>
      <c r="N9" s="19"/>
      <c r="O9" s="19"/>
      <c r="P9" s="19"/>
    </row>
    <row r="10" spans="1:16">
      <c r="A10" s="24" t="s">
        <v>214</v>
      </c>
      <c r="B10" s="25">
        <f ca="1">'EF ele_warmte'!B12</f>
        <v>0.21453862918330011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7916.7652900599624</v>
      </c>
      <c r="C12" s="23">
        <f ca="1">C10*C8</f>
        <v>0</v>
      </c>
      <c r="D12" s="23">
        <f>D8*D10</f>
        <v>29043.996443006588</v>
      </c>
      <c r="E12" s="23">
        <f>E10*E8</f>
        <v>170.80788129318799</v>
      </c>
      <c r="F12" s="23">
        <f>F10*F8</f>
        <v>2161.8612877929249</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7129</v>
      </c>
      <c r="C18" s="168" t="s">
        <v>111</v>
      </c>
      <c r="D18" s="230"/>
      <c r="E18" s="15"/>
    </row>
    <row r="19" spans="1:7">
      <c r="A19" s="173" t="s">
        <v>72</v>
      </c>
      <c r="B19" s="37">
        <f>aantalw2001_ander</f>
        <v>9</v>
      </c>
      <c r="C19" s="168" t="s">
        <v>111</v>
      </c>
      <c r="D19" s="231"/>
      <c r="E19" s="15"/>
    </row>
    <row r="20" spans="1:7">
      <c r="A20" s="173" t="s">
        <v>73</v>
      </c>
      <c r="B20" s="37">
        <f>aantalw2001_propaan</f>
        <v>16</v>
      </c>
      <c r="C20" s="169">
        <f>IF(ISERROR(B20/SUM($B$20,$B$21,$B$22)*100),0,B20/SUM($B$20,$B$21,$B$22)*100)</f>
        <v>2.7257240204429301</v>
      </c>
      <c r="D20" s="231"/>
      <c r="E20" s="15"/>
    </row>
    <row r="21" spans="1:7">
      <c r="A21" s="173" t="s">
        <v>74</v>
      </c>
      <c r="B21" s="37">
        <f>aantalw2001_elektriciteit</f>
        <v>538</v>
      </c>
      <c r="C21" s="169">
        <f>IF(ISERROR(B21/SUM($B$20,$B$21,$B$22)*100),0,B21/SUM($B$20,$B$21,$B$22)*100)</f>
        <v>91.652470187393533</v>
      </c>
      <c r="D21" s="231"/>
      <c r="E21" s="15"/>
    </row>
    <row r="22" spans="1:7">
      <c r="A22" s="173" t="s">
        <v>75</v>
      </c>
      <c r="B22" s="37">
        <f>aantalw2001_hout</f>
        <v>33</v>
      </c>
      <c r="C22" s="169">
        <f>IF(ISERROR(B22/SUM($B$20,$B$21,$B$22)*100),0,B22/SUM($B$20,$B$21,$B$22)*100)</f>
        <v>5.6218057921635438</v>
      </c>
      <c r="D22" s="231"/>
      <c r="E22" s="15"/>
    </row>
    <row r="23" spans="1:7">
      <c r="A23" s="173" t="s">
        <v>76</v>
      </c>
      <c r="B23" s="37">
        <f>aantalw2001_niet_gespec</f>
        <v>143</v>
      </c>
      <c r="C23" s="168" t="s">
        <v>111</v>
      </c>
      <c r="D23" s="230"/>
      <c r="E23" s="15"/>
    </row>
    <row r="24" spans="1:7">
      <c r="A24" s="173" t="s">
        <v>77</v>
      </c>
      <c r="B24" s="37">
        <f>aantalw2001_steenkool</f>
        <v>56</v>
      </c>
      <c r="C24" s="168" t="s">
        <v>111</v>
      </c>
      <c r="D24" s="231"/>
      <c r="E24" s="15"/>
    </row>
    <row r="25" spans="1:7">
      <c r="A25" s="173" t="s">
        <v>78</v>
      </c>
      <c r="B25" s="37">
        <f>aantalw2001_stookolie</f>
        <v>2194</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10863</v>
      </c>
      <c r="C28" s="36"/>
      <c r="D28" s="230"/>
    </row>
    <row r="29" spans="1:7" s="15" customFormat="1">
      <c r="A29" s="232" t="s">
        <v>746</v>
      </c>
      <c r="B29" s="37">
        <f>SUM(HH_hh_gas_aantal,HH_rest_gas_aantal)</f>
        <v>9211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9211</v>
      </c>
      <c r="C32" s="169">
        <f>IF(ISERROR(B32/SUM($B$32,$B$34,$B$35,$B$36,$B$38,$B$39)*100),0,B32/SUM($B$32,$B$34,$B$35,$B$36,$B$38,$B$39)*100)</f>
        <v>84.847089167280771</v>
      </c>
      <c r="D32" s="235"/>
      <c r="G32" s="15"/>
    </row>
    <row r="33" spans="1:7">
      <c r="A33" s="173" t="s">
        <v>72</v>
      </c>
      <c r="B33" s="34" t="s">
        <v>111</v>
      </c>
      <c r="C33" s="169"/>
      <c r="D33" s="235"/>
      <c r="G33" s="15"/>
    </row>
    <row r="34" spans="1:7">
      <c r="A34" s="173" t="s">
        <v>73</v>
      </c>
      <c r="B34" s="33">
        <f>IF((($B$28-$B$32-$B$39-$B$77-$B$38)*C20/100)&lt;0,0,($B$28-$B$32-$B$39-$B$77-$B$38)*C20/100)</f>
        <v>36.110391822827935</v>
      </c>
      <c r="C34" s="169">
        <f>IF(ISERROR(B34/SUM($B$32,$B$34,$B$35,$B$36,$B$38,$B$39)*100),0,B34/SUM($B$32,$B$34,$B$35,$B$36,$B$38,$B$39)*100)</f>
        <v>0.33263072791845921</v>
      </c>
      <c r="D34" s="235"/>
      <c r="G34" s="15"/>
    </row>
    <row r="35" spans="1:7">
      <c r="A35" s="173" t="s">
        <v>74</v>
      </c>
      <c r="B35" s="33">
        <f>IF((($B$28-$B$32-$B$39-$B$77-$B$38)*C21/100)&lt;0,0,($B$28-$B$32-$B$39-$B$77-$B$38)*C21/100)</f>
        <v>1214.2119250425894</v>
      </c>
      <c r="C35" s="169">
        <f>IF(ISERROR(B35/SUM($B$32,$B$34,$B$35,$B$36,$B$38,$B$39)*100),0,B35/SUM($B$32,$B$34,$B$35,$B$36,$B$38,$B$39)*100)</f>
        <v>11.184708226258193</v>
      </c>
      <c r="D35" s="235"/>
      <c r="G35" s="15"/>
    </row>
    <row r="36" spans="1:7">
      <c r="A36" s="173" t="s">
        <v>75</v>
      </c>
      <c r="B36" s="33">
        <f>IF((($B$28-$B$32-$B$39-$B$77-$B$38)*C22/100)&lt;0,0,($B$28-$B$32-$B$39-$B$77-$B$38)*C22/100)</f>
        <v>74.477683134582634</v>
      </c>
      <c r="C36" s="169">
        <f>IF(ISERROR(B36/SUM($B$32,$B$34,$B$35,$B$36,$B$38,$B$39)*100),0,B36/SUM($B$32,$B$34,$B$35,$B$36,$B$38,$B$39)*100)</f>
        <v>0.68605087633182238</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320.20000000000005</v>
      </c>
      <c r="C39" s="169">
        <f>IF(ISERROR(B39/SUM($B$32,$B$34,$B$35,$B$36,$B$38,$B$39)*100),0,B39/SUM($B$32,$B$34,$B$35,$B$36,$B$38,$B$39)*100)</f>
        <v>2.9495210022107594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9211</v>
      </c>
      <c r="C44" s="34" t="s">
        <v>111</v>
      </c>
      <c r="D44" s="176"/>
    </row>
    <row r="45" spans="1:7">
      <c r="A45" s="173" t="s">
        <v>72</v>
      </c>
      <c r="B45" s="33" t="str">
        <f t="shared" si="0"/>
        <v>-</v>
      </c>
      <c r="C45" s="34" t="s">
        <v>111</v>
      </c>
      <c r="D45" s="176"/>
    </row>
    <row r="46" spans="1:7">
      <c r="A46" s="173" t="s">
        <v>73</v>
      </c>
      <c r="B46" s="33">
        <f t="shared" si="0"/>
        <v>36.110391822827935</v>
      </c>
      <c r="C46" s="34" t="s">
        <v>111</v>
      </c>
      <c r="D46" s="176"/>
    </row>
    <row r="47" spans="1:7">
      <c r="A47" s="173" t="s">
        <v>74</v>
      </c>
      <c r="B47" s="33">
        <f t="shared" si="0"/>
        <v>1214.2119250425894</v>
      </c>
      <c r="C47" s="34" t="s">
        <v>111</v>
      </c>
      <c r="D47" s="176"/>
    </row>
    <row r="48" spans="1:7">
      <c r="A48" s="173" t="s">
        <v>75</v>
      </c>
      <c r="B48" s="33">
        <f t="shared" si="0"/>
        <v>74.477683134582634</v>
      </c>
      <c r="C48" s="33">
        <f>B48*10</f>
        <v>744.77683134582639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320.20000000000005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30005.224384442568</v>
      </c>
      <c r="C5" s="17">
        <f>IF(ISERROR('Eigen informatie GS &amp; warmtenet'!B58),0,'Eigen informatie GS &amp; warmtenet'!B58)</f>
        <v>0</v>
      </c>
      <c r="D5" s="30">
        <f>SUM(D6:D12)</f>
        <v>53692.119755082276</v>
      </c>
      <c r="E5" s="17">
        <f>SUM(E6:E12)</f>
        <v>426.37668994534209</v>
      </c>
      <c r="F5" s="17">
        <f>SUM(F6:F12)</f>
        <v>5863.6304755921174</v>
      </c>
      <c r="G5" s="18"/>
      <c r="H5" s="17"/>
      <c r="I5" s="17"/>
      <c r="J5" s="17">
        <f>SUM(J6:J12)</f>
        <v>0</v>
      </c>
      <c r="K5" s="17"/>
      <c r="L5" s="17"/>
      <c r="M5" s="17"/>
      <c r="N5" s="17">
        <f>SUM(N6:N12)</f>
        <v>1454.142073766604</v>
      </c>
      <c r="O5" s="17">
        <f>B38*B39*B40</f>
        <v>0</v>
      </c>
      <c r="P5" s="17">
        <f>B46*B47*B48/1000-B46*B47*B48/1000/B49</f>
        <v>0</v>
      </c>
      <c r="R5" s="32"/>
    </row>
    <row r="6" spans="1:18">
      <c r="A6" s="32" t="s">
        <v>54</v>
      </c>
      <c r="B6" s="37">
        <f>B26</f>
        <v>6997.3153408852395</v>
      </c>
      <c r="C6" s="33"/>
      <c r="D6" s="37">
        <f>IF(ISERROR(TER_kantoor_gas_kWh/1000),0,TER_kantoor_gas_kWh/1000)*0.902</f>
        <v>15776.455466304773</v>
      </c>
      <c r="E6" s="33">
        <f>$C$26*'E Balans VL '!I12/100/3.6*1000000</f>
        <v>27.186051517311405</v>
      </c>
      <c r="F6" s="33">
        <f>$C$26*('E Balans VL '!L12+'E Balans VL '!N12)/100/3.6*1000000</f>
        <v>1064.227992855295</v>
      </c>
      <c r="G6" s="34"/>
      <c r="H6" s="33"/>
      <c r="I6" s="33"/>
      <c r="J6" s="33">
        <f>$C$26*('E Balans VL '!D12+'E Balans VL '!E12)/100/3.6*1000000</f>
        <v>0</v>
      </c>
      <c r="K6" s="33"/>
      <c r="L6" s="33"/>
      <c r="M6" s="33"/>
      <c r="N6" s="33">
        <f>$C$26*'E Balans VL '!Y12/100/3.6*1000000</f>
        <v>3.8563590105618797</v>
      </c>
      <c r="O6" s="33"/>
      <c r="P6" s="33"/>
      <c r="R6" s="32"/>
    </row>
    <row r="7" spans="1:18">
      <c r="A7" s="32" t="s">
        <v>53</v>
      </c>
      <c r="B7" s="37">
        <f t="shared" ref="B7:B12" si="0">B27</f>
        <v>3352.0858351506699</v>
      </c>
      <c r="C7" s="33"/>
      <c r="D7" s="37">
        <f>IF(ISERROR(TER_horeca_gas_kWh/1000),0,TER_horeca_gas_kWh/1000)*0.902</f>
        <v>11054.361129173267</v>
      </c>
      <c r="E7" s="33">
        <f>$C$27*'E Balans VL '!I9/100/3.6*1000000</f>
        <v>188.82389129330502</v>
      </c>
      <c r="F7" s="33">
        <f>$C$27*('E Balans VL '!L9+'E Balans VL '!N9)/100/3.6*1000000</f>
        <v>966.54086957529159</v>
      </c>
      <c r="G7" s="34"/>
      <c r="H7" s="33"/>
      <c r="I7" s="33"/>
      <c r="J7" s="33">
        <f>$C$27*('E Balans VL '!D9+'E Balans VL '!E9)/100/3.6*1000000</f>
        <v>0</v>
      </c>
      <c r="K7" s="33"/>
      <c r="L7" s="33"/>
      <c r="M7" s="33"/>
      <c r="N7" s="33">
        <f>$C$27*'E Balans VL '!Y9/100/3.6*1000000</f>
        <v>0.92549348000819309</v>
      </c>
      <c r="O7" s="33"/>
      <c r="P7" s="33"/>
      <c r="R7" s="32"/>
    </row>
    <row r="8" spans="1:18">
      <c r="A8" s="6" t="s">
        <v>52</v>
      </c>
      <c r="B8" s="37">
        <f t="shared" si="0"/>
        <v>6900.1000887788005</v>
      </c>
      <c r="C8" s="33"/>
      <c r="D8" s="37">
        <f>IF(ISERROR(TER_handel_gas_kWh/1000),0,TER_handel_gas_kWh/1000)*0.902</f>
        <v>6180.1378226048246</v>
      </c>
      <c r="E8" s="33">
        <f>$C$28*'E Balans VL '!I13/100/3.6*1000000</f>
        <v>99.453851990206914</v>
      </c>
      <c r="F8" s="33">
        <f>$C$28*('E Balans VL '!L13+'E Balans VL '!N13)/100/3.6*1000000</f>
        <v>1198.7080779086004</v>
      </c>
      <c r="G8" s="34"/>
      <c r="H8" s="33"/>
      <c r="I8" s="33"/>
      <c r="J8" s="33">
        <f>$C$28*('E Balans VL '!D13+'E Balans VL '!E13)/100/3.6*1000000</f>
        <v>0</v>
      </c>
      <c r="K8" s="33"/>
      <c r="L8" s="33"/>
      <c r="M8" s="33"/>
      <c r="N8" s="33">
        <f>$C$28*'E Balans VL '!Y13/100/3.6*1000000</f>
        <v>20.673468000946869</v>
      </c>
      <c r="O8" s="33"/>
      <c r="P8" s="33"/>
      <c r="R8" s="32"/>
    </row>
    <row r="9" spans="1:18">
      <c r="A9" s="32" t="s">
        <v>51</v>
      </c>
      <c r="B9" s="37">
        <f t="shared" si="0"/>
        <v>2623.3578962310903</v>
      </c>
      <c r="C9" s="33"/>
      <c r="D9" s="37">
        <f>IF(ISERROR(TER_gezond_gas_kWh/1000),0,TER_gezond_gas_kWh/1000)*0.902</f>
        <v>12727.48556254612</v>
      </c>
      <c r="E9" s="33">
        <f>$C$29*'E Balans VL '!I10/100/3.6*1000000</f>
        <v>2.8024261825711574</v>
      </c>
      <c r="F9" s="33">
        <f>$C$29*('E Balans VL '!L10+'E Balans VL '!N10)/100/3.6*1000000</f>
        <v>427.94939971352596</v>
      </c>
      <c r="G9" s="34"/>
      <c r="H9" s="33"/>
      <c r="I9" s="33"/>
      <c r="J9" s="33">
        <f>$C$29*('E Balans VL '!D10+'E Balans VL '!E10)/100/3.6*1000000</f>
        <v>0</v>
      </c>
      <c r="K9" s="33"/>
      <c r="L9" s="33"/>
      <c r="M9" s="33"/>
      <c r="N9" s="33">
        <f>$C$29*'E Balans VL '!Y10/100/3.6*1000000</f>
        <v>27.005972683546261</v>
      </c>
      <c r="O9" s="33"/>
      <c r="P9" s="33"/>
      <c r="R9" s="32"/>
    </row>
    <row r="10" spans="1:18">
      <c r="A10" s="32" t="s">
        <v>50</v>
      </c>
      <c r="B10" s="37">
        <f t="shared" si="0"/>
        <v>1047.9489106102499</v>
      </c>
      <c r="C10" s="33"/>
      <c r="D10" s="37">
        <f>IF(ISERROR(TER_ander_gas_kWh/1000),0,TER_ander_gas_kWh/1000)*0.902</f>
        <v>2427.2543320961981</v>
      </c>
      <c r="E10" s="33">
        <f>$C$30*'E Balans VL '!I14/100/3.6*1000000</f>
        <v>4.8193576350340335</v>
      </c>
      <c r="F10" s="33">
        <f>$C$30*('E Balans VL '!L14+'E Balans VL '!N14)/100/3.6*1000000</f>
        <v>314.10334378948477</v>
      </c>
      <c r="G10" s="34"/>
      <c r="H10" s="33"/>
      <c r="I10" s="33"/>
      <c r="J10" s="33">
        <f>$C$30*('E Balans VL '!D14+'E Balans VL '!E14)/100/3.6*1000000</f>
        <v>0</v>
      </c>
      <c r="K10" s="33"/>
      <c r="L10" s="33"/>
      <c r="M10" s="33"/>
      <c r="N10" s="33">
        <f>$C$30*'E Balans VL '!Y14/100/3.6*1000000</f>
        <v>729.44161769786649</v>
      </c>
      <c r="O10" s="33"/>
      <c r="P10" s="33"/>
      <c r="R10" s="32"/>
    </row>
    <row r="11" spans="1:18">
      <c r="A11" s="32" t="s">
        <v>55</v>
      </c>
      <c r="B11" s="37">
        <f t="shared" si="0"/>
        <v>615.82052321619904</v>
      </c>
      <c r="C11" s="33"/>
      <c r="D11" s="37">
        <f>IF(ISERROR(TER_onderwijs_gas_kWh/1000),0,TER_onderwijs_gas_kWh/1000)*0.902</f>
        <v>836.52585067074017</v>
      </c>
      <c r="E11" s="33">
        <f>$C$31*'E Balans VL '!I11/100/3.6*1000000</f>
        <v>0.57125452108763763</v>
      </c>
      <c r="F11" s="33">
        <f>$C$31*('E Balans VL '!L11+'E Balans VL '!N11)/100/3.6*1000000</f>
        <v>216.32359618871601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8468.5957895703195</v>
      </c>
      <c r="C12" s="33"/>
      <c r="D12" s="37">
        <f>IF(ISERROR(TER_rest_gas_kWh/1000),0,TER_rest_gas_kWh/1000)*0.902</f>
        <v>4689.8995916863523</v>
      </c>
      <c r="E12" s="33">
        <f>$C$32*'E Balans VL '!I8/100/3.6*1000000</f>
        <v>102.719856805826</v>
      </c>
      <c r="F12" s="33">
        <f>$C$32*('E Balans VL '!L8+'E Balans VL '!N8)/100/3.6*1000000</f>
        <v>1675.7771955612034</v>
      </c>
      <c r="G12" s="34"/>
      <c r="H12" s="33"/>
      <c r="I12" s="33"/>
      <c r="J12" s="33">
        <f>$C$32*('E Balans VL '!D8+'E Balans VL '!E8)/100/3.6*1000000</f>
        <v>0</v>
      </c>
      <c r="K12" s="33"/>
      <c r="L12" s="33"/>
      <c r="M12" s="33"/>
      <c r="N12" s="33">
        <f>$C$32*'E Balans VL '!Y8/100/3.6*1000000</f>
        <v>672.23916289367435</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30005.224384442568</v>
      </c>
      <c r="C16" s="21">
        <f t="shared" ca="1" si="1"/>
        <v>0</v>
      </c>
      <c r="D16" s="21">
        <f t="shared" ca="1" si="1"/>
        <v>53692.119755082276</v>
      </c>
      <c r="E16" s="21">
        <f t="shared" si="1"/>
        <v>426.37668994534209</v>
      </c>
      <c r="F16" s="21">
        <f t="shared" ca="1" si="1"/>
        <v>5863.6304755921174</v>
      </c>
      <c r="G16" s="21">
        <f t="shared" si="1"/>
        <v>0</v>
      </c>
      <c r="H16" s="21">
        <f t="shared" si="1"/>
        <v>0</v>
      </c>
      <c r="I16" s="21">
        <f t="shared" si="1"/>
        <v>0</v>
      </c>
      <c r="J16" s="21">
        <f t="shared" si="1"/>
        <v>0</v>
      </c>
      <c r="K16" s="21">
        <f t="shared" si="1"/>
        <v>0</v>
      </c>
      <c r="L16" s="21">
        <f t="shared" ca="1" si="1"/>
        <v>0</v>
      </c>
      <c r="M16" s="21">
        <f t="shared" si="1"/>
        <v>0</v>
      </c>
      <c r="N16" s="21">
        <f t="shared" ca="1" si="1"/>
        <v>1454.142073766604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0.21453862918330011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6437.2797077756386</v>
      </c>
      <c r="C20" s="23">
        <f t="shared" ref="C20:P20" ca="1" si="2">C16*C18</f>
        <v>0</v>
      </c>
      <c r="D20" s="23">
        <f t="shared" ca="1" si="2"/>
        <v>10845.808190526621</v>
      </c>
      <c r="E20" s="23">
        <f t="shared" si="2"/>
        <v>96.787508617592664</v>
      </c>
      <c r="F20" s="23">
        <f t="shared" ca="1" si="2"/>
        <v>1565.5893369830953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6997.3153408852395</v>
      </c>
      <c r="C26" s="39">
        <f>IF(ISERROR(B26*3.6/1000000/'E Balans VL '!Z12*100),0,B26*3.6/1000000/'E Balans VL '!Z12*100)</f>
        <v>0.148626443859846</v>
      </c>
      <c r="D26" s="239" t="s">
        <v>692</v>
      </c>
      <c r="F26" s="6"/>
    </row>
    <row r="27" spans="1:18">
      <c r="A27" s="233" t="s">
        <v>53</v>
      </c>
      <c r="B27" s="33">
        <f>IF(ISERROR(TER_horeca_ele_kWh/1000),0,TER_horeca_ele_kWh/1000)</f>
        <v>3352.0858351506699</v>
      </c>
      <c r="C27" s="39">
        <f>IF(ISERROR(B27*3.6/1000000/'E Balans VL '!Z9*100),0,B27*3.6/1000000/'E Balans VL '!Z9*100)</f>
        <v>0.26064508814815485</v>
      </c>
      <c r="D27" s="239" t="s">
        <v>692</v>
      </c>
      <c r="F27" s="6"/>
    </row>
    <row r="28" spans="1:18">
      <c r="A28" s="173" t="s">
        <v>52</v>
      </c>
      <c r="B28" s="33">
        <f>IF(ISERROR(TER_handel_ele_kWh/1000),0,TER_handel_ele_kWh/1000)</f>
        <v>6900.1000887788005</v>
      </c>
      <c r="C28" s="39">
        <f>IF(ISERROR(B28*3.6/1000000/'E Balans VL '!Z13*100),0,B28*3.6/1000000/'E Balans VL '!Z13*100)</f>
        <v>0.19741998414542056</v>
      </c>
      <c r="D28" s="239" t="s">
        <v>692</v>
      </c>
      <c r="F28" s="6"/>
    </row>
    <row r="29" spans="1:18">
      <c r="A29" s="233" t="s">
        <v>51</v>
      </c>
      <c r="B29" s="33">
        <f>IF(ISERROR(TER_gezond_ele_kWh/1000),0,TER_gezond_ele_kWh/1000)</f>
        <v>2623.3578962310903</v>
      </c>
      <c r="C29" s="39">
        <f>IF(ISERROR(B29*3.6/1000000/'E Balans VL '!Z10*100),0,B29*3.6/1000000/'E Balans VL '!Z10*100)</f>
        <v>0.28600697021570992</v>
      </c>
      <c r="D29" s="239" t="s">
        <v>692</v>
      </c>
      <c r="F29" s="6"/>
    </row>
    <row r="30" spans="1:18">
      <c r="A30" s="233" t="s">
        <v>50</v>
      </c>
      <c r="B30" s="33">
        <f>IF(ISERROR(TER_ander_ele_kWh/1000),0,TER_ander_ele_kWh/1000)</f>
        <v>1047.9489106102499</v>
      </c>
      <c r="C30" s="39">
        <f>IF(ISERROR(B30*3.6/1000000/'E Balans VL '!Z14*100),0,B30*3.6/1000000/'E Balans VL '!Z14*100)</f>
        <v>7.6686524062707331E-2</v>
      </c>
      <c r="D30" s="239" t="s">
        <v>692</v>
      </c>
      <c r="F30" s="6"/>
    </row>
    <row r="31" spans="1:18">
      <c r="A31" s="233" t="s">
        <v>55</v>
      </c>
      <c r="B31" s="33">
        <f>IF(ISERROR(TER_onderwijs_ele_kWh/1000),0,TER_onderwijs_ele_kWh/1000)</f>
        <v>615.82052321619904</v>
      </c>
      <c r="C31" s="39">
        <f>IF(ISERROR(B31*3.6/1000000/'E Balans VL '!Z11*100),0,B31*3.6/1000000/'E Balans VL '!Z11*100)</f>
        <v>0.12368800938368421</v>
      </c>
      <c r="D31" s="239" t="s">
        <v>692</v>
      </c>
    </row>
    <row r="32" spans="1:18">
      <c r="A32" s="233" t="s">
        <v>260</v>
      </c>
      <c r="B32" s="33">
        <f>IF(ISERROR(TER_rest_ele_kWh/1000),0,TER_rest_ele_kWh/1000)</f>
        <v>8468.5957895703195</v>
      </c>
      <c r="C32" s="39">
        <f>IF(ISERROR(B32*3.6/1000000/'E Balans VL '!Z8*100),0,B32*3.6/1000000/'E Balans VL '!Z8*100)</f>
        <v>6.9013916355338614E-2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3709.8301805687206</v>
      </c>
      <c r="C5" s="17">
        <f>IF(ISERROR('Eigen informatie GS &amp; warmtenet'!B59),0,'Eigen informatie GS &amp; warmtenet'!B59)</f>
        <v>0</v>
      </c>
      <c r="D5" s="30">
        <f>SUM(D6:D15)</f>
        <v>387217.8084453154</v>
      </c>
      <c r="E5" s="17">
        <f>SUM(E6:E15)</f>
        <v>817.59447580379708</v>
      </c>
      <c r="F5" s="17">
        <f>SUM(F6:F15)</f>
        <v>2839.0627674061225</v>
      </c>
      <c r="G5" s="18"/>
      <c r="H5" s="17"/>
      <c r="I5" s="17"/>
      <c r="J5" s="17">
        <f>SUM(J6:J15)</f>
        <v>0.34596714845296367</v>
      </c>
      <c r="K5" s="17"/>
      <c r="L5" s="17"/>
      <c r="M5" s="17"/>
      <c r="N5" s="17">
        <f>SUM(N6:N15)</f>
        <v>1215.5579523056101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121.81246339371501</v>
      </c>
      <c r="C8" s="33"/>
      <c r="D8" s="37">
        <f>IF( ISERROR(IND_metaal_Gas_kWH/1000),0,IND_metaal_Gas_kWH/1000)*0.902</f>
        <v>0</v>
      </c>
      <c r="E8" s="33">
        <f>C30*'E Balans VL '!I18/100/3.6*1000000</f>
        <v>3.4989111765630159</v>
      </c>
      <c r="F8" s="33">
        <f>C30*'E Balans VL '!L18/100/3.6*1000000+C30*'E Balans VL '!N18/100/3.6*1000000</f>
        <v>31.24255407013143</v>
      </c>
      <c r="G8" s="34"/>
      <c r="H8" s="33"/>
      <c r="I8" s="33"/>
      <c r="J8" s="40">
        <f>C30*'E Balans VL '!D18/100/3.6*1000000+C30*'E Balans VL '!E18/100/3.6*1000000</f>
        <v>0</v>
      </c>
      <c r="K8" s="33"/>
      <c r="L8" s="33"/>
      <c r="M8" s="33"/>
      <c r="N8" s="33">
        <f>C30*'E Balans VL '!Y18/100/3.6*1000000</f>
        <v>3.3074570356059474</v>
      </c>
      <c r="O8" s="33"/>
      <c r="P8" s="33"/>
      <c r="R8" s="32"/>
    </row>
    <row r="9" spans="1:18">
      <c r="A9" s="6" t="s">
        <v>33</v>
      </c>
      <c r="B9" s="37">
        <f t="shared" si="0"/>
        <v>2794.3397421230902</v>
      </c>
      <c r="C9" s="33"/>
      <c r="D9" s="37">
        <f>IF( ISERROR(IND_andere_gas_kWh/1000),0,IND_andere_gas_kWh/1000)*0.902</f>
        <v>968.34015981012294</v>
      </c>
      <c r="E9" s="33">
        <f>C31*'E Balans VL '!I19/100/3.6*1000000</f>
        <v>756.35906364846187</v>
      </c>
      <c r="F9" s="33">
        <f>C31*'E Balans VL '!L19/100/3.6*1000000+C31*'E Balans VL '!N19/100/3.6*1000000</f>
        <v>1861.3259711681508</v>
      </c>
      <c r="G9" s="34"/>
      <c r="H9" s="33"/>
      <c r="I9" s="33"/>
      <c r="J9" s="40">
        <f>C31*'E Balans VL '!D19/100/3.6*1000000+C31*'E Balans VL '!E19/100/3.6*1000000</f>
        <v>0</v>
      </c>
      <c r="K9" s="33"/>
      <c r="L9" s="33"/>
      <c r="M9" s="33"/>
      <c r="N9" s="33">
        <f>C31*'E Balans VL '!Y19/100/3.6*1000000</f>
        <v>912.30550784618447</v>
      </c>
      <c r="O9" s="33"/>
      <c r="P9" s="33"/>
      <c r="R9" s="32"/>
    </row>
    <row r="10" spans="1:18">
      <c r="A10" s="6" t="s">
        <v>41</v>
      </c>
      <c r="B10" s="37">
        <f t="shared" si="0"/>
        <v>611.70021811970605</v>
      </c>
      <c r="C10" s="33"/>
      <c r="D10" s="37">
        <f>IF( ISERROR(IND_voed_gas_kWh/1000),0,IND_voed_gas_kWh/1000)*0.902</f>
        <v>566.03249014098935</v>
      </c>
      <c r="E10" s="33">
        <f>C32*'E Balans VL '!I20/100/3.6*1000000</f>
        <v>49.891675134525379</v>
      </c>
      <c r="F10" s="33">
        <f>C32*'E Balans VL '!L20/100/3.6*1000000+C32*'E Balans VL '!N20/100/3.6*1000000</f>
        <v>912.10052352310277</v>
      </c>
      <c r="G10" s="34"/>
      <c r="H10" s="33"/>
      <c r="I10" s="33"/>
      <c r="J10" s="40">
        <f>C32*'E Balans VL '!D20/100/3.6*1000000+C32*'E Balans VL '!E20/100/3.6*1000000</f>
        <v>8.0920513812663408E-3</v>
      </c>
      <c r="K10" s="33"/>
      <c r="L10" s="33"/>
      <c r="M10" s="33"/>
      <c r="N10" s="33">
        <f>C32*'E Balans VL '!Y20/100/3.6*1000000</f>
        <v>179.69593951029051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44.086719535233094</v>
      </c>
      <c r="C13" s="33"/>
      <c r="D13" s="37">
        <f>IF( ISERROR(IND_papier_gas_kWh/1000),0,IND_papier_gas_kWh/1000)*0.902</f>
        <v>113.20486630976653</v>
      </c>
      <c r="E13" s="33">
        <f>C35*'E Balans VL '!I23/100/3.6*1000000</f>
        <v>0.46188870333275017</v>
      </c>
      <c r="F13" s="33">
        <f>C35*'E Balans VL '!L23/100/3.6*1000000+C35*'E Balans VL '!N23/100/3.6*1000000</f>
        <v>3.2897588259152388</v>
      </c>
      <c r="G13" s="34"/>
      <c r="H13" s="33"/>
      <c r="I13" s="33"/>
      <c r="J13" s="40">
        <f>C35*'E Balans VL '!D23/100/3.6*1000000+C35*'E Balans VL '!E23/100/3.6*1000000</f>
        <v>0</v>
      </c>
      <c r="K13" s="33"/>
      <c r="L13" s="33"/>
      <c r="M13" s="33"/>
      <c r="N13" s="33">
        <f>C35*'E Balans VL '!Y23/100/3.6*1000000</f>
        <v>94.23076137459141</v>
      </c>
      <c r="O13" s="33"/>
      <c r="P13" s="33"/>
      <c r="R13" s="32"/>
    </row>
    <row r="14" spans="1:18">
      <c r="A14" s="6" t="s">
        <v>34</v>
      </c>
      <c r="B14" s="37">
        <f t="shared" si="0"/>
        <v>6.0662979857316008</v>
      </c>
      <c r="C14" s="33"/>
      <c r="D14" s="37">
        <f>IF( ISERROR(IND_chemie_gas_kWh/1000),0,IND_chemie_gas_kWh/1000)*0.902</f>
        <v>384976.02988262294</v>
      </c>
      <c r="E14" s="33">
        <f>C36*'E Balans VL '!I24/100/3.6*1000000</f>
        <v>2.8676815128695143E-2</v>
      </c>
      <c r="F14" s="33">
        <f>C36*'E Balans VL '!L24/100/3.6*1000000+C36*'E Balans VL '!N24/100/3.6*1000000</f>
        <v>0.11464977577782449</v>
      </c>
      <c r="G14" s="34"/>
      <c r="H14" s="33"/>
      <c r="I14" s="33"/>
      <c r="J14" s="40">
        <f>C36*'E Balans VL '!D24/100/3.6*1000000+C36*'E Balans VL '!E24/100/3.6*1000000</f>
        <v>0</v>
      </c>
      <c r="K14" s="33"/>
      <c r="L14" s="33"/>
      <c r="M14" s="33"/>
      <c r="N14" s="33">
        <f>C36*'E Balans VL '!Y24/100/3.6*1000000</f>
        <v>0.14726919261847668</v>
      </c>
      <c r="O14" s="33"/>
      <c r="P14" s="33"/>
      <c r="R14" s="32"/>
    </row>
    <row r="15" spans="1:18">
      <c r="A15" s="6" t="s">
        <v>270</v>
      </c>
      <c r="B15" s="37">
        <f t="shared" si="0"/>
        <v>131.82473941124502</v>
      </c>
      <c r="C15" s="33"/>
      <c r="D15" s="37">
        <f>IF( ISERROR(IND_rest_gas_kWh/1000),0,IND_rest_gas_kWh/1000)*0.902</f>
        <v>594.20104643157401</v>
      </c>
      <c r="E15" s="33">
        <f>C37*'E Balans VL '!I15/100/3.6*1000000</f>
        <v>7.3542603257852646</v>
      </c>
      <c r="F15" s="33">
        <f>C37*'E Balans VL '!L15/100/3.6*1000000+C37*'E Balans VL '!N15/100/3.6*1000000</f>
        <v>30.989310043044505</v>
      </c>
      <c r="G15" s="34"/>
      <c r="H15" s="33"/>
      <c r="I15" s="33"/>
      <c r="J15" s="40">
        <f>C37*'E Balans VL '!D15/100/3.6*1000000+C37*'E Balans VL '!E15/100/3.6*1000000</f>
        <v>0.33787509707169733</v>
      </c>
      <c r="K15" s="33"/>
      <c r="L15" s="33"/>
      <c r="M15" s="33"/>
      <c r="N15" s="33">
        <f>C37*'E Balans VL '!Y15/100/3.6*1000000</f>
        <v>25.871017346319416</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3709.8301805687206</v>
      </c>
      <c r="C18" s="21">
        <f>C5+C16</f>
        <v>0</v>
      </c>
      <c r="D18" s="21">
        <f>MAX((D5+D16),0)</f>
        <v>387217.8084453154</v>
      </c>
      <c r="E18" s="21">
        <f>MAX((E5+E16),0)</f>
        <v>817.59447580379708</v>
      </c>
      <c r="F18" s="21">
        <f>MAX((F5+F16),0)</f>
        <v>2839.0627674061225</v>
      </c>
      <c r="G18" s="21"/>
      <c r="H18" s="21"/>
      <c r="I18" s="21"/>
      <c r="J18" s="21">
        <f>MAX((J5+J16),0)</f>
        <v>0.34596714845296367</v>
      </c>
      <c r="K18" s="21"/>
      <c r="L18" s="21">
        <f>MAX((L5+L16),0)</f>
        <v>0</v>
      </c>
      <c r="M18" s="21"/>
      <c r="N18" s="21">
        <f>MAX((N5+N16),0)</f>
        <v>1215.5579523056101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0.21453862918330011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795.90188144204808</v>
      </c>
      <c r="C22" s="23">
        <f ca="1">C18*C20</f>
        <v>0</v>
      </c>
      <c r="D22" s="23">
        <f>D18*D20</f>
        <v>78217.997305953715</v>
      </c>
      <c r="E22" s="23">
        <f>E18*E20</f>
        <v>185.59394600746194</v>
      </c>
      <c r="F22" s="23">
        <f>F18*F20</f>
        <v>758.0297588974347</v>
      </c>
      <c r="G22" s="23"/>
      <c r="H22" s="23"/>
      <c r="I22" s="23"/>
      <c r="J22" s="23">
        <f>J18*J20</f>
        <v>0.12247237055234914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121.81246339371501</v>
      </c>
      <c r="C30" s="39">
        <f>IF(ISERROR(B30*3.6/1000000/'E Balans VL '!Z18*100),0,B30*3.6/1000000/'E Balans VL '!Z18*100)</f>
        <v>1.1986035443846915E-2</v>
      </c>
      <c r="D30" s="239" t="s">
        <v>692</v>
      </c>
    </row>
    <row r="31" spans="1:18">
      <c r="A31" s="6" t="s">
        <v>33</v>
      </c>
      <c r="B31" s="37">
        <f>IF( ISERROR(IND_ander_ele_kWh/1000),0,IND_ander_ele_kWh/1000)</f>
        <v>2794.3397421230902</v>
      </c>
      <c r="C31" s="39">
        <f>IF(ISERROR(B31*3.6/1000000/'E Balans VL '!Z19*100),0,B31*3.6/1000000/'E Balans VL '!Z19*100)</f>
        <v>0.12169126674660563</v>
      </c>
      <c r="D31" s="239" t="s">
        <v>692</v>
      </c>
    </row>
    <row r="32" spans="1:18">
      <c r="A32" s="173" t="s">
        <v>41</v>
      </c>
      <c r="B32" s="37">
        <f>IF( ISERROR(IND_voed_ele_kWh/1000),0,IND_voed_ele_kWh/1000)</f>
        <v>611.70021811970605</v>
      </c>
      <c r="C32" s="39">
        <f>IF(ISERROR(B32*3.6/1000000/'E Balans VL '!Z20*100),0,B32*3.6/1000000/'E Balans VL '!Z20*100)</f>
        <v>0.11606129471138517</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44.086719535233094</v>
      </c>
      <c r="C35" s="39">
        <f>IF(ISERROR(B35*3.6/1000000/'E Balans VL '!Z22*100),0,B35*3.6/1000000/'E Balans VL '!Z22*100)</f>
        <v>6.1990354716923921E-3</v>
      </c>
      <c r="D35" s="239" t="s">
        <v>692</v>
      </c>
    </row>
    <row r="36" spans="1:5">
      <c r="A36" s="173" t="s">
        <v>34</v>
      </c>
      <c r="B36" s="37">
        <f>IF( ISERROR(IND_chemie_ele_kWh/1000),0,IND_chemie_ele_kWh/1000)</f>
        <v>6.0662979857316008</v>
      </c>
      <c r="C36" s="39">
        <f>IF(ISERROR(B36*3.6/1000000/'E Balans VL '!Z24*100),0,B36*3.6/1000000/'E Balans VL '!Z24*100)</f>
        <v>1.7678984886555077E-4</v>
      </c>
      <c r="D36" s="239" t="s">
        <v>692</v>
      </c>
    </row>
    <row r="37" spans="1:5">
      <c r="A37" s="173" t="s">
        <v>270</v>
      </c>
      <c r="B37" s="37">
        <f>IF( ISERROR(IND_rest_ele_kWh/1000),0,IND_rest_ele_kWh/1000)</f>
        <v>131.82473941124502</v>
      </c>
      <c r="C37" s="39">
        <f>IF(ISERROR(B37*3.6/1000000/'E Balans VL '!Z15*100),0,B37*3.6/1000000/'E Balans VL '!Z15*100)</f>
        <v>1.0158715313187694E-3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169.99569392426531</v>
      </c>
      <c r="C5" s="17">
        <f>'Eigen informatie GS &amp; warmtenet'!B60</f>
        <v>0</v>
      </c>
      <c r="D5" s="30">
        <f>IF(ISERROR(SUM(LB_lb_gas_kWh,LB_rest_gas_kWh,onbekend_gas_kWh)/1000),0,SUM(LB_lb_gas_kWh,LB_rest_gas_kWh,onbekend_gas_kWh)/1000)*0.902</f>
        <v>6173.7155864410624</v>
      </c>
      <c r="E5" s="17">
        <f>B17*'E Balans VL '!I25/3.6*1000000/100</f>
        <v>2.142164742426516</v>
      </c>
      <c r="F5" s="17">
        <f>B17*('E Balans VL '!L25/3.6*1000000+'E Balans VL '!N25/3.6*1000000)/100</f>
        <v>586.52773050468898</v>
      </c>
      <c r="G5" s="18"/>
      <c r="H5" s="17"/>
      <c r="I5" s="17"/>
      <c r="J5" s="17">
        <f>('E Balans VL '!D25+'E Balans VL '!E25)/3.6*1000000*landbouw!B17/100</f>
        <v>25.565419923363223</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169.99569392426531</v>
      </c>
      <c r="C8" s="21">
        <f>C5+C6</f>
        <v>0</v>
      </c>
      <c r="D8" s="21">
        <f>MAX((D5+D6),0)</f>
        <v>6173.7155864410624</v>
      </c>
      <c r="E8" s="21">
        <f>MAX((E5+E6),0)</f>
        <v>2.142164742426516</v>
      </c>
      <c r="F8" s="21">
        <f>MAX((F5+F6),0)</f>
        <v>586.52773050468898</v>
      </c>
      <c r="G8" s="21"/>
      <c r="H8" s="21"/>
      <c r="I8" s="21"/>
      <c r="J8" s="21">
        <f>MAX((J5+J6),0)</f>
        <v>25.565419923363223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0.21453862918330011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36.470643141575735</v>
      </c>
      <c r="C12" s="23">
        <f ca="1">C8*C10</f>
        <v>0</v>
      </c>
      <c r="D12" s="23">
        <f>D8*D10</f>
        <v>1247.0905484610946</v>
      </c>
      <c r="E12" s="23">
        <f>E8*E10</f>
        <v>0.48627139653081913</v>
      </c>
      <c r="F12" s="23">
        <f>F8*F10</f>
        <v>156.60290404475197</v>
      </c>
      <c r="G12" s="23"/>
      <c r="H12" s="23"/>
      <c r="I12" s="23"/>
      <c r="J12" s="23">
        <f>J8*J10</f>
        <v>9.0501586528705804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2.3709041349171879E-2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31.755163942442191</v>
      </c>
      <c r="C26" s="249">
        <f>B26*'GWP N2O_CH4'!B5</f>
        <v>666.85844279128605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6.8164064415111243</v>
      </c>
      <c r="C27" s="249">
        <f>B27*'GWP N2O_CH4'!B5</f>
        <v>143.14453527173362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0.34044540635861686</v>
      </c>
      <c r="C28" s="249">
        <f>B28*'GWP N2O_CH4'!B4</f>
        <v>105.53807597117122</v>
      </c>
      <c r="D28" s="50"/>
    </row>
    <row r="29" spans="1:4">
      <c r="A29" s="41" t="s">
        <v>277</v>
      </c>
      <c r="B29" s="249">
        <f>B34*'ha_N2O bodem landbouw'!B4</f>
        <v>0.63140216050191977</v>
      </c>
      <c r="C29" s="249">
        <f>B29*'GWP N2O_CH4'!B4</f>
        <v>195.73466975559512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1.57654810330852E-4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1.3006166993085422E-5</v>
      </c>
      <c r="C5" s="448" t="s">
        <v>211</v>
      </c>
      <c r="D5" s="433">
        <f>SUM(D6:D11)</f>
        <v>2.2570414338695914E-5</v>
      </c>
      <c r="E5" s="433">
        <f>SUM(E6:E11)</f>
        <v>6.8540459336792817E-4</v>
      </c>
      <c r="F5" s="446" t="s">
        <v>211</v>
      </c>
      <c r="G5" s="433">
        <f>SUM(G6:G11)</f>
        <v>0.15158994897442946</v>
      </c>
      <c r="H5" s="433">
        <f>SUM(H6:H11)</f>
        <v>3.374128524039819E-2</v>
      </c>
      <c r="I5" s="448" t="s">
        <v>211</v>
      </c>
      <c r="J5" s="448" t="s">
        <v>211</v>
      </c>
      <c r="K5" s="448" t="s">
        <v>211</v>
      </c>
      <c r="L5" s="448" t="s">
        <v>211</v>
      </c>
      <c r="M5" s="433">
        <f>SUM(M6:M11)</f>
        <v>8.2829516399280725E-3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9.2555260397497697E-6</v>
      </c>
      <c r="C6" s="949"/>
      <c r="D6" s="949">
        <f>vkm_2011_GW_PW*SUMIFS(TableVerdeelsleutelVkm[CNG],TableVerdeelsleutelVkm[Voertuigtype],"Lichte voertuigen")*SUMIFS(TableECFTransport[EnergieConsumptieFactor (PJ per km)],TableECFTransport[Index],CONCATENATE($A6,"_CNG_CNG"))</f>
        <v>1.310763507375555E-5</v>
      </c>
      <c r="E6" s="949">
        <f>vkm_2011_GW_PW*SUMIFS(TableVerdeelsleutelVkm[LPG],TableVerdeelsleutelVkm[Voertuigtype],"Lichte voertuigen")*SUMIFS(TableECFTransport[EnergieConsumptieFactor (PJ per km)],TableECFTransport[Index],CONCATENATE($A6,"_LPG_LPG"))</f>
        <v>4.116676661927912E-4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7.3987951915032574E-2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1.9881235783186225E-2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4.1888591671244866E-3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2.3750701376020349E-2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8.4620296355746963E-6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1.0717703356598863E-3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3.7506409533356524E-6</v>
      </c>
      <c r="C8" s="949"/>
      <c r="D8" s="436">
        <f>vkm_2011_NGW_PW*SUMIFS(TableVerdeelsleutelVkm[CNG],TableVerdeelsleutelVkm[Voertuigtype],"Lichte voertuigen")*SUMIFS(TableECFTransport[EnergieConsumptieFactor (PJ per km)],TableECFTransport[Index],CONCATENATE($A8,"_CNG_CNG"))</f>
        <v>9.4627792649403637E-6</v>
      </c>
      <c r="E8" s="436">
        <f>vkm_2011_NGW_PW*SUMIFS(TableVerdeelsleutelVkm[LPG],TableVerdeelsleutelVkm[Voertuigtype],"Lichte voertuigen")*SUMIFS(TableECFTransport[EnergieConsumptieFactor (PJ per km)],TableECFTransport[Index],CONCATENATE($A8,"_LPG_LPG"))</f>
        <v>2.7373692717513697E-4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4.6401063582236966E-2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1.3849075583902817E-2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2.6861302639220913E-3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7.4502321011395813E-3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2.5118436735733047E-6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3.3619187322160923E-4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3.6128241647459505</v>
      </c>
      <c r="C14" s="21"/>
      <c r="D14" s="21">
        <f t="shared" ref="D14:M14" si="0">((D5)*10^9/3600)+D12</f>
        <v>6.2695595385266429</v>
      </c>
      <c r="E14" s="21">
        <f t="shared" si="0"/>
        <v>190.39016482442449</v>
      </c>
      <c r="F14" s="21"/>
      <c r="G14" s="21">
        <f t="shared" si="0"/>
        <v>42108.31915956374</v>
      </c>
      <c r="H14" s="21">
        <f t="shared" si="0"/>
        <v>9372.5792334439411</v>
      </c>
      <c r="I14" s="21"/>
      <c r="J14" s="21"/>
      <c r="K14" s="21"/>
      <c r="L14" s="21"/>
      <c r="M14" s="21">
        <f t="shared" si="0"/>
        <v>2300.8198999800202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0.21453862918330011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0.77509034378489738</v>
      </c>
      <c r="C18" s="23"/>
      <c r="D18" s="23">
        <f t="shared" ref="D18:M18" si="1">D14*D16</f>
        <v>1.2664510267823819</v>
      </c>
      <c r="E18" s="23">
        <f t="shared" si="1"/>
        <v>43.218567415144364</v>
      </c>
      <c r="F18" s="23"/>
      <c r="G18" s="23">
        <f t="shared" si="1"/>
        <v>11242.921215603519</v>
      </c>
      <c r="H18" s="23">
        <f t="shared" si="1"/>
        <v>2333.7722291275413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5.716068674039748E-3</v>
      </c>
      <c r="C50" s="323">
        <f t="shared" ref="C50:P50" si="2">SUM(C51:C52)</f>
        <v>0</v>
      </c>
      <c r="D50" s="323">
        <f t="shared" si="2"/>
        <v>0</v>
      </c>
      <c r="E50" s="323">
        <f t="shared" si="2"/>
        <v>0</v>
      </c>
      <c r="F50" s="323">
        <f t="shared" si="2"/>
        <v>0</v>
      </c>
      <c r="G50" s="323">
        <f t="shared" si="2"/>
        <v>8.9260878877493142E-3</v>
      </c>
      <c r="H50" s="323">
        <f t="shared" si="2"/>
        <v>0</v>
      </c>
      <c r="I50" s="323">
        <f t="shared" si="2"/>
        <v>0</v>
      </c>
      <c r="J50" s="323">
        <f t="shared" si="2"/>
        <v>0</v>
      </c>
      <c r="K50" s="323">
        <f t="shared" si="2"/>
        <v>0</v>
      </c>
      <c r="L50" s="323">
        <f t="shared" si="2"/>
        <v>0</v>
      </c>
      <c r="M50" s="323">
        <f t="shared" si="2"/>
        <v>3.9696496083277145E-4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8.9260878877493142E-3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3.9696496083277145E-4</v>
      </c>
      <c r="N51" s="325"/>
      <c r="O51" s="325"/>
      <c r="P51" s="328"/>
    </row>
    <row r="52" spans="1:18">
      <c r="A52" s="4" t="s">
        <v>330</v>
      </c>
      <c r="B52" s="329">
        <f>vkm_2011_tram*SUMIFS(TableECFTransport[EnergieConsumptieFactor (PJ per km)],TableECFTransport[Index],"Tram_gemiddeld_Electric_Electric")</f>
        <v>5.716068674039748E-3</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1587.7968538999298</v>
      </c>
      <c r="C54" s="21">
        <f t="shared" ref="C54:P54" si="3">(C50)*10^9/3600</f>
        <v>0</v>
      </c>
      <c r="D54" s="21">
        <f t="shared" si="3"/>
        <v>0</v>
      </c>
      <c r="E54" s="21">
        <f t="shared" si="3"/>
        <v>0</v>
      </c>
      <c r="F54" s="21">
        <f t="shared" si="3"/>
        <v>0</v>
      </c>
      <c r="G54" s="21">
        <f t="shared" si="3"/>
        <v>2479.4688577081429</v>
      </c>
      <c r="H54" s="21">
        <f t="shared" si="3"/>
        <v>0</v>
      </c>
      <c r="I54" s="21">
        <f t="shared" si="3"/>
        <v>0</v>
      </c>
      <c r="J54" s="21">
        <f t="shared" si="3"/>
        <v>0</v>
      </c>
      <c r="K54" s="21">
        <f t="shared" si="3"/>
        <v>0</v>
      </c>
      <c r="L54" s="21">
        <f t="shared" si="3"/>
        <v>0</v>
      </c>
      <c r="M54" s="21">
        <f t="shared" si="3"/>
        <v>110.26804467576984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0.21453862918330011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340.64376045724759</v>
      </c>
      <c r="C58" s="23">
        <f t="shared" ref="C58:P58" ca="1" si="4">C54*C56</f>
        <v>0</v>
      </c>
      <c r="D58" s="23">
        <f t="shared" si="4"/>
        <v>0</v>
      </c>
      <c r="E58" s="23">
        <f t="shared" si="4"/>
        <v>0</v>
      </c>
      <c r="F58" s="23">
        <f t="shared" si="4"/>
        <v>0</v>
      </c>
      <c r="G58" s="23">
        <f t="shared" si="4"/>
        <v>662.01818500807417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2148.1390993458854</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2148.1390993458854</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2018-06-27T09:28:46Z</dcterms:modified>
</cp:coreProperties>
</file>