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F10"/>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F16"/>
  <c r="C13" i="15"/>
  <c r="C16" s="1"/>
  <c r="D10" i="14" s="1"/>
  <c r="L6" i="17"/>
  <c r="L5" s="1"/>
  <c r="B8" i="9"/>
  <c r="B6" i="48" s="1"/>
  <c r="Q6" s="1"/>
  <c r="I14" i="15"/>
  <c r="I16" s="1"/>
  <c r="J10" i="14" s="1"/>
  <c r="B13" i="16"/>
  <c r="C35"/>
  <c r="E9" i="14"/>
  <c r="D14" i="15"/>
  <c r="P18" i="16"/>
  <c r="P22" s="1"/>
  <c r="Q39" i="14" s="1"/>
  <c r="L16" i="16"/>
  <c r="L18" s="1"/>
  <c r="N6" i="17"/>
  <c r="N5" s="1"/>
  <c r="K22" i="14"/>
  <c r="J8" i="17"/>
  <c r="J7" i="48" s="1"/>
  <c r="J2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G9" i="48" s="1"/>
  <c r="H14" i="22"/>
  <c r="M22" i="14"/>
  <c r="R22" s="1"/>
  <c r="E16" i="15"/>
  <c r="E20" s="1"/>
  <c r="F36" i="14" s="1"/>
  <c r="D8" i="48"/>
  <c r="D25" s="1"/>
  <c r="O22" i="14"/>
  <c r="O22" i="16"/>
  <c r="P39" i="14" s="1"/>
  <c r="J16" i="15"/>
  <c r="K10" i="14" s="1"/>
  <c r="P41"/>
  <c r="P53" s="1"/>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9" i="18" l="1"/>
  <c r="M7"/>
  <c r="M9" s="1"/>
  <c r="E5" i="48"/>
  <c r="E22" s="1"/>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49"/>
  <c r="C17" i="19"/>
  <c r="C19" s="1"/>
  <c r="D35" i="14" s="1"/>
  <c r="C20" i="16"/>
  <c r="C22" s="1"/>
  <c r="D39" i="14" s="1"/>
  <c r="C10" i="13"/>
  <c r="C16" i="48" s="1"/>
  <c r="C30" s="1"/>
  <c r="C16" i="22"/>
  <c r="C18" i="15"/>
  <c r="C20" s="1"/>
  <c r="D36" i="14" s="1"/>
  <c r="C10" i="17"/>
  <c r="C12" s="1"/>
  <c r="D48" i="14" s="1"/>
  <c r="C56" i="22"/>
  <c r="C58" s="1"/>
  <c r="D44" i="14" s="1"/>
  <c r="D46" s="1"/>
  <c r="F8" i="48"/>
  <c r="Q8" s="1"/>
  <c r="Q14" s="1"/>
  <c r="J8"/>
  <c r="J25" s="1"/>
  <c r="J31" s="1"/>
  <c r="K13" i="14"/>
  <c r="K15" s="1"/>
  <c r="K23" s="1"/>
  <c r="N25" i="48"/>
  <c r="N14"/>
  <c r="E25"/>
  <c r="E31" s="1"/>
  <c r="E14"/>
  <c r="N31"/>
  <c r="H55" i="14"/>
  <c r="E55"/>
  <c r="C78"/>
  <c r="C81" s="1"/>
  <c r="R19"/>
  <c r="R20" s="1"/>
  <c r="H14" i="48"/>
  <c r="G31"/>
  <c r="H26"/>
  <c r="H31" s="1"/>
  <c r="F55" i="14"/>
  <c r="O53"/>
  <c r="G53"/>
  <c r="G55" s="1"/>
  <c r="O69" s="1"/>
  <c r="B9" i="6" s="1"/>
  <c r="B12" s="1"/>
  <c r="M53" i="14"/>
  <c r="M55" s="1"/>
  <c r="C23" i="48"/>
  <c r="C24"/>
  <c r="C27"/>
  <c r="C28"/>
  <c r="C22"/>
  <c r="C25"/>
  <c r="C29"/>
  <c r="C26"/>
  <c r="K55" i="14"/>
  <c r="R13"/>
  <c r="R15" s="1"/>
  <c r="J14" i="48" l="1"/>
  <c r="F25"/>
  <c r="F31" s="1"/>
  <c r="F14"/>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<sst xmlns="http://schemas.openxmlformats.org/spreadsheetml/2006/main" count="1988" uniqueCount="853">
  <si>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</si>
  <si>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</si>
  <si>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</si>
  <si>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</si>
  <si>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</si>
  <si>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</si>
  <si>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</si>
  <si>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</si>
  <si>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</si>
  <si>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</si>
  <si>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</si>
  <si>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</si>
  <si>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</si>
  <si>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</si>
  <si>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</si>
  <si>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</si>
  <si>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</si>
  <si>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</si>
  <si>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</si>
  <si>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</si>
  <si>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</si>
  <si>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</si>
  <si>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</si>
  <si>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</si>
  <si>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</si>
  <si>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</si>
  <si>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</si>
  <si>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</si>
  <si>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</si>
  <si>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</si>
  <si>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</si>
  <si>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</si>
  <si>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</si>
  <si>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</si>
  <si>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</si>
  <si>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</si>
  <si>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</si>
  <si>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</si>
  <si>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</si>
  <si>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</si>
  <si>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</si>
  <si>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</si>
  <si>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</si>
  <si>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</si>
  <si>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</si>
  <si>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</si>
  <si>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</si>
  <si>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</si>
  <si>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</si>
  <si>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</si>
  <si>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</si>
  <si>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</si>
  <si>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</si>
  <si>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</si>
  <si>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</si>
  <si>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</si>
  <si>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</si>
  <si>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</si>
  <si>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</si>
  <si>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</si>
  <si>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</si>
  <si>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</si>
  <si>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</si>
  <si>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</si>
  <si>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</si>
  <si>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</si>
  <si>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</si>
  <si>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</si>
  <si>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</si>
  <si>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</si>
  <si>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</si>
  <si>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</si>
  <si>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</si>
  <si>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</si>
  <si>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</si>
  <si>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</si>
  <si>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</si>
  <si>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</si>
  <si>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</si>
  <si>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</si>
  <si>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</si>
  <si>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</si>
  <si>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</si>
  <si>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</si>
  <si>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</si>
  <si>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</si>
  <si>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</si>
  <si>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</si>
  <si>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</si>
  <si>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</si>
  <si>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</si>
  <si>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</si>
  <si>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</si>
  <si>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</si>
  <si>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</si>
  <si>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</si>
  <si>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</si>
  <si>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</si>
  <si>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</si>
  <si>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</si>
  <si>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</si>
  <si>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</si>
  <si>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</si>
  <si>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</si>
  <si>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</si>
  <si>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</si>
  <si>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</si>
  <si>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</si>
  <si>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</si>
  <si>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</si>
  <si>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</si>
  <si>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</si>
  <si>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</si>
  <si>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</si>
  <si>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</si>
  <si>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</si>
  <si>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</si>
  <si>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</si>
  <si>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</si>
  <si>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</si>
  <si>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</si>
  <si>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</si>
  <si>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</si>
  <si>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</si>
  <si>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</si>
  <si>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</si>
  <si>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</si>
  <si>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</si>
  <si>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</si>
  <si>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</si>
  <si>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</si>
  <si>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</si>
  <si>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</si>
  <si>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</si>
  <si>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</si>
  <si>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</si>
  <si>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</si>
  <si>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</si>
  <si>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</si>
  <si>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</si>
  <si>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</si>
  <si>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</si>
  <si>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</si>
  <si>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</si>
  <si>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</si>
  <si>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</si>
  <si>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</si>
  <si>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</si>
  <si>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</si>
  <si>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</si>
  <si>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</si>
  <si>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</si>
  <si>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</si>
  <si>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</si>
  <si>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</si>
  <si>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</si>
  <si>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</si>
  <si>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</si>
  <si>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</si>
  <si>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</si>
  <si>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</si>
  <si>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</si>
  <si>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</si>
  <si>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</si>
  <si>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</si>
  <si>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</si>
  <si>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</si>
  <si>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</si>
  <si>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</si>
  <si>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</si>
  <si>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</si>
  <si>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</si>
  <si>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</si>
  <si>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</si>
  <si>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</si>
  <si>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</si>
  <si>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</si>
  <si>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</si>
  <si>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</si>
  <si>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</si>
  <si>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</si>
  <si>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</si>
  <si>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</si>
  <si>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</si>
  <si>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</si>
  <si>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</si>
  <si>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</si>
  <si>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</si>
  <si>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</si>
  <si>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</si>
  <si>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</si>
  <si>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</si>
  <si>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</si>
  <si>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</si>
  <si>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</si>
  <si>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</si>
  <si>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</si>
  <si>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</si>
  <si>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</si>
  <si>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</si>
  <si>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</si>
  <si>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</si>
  <si>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</si>
  <si>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</si>
  <si>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</si>
  <si>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</si>
  <si>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</si>
  <si>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</si>
  <si>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</si>
  <si>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</si>
  <si>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</si>
  <si>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</si>
  <si>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</si>
  <si>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</si>
  <si>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</si>
  <si>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</si>
  <si>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</si>
  <si>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</si>
  <si>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</si>
  <si>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</si>
  <si>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</si>
  <si>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</si>
  <si>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</si>
  <si>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</si>
  <si>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</si>
  <si>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</si>
  <si>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</si>
  <si>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</si>
  <si>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</si>
  <si>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</si>
  <si>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</si>
  <si>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</si>
  <si>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</si>
  <si>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</si>
  <si>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</si>
  <si>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</si>
  <si>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</si>
  <si>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</si>
  <si>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</si>
  <si>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</si>
  <si>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</si>
  <si>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</si>
  <si>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</si>
  <si>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</si>
  <si>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</si>
  <si>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</si>
  <si>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</si>
  <si>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</si>
  <si>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</si>
  <si>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</si>
  <si>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</si>
  <si>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</si>
  <si>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</si>
  <si>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</si>
  <si>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</si>
  <si>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</si>
  <si>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</si>
  <si>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</si>
  <si>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</si>
  <si>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</si>
  <si>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</si>
  <si>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</si>
  <si>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</si>
  <si>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</si>
  <si>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</si>
  <si>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</si>
  <si>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</si>
  <si>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</si>
  <si>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</si>
  <si>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</si>
  <si>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</si>
  <si>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</si>
  <si>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</si>
  <si>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</si>
  <si>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</si>
  <si>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</si>
  <si>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</si>
  <si>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</si>
  <si>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</si>
  <si>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</si>
  <si>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</si>
  <si>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</si>
  <si>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</si>
  <si>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</si>
  <si>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</si>
  <si>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</si>
  <si>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</si>
  <si>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</si>
  <si>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</si>
  <si>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</si>
  <si>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</si>
  <si>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</si>
  <si>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</si>
  <si>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</si>
  <si>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</si>
  <si>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</si>
  <si>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</si>
  <si>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</si>
  <si>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</si>
  <si>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</si>
  <si>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</si>
  <si>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</si>
  <si>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</si>
  <si>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</si>
  <si>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</si>
  <si>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</si>
  <si>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</si>
  <si>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</si>
  <si>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</si>
  <si>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</si>
  <si>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</si>
  <si>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</si>
  <si>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</si>
  <si>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</si>
  <si>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</si>
  <si>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</si>
  <si>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</si>
  <si>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</si>
  <si>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</si>
  <si>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</si>
  <si>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</si>
  <si>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</si>
  <si>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</si>
  <si>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</si>
  <si>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</si>
  <si>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</si>
  <si>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</si>
  <si>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</si>
  <si>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</si>
  <si>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</si>
  <si>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</si>
  <si>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</si>
  <si>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</si>
  <si>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</si>
  <si>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</si>
  <si>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</si>
  <si>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</si>
  <si>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</si>
  <si>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</si>
  <si>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</si>
  <si>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</si>
  <si>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</si>
  <si>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</si>
  <si>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</si>
  <si>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</si>
  <si>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</si>
  <si>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</si>
  <si>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</si>
  <si>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</si>
  <si>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</si>
  <si>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</si>
  <si>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</si>
  <si>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</si>
  <si>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</si>
  <si>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</si>
  <si>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</si>
  <si>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</si>
  <si>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</si>
  <si>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</si>
  <si>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</si>
  <si>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</si>
  <si>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</si>
  <si>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</si>
  <si>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</si>
  <si>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</si>
  <si>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</si>
  <si>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</si>
  <si>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</si>
  <si>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</si>
  <si>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</si>
  <si>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</si>
  <si>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</si>
  <si>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</si>
  <si>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</si>
  <si>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</si>
  <si>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</si>
  <si>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</si>
  <si>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</si>
  <si>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</si>
  <si>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</si>
  <si>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</si>
  <si>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</si>
  <si>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</si>
  <si>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</si>
  <si>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</si>
  <si>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</si>
  <si>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</si>
  <si>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</si>
  <si>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</si>
  <si>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</si>
  <si>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</si>
  <si>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</si>
  <si>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</si>
  <si>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</si>
  <si>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</si>
  <si>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</si>
  <si>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</si>
  <si>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</si>
  <si>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</si>
  <si>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</si>
  <si>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</si>
  <si>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</si>
  <si>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</si>
  <si>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</si>
  <si>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</si>
  <si>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</si>
  <si>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</si>
  <si>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</si>
  <si>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</si>
  <si>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</si>
  <si>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</si>
  <si>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</si>
  <si>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</si>
  <si>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</si>
  <si>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</si>
  <si>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</si>
  <si>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</si>
  <si>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</si>
  <si>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</si>
  <si>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</si>
  <si>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</si>
  <si>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</si>
  <si>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</si>
  <si>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</si>
  <si>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</si>
  <si>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</si>
  <si>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</si>
  <si>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</si>
  <si>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</si>
  <si>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</si>
  <si>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</si>
  <si>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</si>
  <si>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</si>
  <si>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</si>
  <si>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</si>
  <si>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</si>
  <si>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</si>
  <si>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</si>
  <si>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</si>
  <si>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</si>
  <si>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</si>
  <si>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</si>
  <si>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</si>
  <si>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</si>
  <si>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</si>
  <si>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</si>
  <si>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</si>
  <si>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</si>
  <si>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</si>
  <si>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</si>
  <si>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</si>
  <si>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</si>
  <si>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</si>
  <si>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</si>
  <si>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</si>
  <si>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</si>
  <si>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</si>
  <si>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</si>
  <si>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</si>
  <si>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</si>
  <si>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</si>
  <si>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</si>
  <si>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</si>
  <si>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</si>
  <si>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</si>
  <si>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</si>
  <si>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</si>
  <si>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</si>
  <si>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</si>
  <si>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</si>
  <si>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</si>
  <si>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</si>
  <si>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</si>
  <si>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</si>
  <si>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</si>
  <si>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</si>
  <si>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</si>
  <si>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</si>
  <si>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</si>
  <si>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</si>
  <si>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</si>
  <si>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</si>
  <si>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</si>
  <si>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</si>
  <si>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</si>
  <si>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</si>
  <si>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</si>
  <si>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</si>
  <si>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</si>
  <si>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</si>
  <si>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</si>
  <si>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</si>
  <si>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</si>
  <si>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</si>
  <si>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</si>
  <si>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</si>
  <si>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</si>
  <si>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</si>
  <si>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</si>
  <si>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</si>
  <si>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</si>
  <si>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</si>
  <si>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</si>
  <si>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</si>
  <si>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</si>
  <si>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</si>
  <si>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</si>
  <si>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</si>
  <si>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</si>
  <si>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</si>
  <si>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</si>
  <si>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</si>
  <si>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</si>
  <si>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</si>
  <si>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</si>
  <si>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</si>
  <si>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</si>
  <si>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</si>
  <si>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</si>
  <si>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</si>
  <si>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</si>
  <si>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</si>
  <si>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</si>
  <si>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</si>
  <si>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</si>
  <si>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</si>
  <si>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</si>
  <si>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</si>
  <si>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</si>
  <si>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</si>
  <si>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</si>
  <si>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</si>
  <si>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</si>
  <si>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</si>
  <si>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</si>
  <si>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</si>
  <si>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</si>
  <si>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</si>
  <si>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</si>
  <si>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</si>
  <si>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</si>
  <si>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</si>
  <si>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</si>
  <si>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</si>
  <si>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</si>
  <si>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</si>
  <si>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</si>
  <si>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</si>
  <si>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</si>
  <si>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</si>
  <si>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</si>
  <si>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</si>
  <si>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</si>
  <si>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</si>
  <si>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</si>
  <si>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</si>
  <si>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</si>
  <si>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</si>
  <si>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</si>
  <si>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</si>
  <si>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</si>
  <si>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</si>
  <si>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</si>
  <si>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</si>
  <si>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</si>
  <si>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</si>
  <si>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</si>
  <si>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</si>
  <si>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</si>
  <si>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</si>
  <si>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</si>
  <si>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</si>
  <si>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</si>
  <si>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</si>
  <si>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</si>
  <si>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</si>
  <si>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</si>
  <si>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</si>
  <si>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</si>
  <si>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</si>
  <si>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</si>
  <si>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</si>
  <si>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</si>
  <si>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</si>
  <si>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</si>
  <si>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</si>
  <si>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</si>
  <si>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</si>
  <si>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</si>
  <si>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</si>
  <si>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</si>
  <si>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</si>
  <si>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</si>
  <si>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</si>
  <si>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</si>
  <si>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</si>
  <si>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</si>
  <si>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</si>
  <si>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</si>
  <si>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</si>
  <si>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</si>
  <si>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</si>
  <si>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</si>
  <si>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</si>
  <si>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</si>
  <si>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</si>
  <si>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</si>
  <si>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</si>
  <si>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</si>
  <si>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</si>
  <si>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</si>
  <si>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</si>
  <si>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</si>
  <si>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</si>
  <si>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</si>
  <si>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</si>
  <si>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</si>
  <si>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</si>
  <si>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</si>
  <si>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</si>
  <si>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</si>
  <si>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</si>
  <si>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</si>
  <si>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</si>
  <si>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</si>
  <si>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</si>
  <si>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</si>
  <si>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</si>
  <si>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</si>
  <si>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</si>
  <si>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</si>
  <si>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</si>
  <si>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</si>
  <si>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</si>
  <si>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</si>
  <si>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</si>
  <si>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</si>
  <si>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</si>
  <si>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</si>
  <si>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</si>
  <si>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</si>
  <si>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</si>
  <si>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</si>
  <si>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</si>
  <si>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</si>
  <si>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</si>
  <si>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</si>
  <si>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</si>
  <si>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</si>
  <si>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</si>
  <si>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</si>
  <si>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</si>
  <si>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</si>
  <si>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</si>
  <si>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</si>
  <si>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</si>
  <si>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</si>
  <si>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</si>
  <si>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</si>
  <si>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</si>
  <si>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</si>
  <si>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</si>
  <si>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</si>
  <si>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</si>
  <si>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</si>
  <si>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</si>
  <si>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</si>
  <si>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</si>
  <si>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</si>
  <si>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</si>
  <si>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</si>
  <si>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</si>
  <si>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</si>
  <si>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</si>
  <si>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</si>
  <si>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</si>
  <si>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</si>
  <si>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</si>
  <si>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</si>
  <si>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</si>
  <si>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</si>
  <si>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</si>
  <si>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</si>
  <si>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</si>
  <si>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</si>
  <si>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</si>
  <si>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</si>
  <si>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</si>
  <si>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</si>
  <si>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</si>
  <si>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</si>
  <si>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</si>
  <si>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</si>
  <si>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</si>
  <si>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</si>
  <si>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</si>
  <si>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</si>
  <si>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</si>
  <si>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</si>
  <si>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</si>
  <si>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</si>
  <si>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</si>
  <si>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</si>
  <si>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</si>
  <si>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</si>
  <si>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</si>
  <si>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</si>
  <si>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</si>
  <si>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</si>
  <si>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</si>
  <si>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</si>
  <si>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</si>
  <si>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</si>
  <si>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</si>
  <si>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</si>
  <si>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</si>
  <si>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</si>
  <si>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</si>
  <si>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</si>
  <si>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</si>
  <si>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</si>
  <si>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</si>
  <si>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</si>
  <si>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</si>
  <si>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</si>
  <si>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</si>
  <si>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</si>
  <si>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</si>
  <si>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</si>
  <si>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</si>
  <si>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</si>
  <si>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</si>
  <si>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</si>
  <si>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</si>
  <si>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</si>
  <si>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</si>
  <si>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</si>
  <si>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</si>
  <si>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</si>
  <si>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</si>
  <si>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</si>
  <si>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</si>
  <si>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</si>
  <si>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</si>
  <si>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</si>
  <si>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</si>
  <si>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</si>
  <si>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</si>
  <si>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</si>
  <si>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</si>
  <si>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</si>
  <si>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</si>
  <si>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</si>
  <si>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</si>
  <si>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</si>
  <si>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</si>
  <si>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</si>
  <si>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</si>
  <si>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</si>
  <si>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</si>
  <si>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</si>
  <si>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</si>
  <si>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</si>
  <si>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</si>
  <si>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</si>
  <si>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</si>
  <si>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</si>
  <si>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</si>
  <si>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</si>
  <si>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</si>
  <si>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</si>
  <si>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</si>
  <si>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</si>
  <si>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</si>
  <si>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</si>
  <si>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</si>
  <si>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</si>
  <si>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</si>
  <si>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</si>
  <si>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</si>
  <si>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</si>
  <si>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</si>
  <si>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</si>
  <si>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</si>
  <si>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</si>
  <si>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</si>
  <si>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</si>
  <si>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</si>
  <si>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</si>
  <si>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</si>
  <si>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</si>
  <si>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</si>
  <si>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</si>
  <si>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</si>
  <si>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</si>
  <si>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</si>
  <si>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</si>
  <si>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</si>
  <si>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</si>
  <si>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</si>
  <si>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</si>
  <si>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</si>
  <si>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</si>
  <si>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</si>
  <si>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</si>
  <si>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</si>
  <si>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</si>
  <si>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</si>
  <si>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</si>
  <si>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</si>
  <si>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</si>
  <si>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</si>
  <si>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</si>
  <si>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</si>
  <si>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</si>
  <si>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</si>
  <si>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</si>
  <si>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</si>
  <si>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</si>
  <si>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</si>
  <si>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</si>
  <si>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</si>
  <si>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</si>
  <si>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</si>
  <si>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</si>
  <si>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</si>
  <si>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</si>
  <si>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</si>
  <si>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</si>
  <si>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</si>
  <si>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</si>
  <si>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</si>
  <si>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</si>
  <si>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11008</t>
  </si>
  <si>
    <t>BRASSCHAAT</t>
  </si>
  <si>
    <t>Cultuurgrond (ha)</t>
  </si>
  <si>
    <t>Paarden&amp;pony's 200 - 600 kg</t>
  </si>
  <si>
    <t>Paarden&amp;pony's &lt; 200 kg</t>
  </si>
  <si>
    <t>op basis van VEA (maart 2018) en Inventaris Hernieuwbare Energiebronnen (juni 2018)</t>
  </si>
  <si>
    <t>VEA (juni 2018)</t>
  </si>
  <si>
    <t>Eneas nv in faling</t>
  </si>
  <si>
    <t>Rue Des Anglais 7 , 4430 Ans</t>
  </si>
  <si>
    <t>WKK-0248 Eneas Brasschaat</t>
  </si>
  <si>
    <t>interne verbrandingsmotor</t>
  </si>
  <si>
    <t>WKK interne verbrandinsgmotor (gas)</t>
  </si>
  <si>
    <t>Bredabaan 940 , 2930 Brasschaat</t>
  </si>
  <si>
    <t>IMEA</t>
  </si>
  <si>
    <t>Sportoase Elshout nv</t>
  </si>
  <si>
    <t>Elshoutbaan 17, 2930 Brasschaat</t>
  </si>
  <si>
    <t>WKK-0107 Sportoase Elshout</t>
  </si>
  <si>
    <t>AZ Klina</t>
  </si>
  <si>
    <t>Augustijnslei 100, 2930 Brasschaat</t>
  </si>
  <si>
    <t>WKK-0125 AZ Klina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</si>
</sst>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374524.6350913046</c:v>
                </c:pt>
                <c:pt idx="1">
                  <c:v>159342.22990265011</c:v>
                </c:pt>
                <c:pt idx="2">
                  <c:v>1920.386</c:v>
                </c:pt>
                <c:pt idx="3">
                  <c:v>12807.40024777166</c:v>
                </c:pt>
                <c:pt idx="4">
                  <c:v>13738.239318785871</c:v>
                </c:pt>
                <c:pt idx="5">
                  <c:v>170734.47732325003</c:v>
                </c:pt>
                <c:pt idx="6">
                  <c:v>3907.4622268970038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336"/>
        <c:axId val="182412416"/>
      </c:barChart>
      <c:catAx>
        <c:axId val="182398336"/>
        <c:scaling>
          <c:orientation val="minMax"/>
        </c:scaling>
        <c:axPos val="b"/>
        <c:numFmt formatCode="General" sourceLinked="0"/>
        <c:tickLblPos val="nextTo"/>
        <c:crossAx val="182412416"/>
        <c:crosses val="autoZero"/>
        <c:auto val="1"/>
        <c:lblAlgn val="ctr"/>
        <c:lblOffset val="100"/>
      </c:catAx>
      <c:valAx>
        <c:axId val="182412416"/>
        <c:scaling>
          <c:orientation val="minMax"/>
        </c:scaling>
        <c:axPos val="l"/>
        <c:majorGridlines/>
        <c:numFmt formatCode="#,##0" sourceLinked="1"/>
        <c:tickLblPos val="nextTo"/>
        <c:crossAx val="1823983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374524.6350913046</c:v>
                </c:pt>
                <c:pt idx="1">
                  <c:v>159342.22990265011</c:v>
                </c:pt>
                <c:pt idx="2">
                  <c:v>1920.386</c:v>
                </c:pt>
                <c:pt idx="3">
                  <c:v>12807.40024777166</c:v>
                </c:pt>
                <c:pt idx="4">
                  <c:v>13738.239318785871</c:v>
                </c:pt>
                <c:pt idx="5">
                  <c:v>170734.47732325003</c:v>
                </c:pt>
                <c:pt idx="6">
                  <c:v>3907.4622268970038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72128.364862697606</c:v>
                </c:pt>
                <c:pt idx="1">
                  <c:v>32688.13577943452</c:v>
                </c:pt>
                <c:pt idx="2">
                  <c:v>411.68567562713321</c:v>
                </c:pt>
                <c:pt idx="3">
                  <c:v>2608.6841527509819</c:v>
                </c:pt>
                <c:pt idx="4">
                  <c:v>2727.5731960449548</c:v>
                </c:pt>
                <c:pt idx="5">
                  <c:v>43119.345424969259</c:v>
                </c:pt>
                <c:pt idx="6">
                  <c:v>998.87021305397582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3680"/>
        <c:axId val="182513664"/>
      </c:barChart>
      <c:catAx>
        <c:axId val="182503680"/>
        <c:scaling>
          <c:orientation val="minMax"/>
        </c:scaling>
        <c:axPos val="b"/>
        <c:numFmt formatCode="General" sourceLinked="0"/>
        <c:tickLblPos val="nextTo"/>
        <c:crossAx val="182513664"/>
        <c:crosses val="autoZero"/>
        <c:auto val="1"/>
        <c:lblAlgn val="ctr"/>
        <c:lblOffset val="100"/>
      </c:catAx>
      <c:valAx>
        <c:axId val="182513664"/>
        <c:scaling>
          <c:orientation val="minMax"/>
        </c:scaling>
        <c:axPos val="l"/>
        <c:majorGridlines/>
        <c:numFmt formatCode="#,##0" sourceLinked="1"/>
        <c:tickLblPos val="nextTo"/>
        <c:crossAx val="1825036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72128.364862697606</c:v>
                </c:pt>
                <c:pt idx="1">
                  <c:v>32688.13577943452</c:v>
                </c:pt>
                <c:pt idx="2">
                  <c:v>411.68567562713321</c:v>
                </c:pt>
                <c:pt idx="3">
                  <c:v>2608.6841527509819</c:v>
                </c:pt>
                <c:pt idx="4">
                  <c:v>2727.5731960449548</c:v>
                </c:pt>
                <c:pt idx="5">
                  <c:v>43119.345424969259</c:v>
                </c:pt>
                <c:pt idx="6">
                  <c:v>998.87021305397582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11008</v>
      </c>
      <c r="B6" s="398"/>
      <c r="C6" s="399"/>
    </row>
    <row r="7" spans="1:7" s="396" customFormat="1" ht="15.75" customHeight="1">
      <c r="A7" s="400" t="str">
        <f>txtMunicipality</f>
        <v>BRASSCHAAT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15701</v>
      </c>
      <c r="C9" s="338">
        <v>16283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282</v>
      </c>
    </row>
    <row r="15" spans="1:6">
      <c r="A15" s="1212" t="s">
        <v>184</v>
      </c>
      <c r="B15" s="335">
        <v>0</v>
      </c>
    </row>
    <row r="16" spans="1:6">
      <c r="A16" s="1212" t="s">
        <v>6</v>
      </c>
      <c r="B16" s="335">
        <v>2</v>
      </c>
    </row>
    <row r="17" spans="1:6">
      <c r="A17" s="1212" t="s">
        <v>7</v>
      </c>
      <c r="B17" s="335">
        <v>0</v>
      </c>
    </row>
    <row r="18" spans="1:6">
      <c r="A18" s="1212" t="s">
        <v>8</v>
      </c>
      <c r="B18" s="335">
        <v>2</v>
      </c>
    </row>
    <row r="19" spans="1:6">
      <c r="A19" s="1212" t="s">
        <v>9</v>
      </c>
      <c r="B19" s="335">
        <v>1</v>
      </c>
    </row>
    <row r="20" spans="1:6">
      <c r="A20" s="1212" t="s">
        <v>10</v>
      </c>
      <c r="B20" s="335">
        <v>1</v>
      </c>
    </row>
    <row r="21" spans="1:6">
      <c r="A21" s="1212" t="s">
        <v>11</v>
      </c>
      <c r="B21" s="335">
        <v>0</v>
      </c>
    </row>
    <row r="22" spans="1:6">
      <c r="A22" s="1212" t="s">
        <v>12</v>
      </c>
      <c r="B22" s="335">
        <v>2</v>
      </c>
    </row>
    <row r="23" spans="1:6">
      <c r="A23" s="1212" t="s">
        <v>13</v>
      </c>
      <c r="B23" s="335">
        <v>0</v>
      </c>
    </row>
    <row r="24" spans="1:6">
      <c r="A24" s="1212" t="s">
        <v>14</v>
      </c>
      <c r="B24" s="335">
        <v>0</v>
      </c>
    </row>
    <row r="25" spans="1:6">
      <c r="A25" s="1212" t="s">
        <v>15</v>
      </c>
      <c r="B25" s="335">
        <v>1</v>
      </c>
    </row>
    <row r="26" spans="1:6">
      <c r="A26" s="1212" t="s">
        <v>16</v>
      </c>
      <c r="B26" s="335">
        <v>24</v>
      </c>
    </row>
    <row r="27" spans="1:6">
      <c r="A27" s="1212" t="s">
        <v>17</v>
      </c>
      <c r="B27" s="335">
        <v>11</v>
      </c>
    </row>
    <row r="28" spans="1:6" s="341" customFormat="1">
      <c r="A28" s="1213" t="s">
        <v>18</v>
      </c>
      <c r="B28" s="1213">
        <v>20</v>
      </c>
    </row>
    <row r="29" spans="1:6">
      <c r="A29" s="1213" t="s">
        <v>836</v>
      </c>
      <c r="B29" s="1213">
        <v>74</v>
      </c>
      <c r="C29" s="341"/>
      <c r="D29" s="341"/>
      <c r="E29" s="341"/>
      <c r="F29" s="341"/>
    </row>
    <row r="30" spans="1:6">
      <c r="A30" s="1208" t="s">
        <v>837</v>
      </c>
      <c r="B30" s="1208">
        <v>31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4</v>
      </c>
      <c r="D36" s="335">
        <v>63387.234628316</v>
      </c>
      <c r="E36" s="335">
        <v>6</v>
      </c>
      <c r="F36" s="335">
        <v>13247.0217675326</v>
      </c>
    </row>
    <row r="37" spans="1:6">
      <c r="A37" s="1212" t="s">
        <v>25</v>
      </c>
      <c r="B37" s="1212" t="s">
        <v>28</v>
      </c>
      <c r="C37" s="335">
        <v>0</v>
      </c>
      <c r="D37" s="335">
        <v>0</v>
      </c>
      <c r="E37" s="335">
        <v>0</v>
      </c>
      <c r="F37" s="335">
        <v>0</v>
      </c>
    </row>
    <row r="38" spans="1:6">
      <c r="A38" s="1212" t="s">
        <v>25</v>
      </c>
      <c r="B38" s="1212" t="s">
        <v>29</v>
      </c>
      <c r="C38" s="335">
        <v>0</v>
      </c>
      <c r="D38" s="335">
        <v>0</v>
      </c>
      <c r="E38" s="335">
        <v>3</v>
      </c>
      <c r="F38" s="335">
        <v>42073</v>
      </c>
    </row>
    <row r="39" spans="1:6">
      <c r="A39" s="1212" t="s">
        <v>30</v>
      </c>
      <c r="B39" s="1212" t="s">
        <v>31</v>
      </c>
      <c r="C39" s="335">
        <v>13180</v>
      </c>
      <c r="D39" s="335">
        <v>306555824.606498</v>
      </c>
      <c r="E39" s="335">
        <v>15661</v>
      </c>
      <c r="F39" s="335">
        <v>70926423.275961593</v>
      </c>
    </row>
    <row r="40" spans="1:6">
      <c r="A40" s="1212" t="s">
        <v>30</v>
      </c>
      <c r="B40" s="1212" t="s">
        <v>29</v>
      </c>
      <c r="C40" s="335">
        <v>1</v>
      </c>
      <c r="D40" s="335">
        <v>340832.70239369298</v>
      </c>
      <c r="E40" s="335">
        <v>1</v>
      </c>
      <c r="F40" s="335">
        <v>44773</v>
      </c>
    </row>
    <row r="41" spans="1:6">
      <c r="A41" s="1212" t="s">
        <v>32</v>
      </c>
      <c r="B41" s="1212" t="s">
        <v>33</v>
      </c>
      <c r="C41" s="335">
        <v>120</v>
      </c>
      <c r="D41" s="335">
        <v>3434794.1238528402</v>
      </c>
      <c r="E41" s="335">
        <v>230</v>
      </c>
      <c r="F41" s="335">
        <v>1900926.8325836901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141689.99871769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6</v>
      </c>
      <c r="D47" s="335">
        <v>240588.13563236099</v>
      </c>
      <c r="E47" s="335">
        <v>8</v>
      </c>
      <c r="F47" s="335">
        <v>292761.987513792</v>
      </c>
    </row>
    <row r="48" spans="1:6">
      <c r="A48" s="1212" t="s">
        <v>32</v>
      </c>
      <c r="B48" s="1212" t="s">
        <v>29</v>
      </c>
      <c r="C48" s="335">
        <v>19</v>
      </c>
      <c r="D48" s="335">
        <v>809906.65968698403</v>
      </c>
      <c r="E48" s="335">
        <v>27</v>
      </c>
      <c r="F48" s="335">
        <v>411306.00698787702</v>
      </c>
    </row>
    <row r="49" spans="1:6">
      <c r="A49" s="1212" t="s">
        <v>32</v>
      </c>
      <c r="B49" s="1212" t="s">
        <v>40</v>
      </c>
      <c r="C49" s="335">
        <v>0</v>
      </c>
      <c r="D49" s="335">
        <v>0</v>
      </c>
      <c r="E49" s="335">
        <v>0</v>
      </c>
      <c r="F49" s="335">
        <v>0</v>
      </c>
    </row>
    <row r="50" spans="1:6">
      <c r="A50" s="1212" t="s">
        <v>32</v>
      </c>
      <c r="B50" s="1212" t="s">
        <v>41</v>
      </c>
      <c r="C50" s="335">
        <v>9</v>
      </c>
      <c r="D50" s="335">
        <v>1404805.30247501</v>
      </c>
      <c r="E50" s="335">
        <v>11</v>
      </c>
      <c r="F50" s="335">
        <v>910507.953313448</v>
      </c>
    </row>
    <row r="51" spans="1:6">
      <c r="A51" s="1212" t="s">
        <v>42</v>
      </c>
      <c r="B51" s="1212" t="s">
        <v>43</v>
      </c>
      <c r="C51" s="335">
        <v>4</v>
      </c>
      <c r="D51" s="335">
        <v>219946.92591404999</v>
      </c>
      <c r="E51" s="335">
        <v>3</v>
      </c>
      <c r="F51" s="335">
        <v>27241.6657621669</v>
      </c>
    </row>
    <row r="52" spans="1:6">
      <c r="A52" s="1212" t="s">
        <v>42</v>
      </c>
      <c r="B52" s="1212" t="s">
        <v>29</v>
      </c>
      <c r="C52" s="335">
        <v>3</v>
      </c>
      <c r="D52" s="335">
        <v>91506.088284342797</v>
      </c>
      <c r="E52" s="335">
        <v>8</v>
      </c>
      <c r="F52" s="335">
        <v>55852.627608208299</v>
      </c>
    </row>
    <row r="53" spans="1:6">
      <c r="A53" s="1212" t="s">
        <v>44</v>
      </c>
      <c r="B53" s="1212" t="s">
        <v>45</v>
      </c>
      <c r="C53" s="335">
        <v>357</v>
      </c>
      <c r="D53" s="335">
        <v>13462456.402237499</v>
      </c>
      <c r="E53" s="335">
        <v>620</v>
      </c>
      <c r="F53" s="335">
        <v>5222650.7371442895</v>
      </c>
    </row>
    <row r="54" spans="1:6">
      <c r="A54" s="1212" t="s">
        <v>46</v>
      </c>
      <c r="B54" s="1212" t="s">
        <v>47</v>
      </c>
      <c r="C54" s="335">
        <v>0</v>
      </c>
      <c r="D54" s="335">
        <v>0</v>
      </c>
      <c r="E54" s="335">
        <v>1</v>
      </c>
      <c r="F54" s="335">
        <v>1920386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105</v>
      </c>
      <c r="D57" s="335">
        <v>8224671.9274639999</v>
      </c>
      <c r="E57" s="335">
        <v>134</v>
      </c>
      <c r="F57" s="335">
        <v>5345573.2945892001</v>
      </c>
    </row>
    <row r="58" spans="1:6">
      <c r="A58" s="1212" t="s">
        <v>49</v>
      </c>
      <c r="B58" s="1212" t="s">
        <v>51</v>
      </c>
      <c r="C58" s="335">
        <v>100</v>
      </c>
      <c r="D58" s="335">
        <v>16459834.625992101</v>
      </c>
      <c r="E58" s="335">
        <v>112</v>
      </c>
      <c r="F58" s="335">
        <v>8249528.9671854498</v>
      </c>
    </row>
    <row r="59" spans="1:6">
      <c r="A59" s="1212" t="s">
        <v>49</v>
      </c>
      <c r="B59" s="1212" t="s">
        <v>52</v>
      </c>
      <c r="C59" s="335">
        <v>321</v>
      </c>
      <c r="D59" s="335">
        <v>11981389.8557937</v>
      </c>
      <c r="E59" s="335">
        <v>478</v>
      </c>
      <c r="F59" s="335">
        <v>11690638.8692923</v>
      </c>
    </row>
    <row r="60" spans="1:6">
      <c r="A60" s="1212" t="s">
        <v>49</v>
      </c>
      <c r="B60" s="1212" t="s">
        <v>53</v>
      </c>
      <c r="C60" s="335">
        <v>117</v>
      </c>
      <c r="D60" s="335">
        <v>10399188.031297101</v>
      </c>
      <c r="E60" s="335">
        <v>132</v>
      </c>
      <c r="F60" s="335">
        <v>4729669.4596207896</v>
      </c>
    </row>
    <row r="61" spans="1:6">
      <c r="A61" s="1212" t="s">
        <v>49</v>
      </c>
      <c r="B61" s="1212" t="s">
        <v>54</v>
      </c>
      <c r="C61" s="335">
        <v>577</v>
      </c>
      <c r="D61" s="335">
        <v>40940011.611443602</v>
      </c>
      <c r="E61" s="335">
        <v>1025</v>
      </c>
      <c r="F61" s="335">
        <v>14978337.409645399</v>
      </c>
    </row>
    <row r="62" spans="1:6">
      <c r="A62" s="1212" t="s">
        <v>49</v>
      </c>
      <c r="B62" s="1212" t="s">
        <v>55</v>
      </c>
      <c r="C62" s="335">
        <v>45</v>
      </c>
      <c r="D62" s="335">
        <v>9904658.8639438301</v>
      </c>
      <c r="E62" s="335">
        <v>60</v>
      </c>
      <c r="F62" s="335">
        <v>2383927.3800556702</v>
      </c>
    </row>
    <row r="63" spans="1:6">
      <c r="A63" s="1212" t="s">
        <v>49</v>
      </c>
      <c r="B63" s="1212" t="s">
        <v>29</v>
      </c>
      <c r="C63" s="335">
        <v>71</v>
      </c>
      <c r="D63" s="335">
        <v>6239681.5068956995</v>
      </c>
      <c r="E63" s="335">
        <v>87</v>
      </c>
      <c r="F63" s="335">
        <v>3423936.2001524102</v>
      </c>
    </row>
    <row r="64" spans="1:6">
      <c r="A64" s="1212" t="s">
        <v>56</v>
      </c>
      <c r="B64" s="1212" t="s">
        <v>57</v>
      </c>
      <c r="C64" s="335">
        <v>0</v>
      </c>
      <c r="D64" s="335">
        <v>0</v>
      </c>
      <c r="E64" s="335">
        <v>0</v>
      </c>
      <c r="F64" s="335">
        <v>0</v>
      </c>
    </row>
    <row r="65" spans="1:6">
      <c r="A65" s="1212" t="s">
        <v>56</v>
      </c>
      <c r="B65" s="1212" t="s">
        <v>29</v>
      </c>
      <c r="C65" s="335">
        <v>7</v>
      </c>
      <c r="D65" s="335">
        <v>334978.70190609799</v>
      </c>
      <c r="E65" s="335">
        <v>8</v>
      </c>
      <c r="F65" s="335">
        <v>93546.225545998503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114597.07478431299</v>
      </c>
      <c r="E68" s="335">
        <v>5</v>
      </c>
      <c r="F68" s="335">
        <v>22282.4515879965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117999462</v>
      </c>
      <c r="E73" s="335">
        <v>122298184.24843355</v>
      </c>
    </row>
    <row r="74" spans="1:6">
      <c r="A74" s="1212" t="s">
        <v>64</v>
      </c>
      <c r="B74" s="1212" t="s">
        <v>727</v>
      </c>
      <c r="C74" s="1212" t="s">
        <v>728</v>
      </c>
      <c r="D74" s="335">
        <v>6393723.5378375389</v>
      </c>
      <c r="E74" s="335">
        <v>6517470.5959552173</v>
      </c>
    </row>
    <row r="75" spans="1:6">
      <c r="A75" s="1212" t="s">
        <v>65</v>
      </c>
      <c r="B75" s="1212" t="s">
        <v>725</v>
      </c>
      <c r="C75" s="1212" t="s">
        <v>729</v>
      </c>
      <c r="D75" s="335">
        <v>51390673</v>
      </c>
      <c r="E75" s="335">
        <v>53057427.213247828</v>
      </c>
    </row>
    <row r="76" spans="1:6">
      <c r="A76" s="1212" t="s">
        <v>65</v>
      </c>
      <c r="B76" s="1212" t="s">
        <v>727</v>
      </c>
      <c r="C76" s="1212" t="s">
        <v>730</v>
      </c>
      <c r="D76" s="335">
        <v>375181.53783753916</v>
      </c>
      <c r="E76" s="335">
        <v>384315.24671207275</v>
      </c>
    </row>
    <row r="77" spans="1:6">
      <c r="A77" s="1212" t="s">
        <v>66</v>
      </c>
      <c r="B77" s="1212" t="s">
        <v>725</v>
      </c>
      <c r="C77" s="1212" t="s">
        <v>731</v>
      </c>
      <c r="D77" s="335">
        <v>26814277</v>
      </c>
      <c r="E77" s="335">
        <v>32971801.748251613</v>
      </c>
    </row>
    <row r="78" spans="1:6">
      <c r="A78" s="1208" t="s">
        <v>66</v>
      </c>
      <c r="B78" s="1208" t="s">
        <v>727</v>
      </c>
      <c r="C78" s="1208" t="s">
        <v>732</v>
      </c>
      <c r="D78" s="1208">
        <v>6850025</v>
      </c>
      <c r="E78" s="1208">
        <v>7152372.8482860355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1032304.9243249217</v>
      </c>
      <c r="C83" s="335">
        <v>1019850.0589398553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2910.4476682378231</v>
      </c>
    </row>
    <row r="92" spans="1:6">
      <c r="A92" s="1208" t="s">
        <v>69</v>
      </c>
      <c r="B92" s="338">
        <v>1118.9243791035692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10619</v>
      </c>
    </row>
    <row r="98" spans="1:6">
      <c r="A98" s="1212" t="s">
        <v>72</v>
      </c>
      <c r="B98" s="335">
        <v>10</v>
      </c>
    </row>
    <row r="99" spans="1:6">
      <c r="A99" s="1212" t="s">
        <v>73</v>
      </c>
      <c r="B99" s="335">
        <v>37</v>
      </c>
    </row>
    <row r="100" spans="1:6">
      <c r="A100" s="1212" t="s">
        <v>74</v>
      </c>
      <c r="B100" s="335">
        <v>1008</v>
      </c>
    </row>
    <row r="101" spans="1:6">
      <c r="A101" s="1212" t="s">
        <v>75</v>
      </c>
      <c r="B101" s="335">
        <v>130</v>
      </c>
    </row>
    <row r="102" spans="1:6">
      <c r="A102" s="1212" t="s">
        <v>76</v>
      </c>
      <c r="B102" s="335">
        <v>172</v>
      </c>
    </row>
    <row r="103" spans="1:6">
      <c r="A103" s="1212" t="s">
        <v>77</v>
      </c>
      <c r="B103" s="335">
        <v>162</v>
      </c>
    </row>
    <row r="104" spans="1:6">
      <c r="A104" s="1212" t="s">
        <v>78</v>
      </c>
      <c r="B104" s="335">
        <v>2355</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12</v>
      </c>
      <c r="C123" s="335">
        <v>12</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98</v>
      </c>
    </row>
    <row r="130" spans="1:6">
      <c r="A130" s="1212" t="s">
        <v>295</v>
      </c>
      <c r="B130" s="335">
        <v>1</v>
      </c>
    </row>
    <row r="131" spans="1:6">
      <c r="A131" s="1212" t="s">
        <v>296</v>
      </c>
      <c r="B131" s="335">
        <v>2</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131518.79213234407</v>
      </c>
      <c r="C3" s="43" t="s">
        <v>170</v>
      </c>
      <c r="D3" s="43"/>
      <c r="E3" s="156"/>
      <c r="F3" s="43"/>
      <c r="G3" s="43"/>
      <c r="H3" s="43"/>
      <c r="I3" s="43"/>
      <c r="J3" s="43"/>
      <c r="K3" s="96"/>
    </row>
    <row r="4" spans="1:11">
      <c r="A4" s="366" t="s">
        <v>171</v>
      </c>
      <c r="B4" s="49">
        <f>IF(ISERROR('SEAP template'!B69),0,'SEAP template'!B69)</f>
        <v>5193.522047341392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276.65682352941184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0.21437652410876418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395.2240336134455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1663.0714285714289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1920.386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1920.386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0.21437652410876418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411.68567562713321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70971.1962759616</v>
      </c>
      <c r="C5" s="17">
        <f>IF(ISERROR('Eigen informatie GS &amp; warmtenet'!B57),0,'Eigen informatie GS &amp; warmtenet'!B57)</f>
        <v>0</v>
      </c>
      <c r="D5" s="30">
        <f>(SUM(HH_hh_gas_kWh,HH_rest_gas_kWh)/1000)*0.902</f>
        <v>276820.78489262034</v>
      </c>
      <c r="E5" s="17">
        <f>B46*B57</f>
        <v>1639.1025999537321</v>
      </c>
      <c r="F5" s="17">
        <f>B51*B62</f>
        <v>0</v>
      </c>
      <c r="G5" s="18"/>
      <c r="H5" s="17"/>
      <c r="I5" s="17"/>
      <c r="J5" s="17">
        <f>B50*B61+C50*C61</f>
        <v>0</v>
      </c>
      <c r="K5" s="17"/>
      <c r="L5" s="17"/>
      <c r="M5" s="17"/>
      <c r="N5" s="17">
        <f>B48*B59+C48*C59</f>
        <v>21590.106987864427</v>
      </c>
      <c r="O5" s="17">
        <f>B69*B70*B71</f>
        <v>173.53000000000003</v>
      </c>
      <c r="P5" s="17">
        <f>B77*B78*B79/1000-B77*B78*B79/1000/B80</f>
        <v>419.4666666666667</v>
      </c>
    </row>
    <row r="6" spans="1:16">
      <c r="A6" s="16" t="s">
        <v>634</v>
      </c>
      <c r="B6" s="831">
        <f>kWh_PV_kleiner_dan_10kW</f>
        <v>2910.4476682378231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73881.64394419943</v>
      </c>
      <c r="C8" s="21">
        <f>C5</f>
        <v>0</v>
      </c>
      <c r="D8" s="21">
        <f>D5</f>
        <v>276820.78489262034</v>
      </c>
      <c r="E8" s="21">
        <f>E5</f>
        <v>1639.1025999537321</v>
      </c>
      <c r="F8" s="21">
        <f>F5</f>
        <v>0</v>
      </c>
      <c r="G8" s="21"/>
      <c r="H8" s="21"/>
      <c r="I8" s="21"/>
      <c r="J8" s="21">
        <f>J5</f>
        <v>0</v>
      </c>
      <c r="K8" s="21"/>
      <c r="L8" s="21">
        <f>L5</f>
        <v>0</v>
      </c>
      <c r="M8" s="21">
        <f>M5</f>
        <v>0</v>
      </c>
      <c r="N8" s="21">
        <f>N5</f>
        <v>21590.106987864427</v>
      </c>
      <c r="O8" s="21">
        <f>O5</f>
        <v>173.53000000000003</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0.21437652410876418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15838.4900241988</v>
      </c>
      <c r="C12" s="23">
        <f ca="1">C10*C8</f>
        <v>0</v>
      </c>
      <c r="D12" s="23">
        <f>D8*D10</f>
        <v>55917.798548309314</v>
      </c>
      <c r="E12" s="23">
        <f>E10*E8</f>
        <v>372.07629018949723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10619</v>
      </c>
      <c r="C18" s="168" t="s">
        <v>111</v>
      </c>
      <c r="D18" s="230"/>
      <c r="E18" s="15"/>
    </row>
    <row r="19" spans="1:7">
      <c r="A19" s="173" t="s">
        <v>72</v>
      </c>
      <c r="B19" s="37">
        <f>aantalw2001_ander</f>
        <v>10</v>
      </c>
      <c r="C19" s="168" t="s">
        <v>111</v>
      </c>
      <c r="D19" s="231"/>
      <c r="E19" s="15"/>
    </row>
    <row r="20" spans="1:7">
      <c r="A20" s="173" t="s">
        <v>73</v>
      </c>
      <c r="B20" s="37">
        <f>aantalw2001_propaan</f>
        <v>37</v>
      </c>
      <c r="C20" s="169">
        <f>IF(ISERROR(B20/SUM($B$20,$B$21,$B$22)*100),0,B20/SUM($B$20,$B$21,$B$22)*100)</f>
        <v>3.1489361702127661</v>
      </c>
      <c r="D20" s="231"/>
      <c r="E20" s="15"/>
    </row>
    <row r="21" spans="1:7">
      <c r="A21" s="173" t="s">
        <v>74</v>
      </c>
      <c r="B21" s="37">
        <f>aantalw2001_elektriciteit</f>
        <v>1008</v>
      </c>
      <c r="C21" s="169">
        <f>IF(ISERROR(B21/SUM($B$20,$B$21,$B$22)*100),0,B21/SUM($B$20,$B$21,$B$22)*100)</f>
        <v>85.787234042553195</v>
      </c>
      <c r="D21" s="231"/>
      <c r="E21" s="15"/>
    </row>
    <row r="22" spans="1:7">
      <c r="A22" s="173" t="s">
        <v>75</v>
      </c>
      <c r="B22" s="37">
        <f>aantalw2001_hout</f>
        <v>130</v>
      </c>
      <c r="C22" s="169">
        <f>IF(ISERROR(B22/SUM($B$20,$B$21,$B$22)*100),0,B22/SUM($B$20,$B$21,$B$22)*100)</f>
        <v>11.063829787234042</v>
      </c>
      <c r="D22" s="231"/>
      <c r="E22" s="15"/>
    </row>
    <row r="23" spans="1:7">
      <c r="A23" s="173" t="s">
        <v>76</v>
      </c>
      <c r="B23" s="37">
        <f>aantalw2001_niet_gespec</f>
        <v>172</v>
      </c>
      <c r="C23" s="168" t="s">
        <v>111</v>
      </c>
      <c r="D23" s="230"/>
      <c r="E23" s="15"/>
    </row>
    <row r="24" spans="1:7">
      <c r="A24" s="173" t="s">
        <v>77</v>
      </c>
      <c r="B24" s="37">
        <f>aantalw2001_steenkool</f>
        <v>162</v>
      </c>
      <c r="C24" s="168" t="s">
        <v>111</v>
      </c>
      <c r="D24" s="231"/>
      <c r="E24" s="15"/>
    </row>
    <row r="25" spans="1:7">
      <c r="A25" s="173" t="s">
        <v>78</v>
      </c>
      <c r="B25" s="37">
        <f>aantalw2001_stookolie</f>
        <v>2355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15701</v>
      </c>
      <c r="C28" s="36"/>
      <c r="D28" s="230"/>
    </row>
    <row r="29" spans="1:7" s="15" customFormat="1">
      <c r="A29" s="232" t="s">
        <v>746</v>
      </c>
      <c r="B29" s="37">
        <f>SUM(HH_hh_gas_aantal,HH_rest_gas_aantal)</f>
        <v>13181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13181</v>
      </c>
      <c r="C32" s="169">
        <f>IF(ISERROR(B32/SUM($B$32,$B$34,$B$35,$B$36,$B$38,$B$39)*100),0,B32/SUM($B$32,$B$34,$B$35,$B$36,$B$38,$B$39)*100)</f>
        <v>84.067861470757066</v>
      </c>
      <c r="D32" s="235"/>
      <c r="G32" s="15"/>
    </row>
    <row r="33" spans="1:7">
      <c r="A33" s="173" t="s">
        <v>72</v>
      </c>
      <c r="B33" s="34" t="s">
        <v>111</v>
      </c>
      <c r="C33" s="169"/>
      <c r="D33" s="235"/>
      <c r="G33" s="15"/>
    </row>
    <row r="34" spans="1:7">
      <c r="A34" s="173" t="s">
        <v>73</v>
      </c>
      <c r="B34" s="33">
        <f>IF((($B$28-$B$32-$B$39-$B$77-$B$38)*C20/100)&lt;0,0,($B$28-$B$32-$B$39-$B$77-$B$38)*C20/100)</f>
        <v>78.660425531914896</v>
      </c>
      <c r="C34" s="169">
        <f>IF(ISERROR(B34/SUM($B$32,$B$34,$B$35,$B$36,$B$38,$B$39)*100),0,B34/SUM($B$32,$B$34,$B$35,$B$36,$B$38,$B$39)*100)</f>
        <v>0.50169287283573505</v>
      </c>
      <c r="D34" s="235"/>
      <c r="G34" s="15"/>
    </row>
    <row r="35" spans="1:7">
      <c r="A35" s="173" t="s">
        <v>74</v>
      </c>
      <c r="B35" s="33">
        <f>IF((($B$28-$B$32-$B$39-$B$77-$B$38)*C21/100)&lt;0,0,($B$28-$B$32-$B$39-$B$77-$B$38)*C21/100)</f>
        <v>2142.9651063829788</v>
      </c>
      <c r="C35" s="169">
        <f>IF(ISERROR(B35/SUM($B$32,$B$34,$B$35,$B$36,$B$38,$B$39)*100),0,B35/SUM($B$32,$B$34,$B$35,$B$36,$B$38,$B$39)*100)</f>
        <v>13.667740968065431</v>
      </c>
      <c r="D35" s="235"/>
      <c r="G35" s="15"/>
    </row>
    <row r="36" spans="1:7">
      <c r="A36" s="173" t="s">
        <v>75</v>
      </c>
      <c r="B36" s="33">
        <f>IF((($B$28-$B$32-$B$39-$B$77-$B$38)*C22/100)&lt;0,0,($B$28-$B$32-$B$39-$B$77-$B$38)*C22/100)</f>
        <v>276.37446808510634</v>
      </c>
      <c r="C36" s="169">
        <f>IF(ISERROR(B36/SUM($B$32,$B$34,$B$35,$B$36,$B$38,$B$39)*100),0,B36/SUM($B$32,$B$34,$B$35,$B$36,$B$38,$B$39)*100)</f>
        <v>1.7627046883417714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13181</v>
      </c>
      <c r="C44" s="34" t="s">
        <v>111</v>
      </c>
      <c r="D44" s="176"/>
    </row>
    <row r="45" spans="1:7">
      <c r="A45" s="173" t="s">
        <v>72</v>
      </c>
      <c r="B45" s="33" t="str">
        <f t="shared" si="0"/>
        <v>-</v>
      </c>
      <c r="C45" s="34" t="s">
        <v>111</v>
      </c>
      <c r="D45" s="176"/>
    </row>
    <row r="46" spans="1:7">
      <c r="A46" s="173" t="s">
        <v>73</v>
      </c>
      <c r="B46" s="33">
        <f t="shared" si="0"/>
        <v>78.660425531914896</v>
      </c>
      <c r="C46" s="34" t="s">
        <v>111</v>
      </c>
      <c r="D46" s="176"/>
    </row>
    <row r="47" spans="1:7">
      <c r="A47" s="173" t="s">
        <v>74</v>
      </c>
      <c r="B47" s="33">
        <f t="shared" si="0"/>
        <v>2142.9651063829788</v>
      </c>
      <c r="C47" s="34" t="s">
        <v>111</v>
      </c>
      <c r="D47" s="176"/>
    </row>
    <row r="48" spans="1:7">
      <c r="A48" s="173" t="s">
        <v>75</v>
      </c>
      <c r="B48" s="33">
        <f t="shared" si="0"/>
        <v>276.37446808510634</v>
      </c>
      <c r="C48" s="33">
        <f>B48*10</f>
        <v>2763.7446808510635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50801.611580541219</v>
      </c>
      <c r="C5" s="17">
        <f>IF(ISERROR('Eigen informatie GS &amp; warmtenet'!B58),0,'Eigen informatie GS &amp; warmtenet'!B58)</f>
        <v>0</v>
      </c>
      <c r="D5" s="30">
        <f>SUM(D6:D12)</f>
        <v>93942.791653392691</v>
      </c>
      <c r="E5" s="17">
        <f>SUM(E6:E12)</f>
        <v>570.25748926146525</v>
      </c>
      <c r="F5" s="17">
        <f>SUM(F6:F12)</f>
        <v>10135.696413847107</v>
      </c>
      <c r="G5" s="18"/>
      <c r="H5" s="17"/>
      <c r="I5" s="17"/>
      <c r="J5" s="17">
        <f>SUM(J6:J12)</f>
        <v>0</v>
      </c>
      <c r="K5" s="17"/>
      <c r="L5" s="17"/>
      <c r="M5" s="17"/>
      <c r="N5" s="17">
        <f>SUM(N6:N12)</f>
        <v>4122.176098940984</v>
      </c>
      <c r="O5" s="17">
        <f>B38*B39*B40</f>
        <v>1.5633333333333335</v>
      </c>
      <c r="P5" s="17">
        <f>B46*B47*B48/1000-B46*B47*B48/1000/B49</f>
        <v>38.133333333333333</v>
      </c>
      <c r="R5" s="32"/>
    </row>
    <row r="6" spans="1:18">
      <c r="A6" s="32" t="s">
        <v>54</v>
      </c>
      <c r="B6" s="37">
        <f>B26</f>
        <v>14978.337409645399</v>
      </c>
      <c r="C6" s="33"/>
      <c r="D6" s="37">
        <f>IF(ISERROR(TER_kantoor_gas_kWh/1000),0,TER_kantoor_gas_kWh/1000)*0.902</f>
        <v>36927.890473522129</v>
      </c>
      <c r="E6" s="33">
        <f>$C$26*'E Balans VL '!I12/100/3.6*1000000</f>
        <v>58.194011935265571</v>
      </c>
      <c r="F6" s="33">
        <f>$C$26*('E Balans VL '!L12+'E Balans VL '!N12)/100/3.6*1000000</f>
        <v>2278.0688280027789</v>
      </c>
      <c r="G6" s="34"/>
      <c r="H6" s="33"/>
      <c r="I6" s="33"/>
      <c r="J6" s="33">
        <f>$C$26*('E Balans VL '!D12+'E Balans VL '!E12)/100/3.6*1000000</f>
        <v>0</v>
      </c>
      <c r="K6" s="33"/>
      <c r="L6" s="33"/>
      <c r="M6" s="33"/>
      <c r="N6" s="33">
        <f>$C$26*'E Balans VL '!Y12/100/3.6*1000000</f>
        <v>8.2548582733466738</v>
      </c>
      <c r="O6" s="33"/>
      <c r="P6" s="33"/>
      <c r="R6" s="32"/>
    </row>
    <row r="7" spans="1:18">
      <c r="A7" s="32" t="s">
        <v>53</v>
      </c>
      <c r="B7" s="37">
        <f t="shared" ref="B7:B12" si="0">B27</f>
        <v>4729.6694596207899</v>
      </c>
      <c r="C7" s="33"/>
      <c r="D7" s="37">
        <f>IF(ISERROR(TER_horeca_gas_kWh/1000),0,TER_horeca_gas_kWh/1000)*0.902</f>
        <v>9380.0676042299856</v>
      </c>
      <c r="E7" s="33">
        <f>$C$27*'E Balans VL '!I9/100/3.6*1000000</f>
        <v>266.42354516454634</v>
      </c>
      <c r="F7" s="33">
        <f>$C$27*('E Balans VL '!L9+'E Balans VL '!N9)/100/3.6*1000000</f>
        <v>1363.7535126245057</v>
      </c>
      <c r="G7" s="34"/>
      <c r="H7" s="33"/>
      <c r="I7" s="33"/>
      <c r="J7" s="33">
        <f>$C$27*('E Balans VL '!D9+'E Balans VL '!E9)/100/3.6*1000000</f>
        <v>0</v>
      </c>
      <c r="K7" s="33"/>
      <c r="L7" s="33"/>
      <c r="M7" s="33"/>
      <c r="N7" s="33">
        <f>$C$27*'E Balans VL '!Y9/100/3.6*1000000</f>
        <v>1.3058371601263496</v>
      </c>
      <c r="O7" s="33"/>
      <c r="P7" s="33"/>
      <c r="R7" s="32"/>
    </row>
    <row r="8" spans="1:18">
      <c r="A8" s="6" t="s">
        <v>52</v>
      </c>
      <c r="B8" s="37">
        <f t="shared" si="0"/>
        <v>11690.638869292301</v>
      </c>
      <c r="C8" s="33"/>
      <c r="D8" s="37">
        <f>IF(ISERROR(TER_handel_gas_kWh/1000),0,TER_handel_gas_kWh/1000)*0.902</f>
        <v>10807.213649925918</v>
      </c>
      <c r="E8" s="33">
        <f>$C$28*'E Balans VL '!I13/100/3.6*1000000</f>
        <v>168.50176849874225</v>
      </c>
      <c r="F8" s="33">
        <f>$C$28*('E Balans VL '!L13+'E Balans VL '!N13)/100/3.6*1000000</f>
        <v>2030.936228203775</v>
      </c>
      <c r="G8" s="34"/>
      <c r="H8" s="33"/>
      <c r="I8" s="33"/>
      <c r="J8" s="33">
        <f>$C$28*('E Balans VL '!D13+'E Balans VL '!E13)/100/3.6*1000000</f>
        <v>0</v>
      </c>
      <c r="K8" s="33"/>
      <c r="L8" s="33"/>
      <c r="M8" s="33"/>
      <c r="N8" s="33">
        <f>$C$28*'E Balans VL '!Y13/100/3.6*1000000</f>
        <v>35.026455481128295</v>
      </c>
      <c r="O8" s="33"/>
      <c r="P8" s="33"/>
      <c r="R8" s="32"/>
    </row>
    <row r="9" spans="1:18">
      <c r="A9" s="32" t="s">
        <v>51</v>
      </c>
      <c r="B9" s="37">
        <f t="shared" si="0"/>
        <v>8249.5289671854498</v>
      </c>
      <c r="C9" s="33"/>
      <c r="D9" s="37">
        <f>IF(ISERROR(TER_gezond_gas_kWh/1000),0,TER_gezond_gas_kWh/1000)*0.902</f>
        <v>14846.770832644876</v>
      </c>
      <c r="E9" s="33">
        <f>$C$29*'E Balans VL '!I10/100/3.6*1000000</f>
        <v>8.8126351363394697</v>
      </c>
      <c r="F9" s="33">
        <f>$C$29*('E Balans VL '!L10+'E Balans VL '!N10)/100/3.6*1000000</f>
        <v>1345.7488871413095</v>
      </c>
      <c r="G9" s="34"/>
      <c r="H9" s="33"/>
      <c r="I9" s="33"/>
      <c r="J9" s="33">
        <f>$C$29*('E Balans VL '!D10+'E Balans VL '!E10)/100/3.6*1000000</f>
        <v>0</v>
      </c>
      <c r="K9" s="33"/>
      <c r="L9" s="33"/>
      <c r="M9" s="33"/>
      <c r="N9" s="33">
        <f>$C$29*'E Balans VL '!Y10/100/3.6*1000000</f>
        <v>84.924193629853363</v>
      </c>
      <c r="O9" s="33"/>
      <c r="P9" s="33"/>
      <c r="R9" s="32"/>
    </row>
    <row r="10" spans="1:18">
      <c r="A10" s="32" t="s">
        <v>50</v>
      </c>
      <c r="B10" s="37">
        <f t="shared" si="0"/>
        <v>5345.5732945892005</v>
      </c>
      <c r="C10" s="33"/>
      <c r="D10" s="37">
        <f>IF(ISERROR(TER_ander_gas_kWh/1000),0,TER_ander_gas_kWh/1000)*0.902</f>
        <v>7418.6540785725283</v>
      </c>
      <c r="E10" s="33">
        <f>$C$30*'E Balans VL '!I14/100/3.6*1000000</f>
        <v>24.58347845975662</v>
      </c>
      <c r="F10" s="33">
        <f>$C$30*('E Balans VL '!L14+'E Balans VL '!N14)/100/3.6*1000000</f>
        <v>1602.2369309248825</v>
      </c>
      <c r="G10" s="34"/>
      <c r="H10" s="33"/>
      <c r="I10" s="33"/>
      <c r="J10" s="33">
        <f>$C$30*('E Balans VL '!D14+'E Balans VL '!E14)/100/3.6*1000000</f>
        <v>0</v>
      </c>
      <c r="K10" s="33"/>
      <c r="L10" s="33"/>
      <c r="M10" s="33"/>
      <c r="N10" s="33">
        <f>$C$30*'E Balans VL '!Y14/100/3.6*1000000</f>
        <v>3720.8718784363241</v>
      </c>
      <c r="O10" s="33"/>
      <c r="P10" s="33"/>
      <c r="R10" s="32"/>
    </row>
    <row r="11" spans="1:18">
      <c r="A11" s="32" t="s">
        <v>55</v>
      </c>
      <c r="B11" s="37">
        <f t="shared" si="0"/>
        <v>2383.9273800556703</v>
      </c>
      <c r="C11" s="33"/>
      <c r="D11" s="37">
        <f>IF(ISERROR(TER_onderwijs_gas_kWh/1000),0,TER_onderwijs_gas_kWh/1000)*0.902</f>
        <v>8934.0022952773361</v>
      </c>
      <c r="E11" s="33">
        <f>$C$31*'E Balans VL '!I11/100/3.6*1000000</f>
        <v>2.2114061523787591</v>
      </c>
      <c r="F11" s="33">
        <f>$C$31*('E Balans VL '!L11+'E Balans VL '!N11)/100/3.6*1000000</f>
        <v>837.4188979819653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3423.93620015241</v>
      </c>
      <c r="C12" s="33"/>
      <c r="D12" s="37">
        <f>IF(ISERROR(TER_rest_gas_kWh/1000),0,TER_rest_gas_kWh/1000)*0.902</f>
        <v>5628.1927192199209</v>
      </c>
      <c r="E12" s="33">
        <f>$C$32*'E Balans VL '!I8/100/3.6*1000000</f>
        <v>41.530643914436297</v>
      </c>
      <c r="F12" s="33">
        <f>$C$32*('E Balans VL '!L8+'E Balans VL '!N8)/100/3.6*1000000</f>
        <v>677.53312896789134</v>
      </c>
      <c r="G12" s="34"/>
      <c r="H12" s="33"/>
      <c r="I12" s="33"/>
      <c r="J12" s="33">
        <f>$C$32*('E Balans VL '!D8+'E Balans VL '!E8)/100/3.6*1000000</f>
        <v>0</v>
      </c>
      <c r="K12" s="33"/>
      <c r="L12" s="33"/>
      <c r="M12" s="33"/>
      <c r="N12" s="33">
        <f>$C$32*'E Balans VL '!Y8/100/3.6*1000000</f>
        <v>271.79287596020555</v>
      </c>
      <c r="O12" s="33"/>
      <c r="P12" s="33"/>
      <c r="R12" s="32"/>
    </row>
    <row r="13" spans="1:18">
      <c r="A13" s="16" t="s">
        <v>497</v>
      </c>
      <c r="B13" s="249">
        <f ca="1">'lokale energieproductie'!N90+'lokale energieproductie'!N59</f>
        <v>630.00000000000011</v>
      </c>
      <c r="C13" s="249">
        <f ca="1">'lokale energieproductie'!O90+'lokale energieproductie'!O59</f>
        <v>900.00000000000023</v>
      </c>
      <c r="D13" s="312">
        <f ca="1">('lokale energieproductie'!P59+'lokale energieproductie'!P90)*(-1)</f>
        <v>-1800.0000000000005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51431.611580541219</v>
      </c>
      <c r="C16" s="21">
        <f t="shared" ca="1" si="1"/>
        <v>900.00000000000023</v>
      </c>
      <c r="D16" s="21">
        <f t="shared" ca="1" si="1"/>
        <v>92142.791653392691</v>
      </c>
      <c r="E16" s="21">
        <f t="shared" si="1"/>
        <v>570.25748926146525</v>
      </c>
      <c r="F16" s="21">
        <f t="shared" ca="1" si="1"/>
        <v>10135.696413847107</v>
      </c>
      <c r="G16" s="21">
        <f t="shared" si="1"/>
        <v>0</v>
      </c>
      <c r="H16" s="21">
        <f t="shared" si="1"/>
        <v>0</v>
      </c>
      <c r="I16" s="21">
        <f t="shared" si="1"/>
        <v>0</v>
      </c>
      <c r="J16" s="21">
        <f t="shared" si="1"/>
        <v>0</v>
      </c>
      <c r="K16" s="21">
        <f t="shared" si="1"/>
        <v>0</v>
      </c>
      <c r="L16" s="21">
        <f t="shared" ca="1" si="1"/>
        <v>0</v>
      </c>
      <c r="M16" s="21">
        <f t="shared" si="1"/>
        <v>0</v>
      </c>
      <c r="N16" s="21">
        <f t="shared" ca="1" si="1"/>
        <v>4122.176098940984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0.21437652410876418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11025.73011994849</v>
      </c>
      <c r="C20" s="23">
        <f t="shared" ref="C20:P20" ca="1" si="2">C16*C18</f>
        <v>213.88235294117655</v>
      </c>
      <c r="D20" s="23">
        <f t="shared" ca="1" si="2"/>
        <v>18612.843913985325</v>
      </c>
      <c r="E20" s="23">
        <f t="shared" si="2"/>
        <v>129.44845006235261</v>
      </c>
      <c r="F20" s="23">
        <f t="shared" ca="1" si="2"/>
        <v>2706.2309424971777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14978.337409645399</v>
      </c>
      <c r="C26" s="39">
        <f>IF(ISERROR(B26*3.6/1000000/'E Balans VL '!Z12*100),0,B26*3.6/1000000/'E Balans VL '!Z12*100)</f>
        <v>0.31814730588472473</v>
      </c>
      <c r="D26" s="239" t="s">
        <v>692</v>
      </c>
      <c r="F26" s="6"/>
    </row>
    <row r="27" spans="1:18">
      <c r="A27" s="233" t="s">
        <v>53</v>
      </c>
      <c r="B27" s="33">
        <f>IF(ISERROR(TER_horeca_ele_kWh/1000),0,TER_horeca_ele_kWh/1000)</f>
        <v>4729.6694596207899</v>
      </c>
      <c r="C27" s="39">
        <f>IF(ISERROR(B27*3.6/1000000/'E Balans VL '!Z9*100),0,B27*3.6/1000000/'E Balans VL '!Z9*100)</f>
        <v>0.3677606045428386</v>
      </c>
      <c r="D27" s="239" t="s">
        <v>692</v>
      </c>
      <c r="F27" s="6"/>
    </row>
    <row r="28" spans="1:18">
      <c r="A28" s="173" t="s">
        <v>52</v>
      </c>
      <c r="B28" s="33">
        <f>IF(ISERROR(TER_handel_ele_kWh/1000),0,TER_handel_ele_kWh/1000)</f>
        <v>11690.638869292301</v>
      </c>
      <c r="C28" s="39">
        <f>IF(ISERROR(B28*3.6/1000000/'E Balans VL '!Z13*100),0,B28*3.6/1000000/'E Balans VL '!Z13*100)</f>
        <v>0.33448293655606864</v>
      </c>
      <c r="D28" s="239" t="s">
        <v>692</v>
      </c>
      <c r="F28" s="6"/>
    </row>
    <row r="29" spans="1:18">
      <c r="A29" s="233" t="s">
        <v>51</v>
      </c>
      <c r="B29" s="33">
        <f>IF(ISERROR(TER_gezond_ele_kWh/1000),0,TER_gezond_ele_kWh/1000)</f>
        <v>8249.5289671854498</v>
      </c>
      <c r="C29" s="39">
        <f>IF(ISERROR(B29*3.6/1000000/'E Balans VL '!Z10*100),0,B29*3.6/1000000/'E Balans VL '!Z10*100)</f>
        <v>0.89939035348595253</v>
      </c>
      <c r="D29" s="239" t="s">
        <v>692</v>
      </c>
      <c r="F29" s="6"/>
    </row>
    <row r="30" spans="1:18">
      <c r="A30" s="233" t="s">
        <v>50</v>
      </c>
      <c r="B30" s="33">
        <f>IF(ISERROR(TER_ander_ele_kWh/1000),0,TER_ander_ele_kWh/1000)</f>
        <v>5345.5732945892005</v>
      </c>
      <c r="C30" s="39">
        <f>IF(ISERROR(B30*3.6/1000000/'E Balans VL '!Z14*100),0,B30*3.6/1000000/'E Balans VL '!Z14*100)</f>
        <v>0.39117692755247463</v>
      </c>
      <c r="D30" s="239" t="s">
        <v>692</v>
      </c>
      <c r="F30" s="6"/>
    </row>
    <row r="31" spans="1:18">
      <c r="A31" s="233" t="s">
        <v>55</v>
      </c>
      <c r="B31" s="33">
        <f>IF(ISERROR(TER_onderwijs_ele_kWh/1000),0,TER_onderwijs_ele_kWh/1000)</f>
        <v>2383.9273800556703</v>
      </c>
      <c r="C31" s="39">
        <f>IF(ISERROR(B31*3.6/1000000/'E Balans VL '!Z11*100),0,B31*3.6/1000000/'E Balans VL '!Z11*100)</f>
        <v>0.47881358453983919</v>
      </c>
      <c r="D31" s="239" t="s">
        <v>692</v>
      </c>
    </row>
    <row r="32" spans="1:18">
      <c r="A32" s="233" t="s">
        <v>260</v>
      </c>
      <c r="B32" s="33">
        <f>IF(ISERROR(TER_rest_ele_kWh/1000),0,TER_rest_ele_kWh/1000)</f>
        <v>3423.93620015241</v>
      </c>
      <c r="C32" s="39">
        <f>IF(ISERROR(B32*3.6/1000000/'E Balans VL '!Z8*100),0,B32*3.6/1000000/'E Balans VL '!Z8*100)</f>
        <v>2.7903002149937742E-2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3657.1927791164971</v>
      </c>
      <c r="C5" s="17">
        <f>IF(ISERROR('Eigen informatie GS &amp; warmtenet'!B59),0,'Eigen informatie GS &amp; warmtenet'!B59)</f>
        <v>0</v>
      </c>
      <c r="D5" s="30">
        <f>SUM(D6:D15)</f>
        <v>5312.86498792577</v>
      </c>
      <c r="E5" s="17">
        <f>SUM(E6:E15)</f>
        <v>618.88036711607288</v>
      </c>
      <c r="F5" s="17">
        <f>SUM(F6:F15)</f>
        <v>2778.7447695310047</v>
      </c>
      <c r="G5" s="18"/>
      <c r="H5" s="17"/>
      <c r="I5" s="17"/>
      <c r="J5" s="17">
        <f>SUM(J6:J15)</f>
        <v>1.0662480764073878</v>
      </c>
      <c r="K5" s="17"/>
      <c r="L5" s="17"/>
      <c r="M5" s="17"/>
      <c r="N5" s="17">
        <f>SUM(N6:N15)</f>
        <v>1598.4115955915456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141.68999871769</v>
      </c>
      <c r="C8" s="33"/>
      <c r="D8" s="37">
        <f>IF( ISERROR(IND_metaal_Gas_kWH/1000),0,IND_metaal_Gas_kWH/1000)*0.902</f>
        <v>0</v>
      </c>
      <c r="E8" s="33">
        <f>C30*'E Balans VL '!I18/100/3.6*1000000</f>
        <v>4.0698686021819999</v>
      </c>
      <c r="F8" s="33">
        <f>C30*'E Balans VL '!L18/100/3.6*1000000+C30*'E Balans VL '!N18/100/3.6*1000000</f>
        <v>36.340759580785921</v>
      </c>
      <c r="G8" s="34"/>
      <c r="H8" s="33"/>
      <c r="I8" s="33"/>
      <c r="J8" s="40">
        <f>C30*'E Balans VL '!D18/100/3.6*1000000+C30*'E Balans VL '!E18/100/3.6*1000000</f>
        <v>0</v>
      </c>
      <c r="K8" s="33"/>
      <c r="L8" s="33"/>
      <c r="M8" s="33"/>
      <c r="N8" s="33">
        <f>C30*'E Balans VL '!Y18/100/3.6*1000000</f>
        <v>3.8471726954501504</v>
      </c>
      <c r="O8" s="33"/>
      <c r="P8" s="33"/>
      <c r="R8" s="32"/>
    </row>
    <row r="9" spans="1:18">
      <c r="A9" s="6" t="s">
        <v>33</v>
      </c>
      <c r="B9" s="37">
        <f t="shared" si="0"/>
        <v>1900.9268325836902</v>
      </c>
      <c r="C9" s="33"/>
      <c r="D9" s="37">
        <f>IF( ISERROR(IND_andere_gas_kWh/1000),0,IND_andere_gas_kWh/1000)*0.902</f>
        <v>3098.1842997152617</v>
      </c>
      <c r="E9" s="33">
        <f>C31*'E Balans VL '!I19/100/3.6*1000000</f>
        <v>514.5341554154877</v>
      </c>
      <c r="F9" s="33">
        <f>C31*'E Balans VL '!L19/100/3.6*1000000+C31*'E Balans VL '!N19/100/3.6*1000000</f>
        <v>1266.2184305800045</v>
      </c>
      <c r="G9" s="34"/>
      <c r="H9" s="33"/>
      <c r="I9" s="33"/>
      <c r="J9" s="40">
        <f>C31*'E Balans VL '!D19/100/3.6*1000000+C31*'E Balans VL '!E19/100/3.6*1000000</f>
        <v>0</v>
      </c>
      <c r="K9" s="33"/>
      <c r="L9" s="33"/>
      <c r="M9" s="33"/>
      <c r="N9" s="33">
        <f>C31*'E Balans VL '!Y19/100/3.6*1000000</f>
        <v>620.62103374053856</v>
      </c>
      <c r="O9" s="33"/>
      <c r="P9" s="33"/>
      <c r="R9" s="32"/>
    </row>
    <row r="10" spans="1:18">
      <c r="A10" s="6" t="s">
        <v>41</v>
      </c>
      <c r="B10" s="37">
        <f t="shared" si="0"/>
        <v>910.50795331344796</v>
      </c>
      <c r="C10" s="33"/>
      <c r="D10" s="37">
        <f>IF( ISERROR(IND_voed_gas_kWh/1000),0,IND_voed_gas_kWh/1000)*0.902</f>
        <v>1267.1343828324591</v>
      </c>
      <c r="E10" s="33">
        <f>C32*'E Balans VL '!I20/100/3.6*1000000</f>
        <v>74.26312050983509</v>
      </c>
      <c r="F10" s="33">
        <f>C32*'E Balans VL '!L20/100/3.6*1000000+C32*'E Balans VL '!N20/100/3.6*1000000</f>
        <v>1357.6499669101406</v>
      </c>
      <c r="G10" s="34"/>
      <c r="H10" s="33"/>
      <c r="I10" s="33"/>
      <c r="J10" s="40">
        <f>C32*'E Balans VL '!D20/100/3.6*1000000+C32*'E Balans VL '!E20/100/3.6*1000000</f>
        <v>1.2044915013945973E-2</v>
      </c>
      <c r="K10" s="33"/>
      <c r="L10" s="33"/>
      <c r="M10" s="33"/>
      <c r="N10" s="33">
        <f>C32*'E Balans VL '!Y20/100/3.6*1000000</f>
        <v>267.47510832215096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292.76198751379201</v>
      </c>
      <c r="C13" s="33"/>
      <c r="D13" s="37">
        <f>IF( ISERROR(IND_papier_gas_kWh/1000),0,IND_papier_gas_kWh/1000)*0.902</f>
        <v>217.01049834038963</v>
      </c>
      <c r="E13" s="33">
        <f>C35*'E Balans VL '!I23/100/3.6*1000000</f>
        <v>3.0672151664583875</v>
      </c>
      <c r="F13" s="33">
        <f>C35*'E Balans VL '!L23/100/3.6*1000000+C35*'E Balans VL '!N23/100/3.6*1000000</f>
        <v>21.845951399180066</v>
      </c>
      <c r="G13" s="34"/>
      <c r="H13" s="33"/>
      <c r="I13" s="33"/>
      <c r="J13" s="40">
        <f>C35*'E Balans VL '!D23/100/3.6*1000000+C35*'E Balans VL '!E23/100/3.6*1000000</f>
        <v>0</v>
      </c>
      <c r="K13" s="33"/>
      <c r="L13" s="33"/>
      <c r="M13" s="33"/>
      <c r="N13" s="33">
        <f>C35*'E Balans VL '!Y23/100/3.6*1000000</f>
        <v>625.74819074293362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411.30600698787703</v>
      </c>
      <c r="C15" s="33"/>
      <c r="D15" s="37">
        <f>IF( ISERROR(IND_rest_gas_kWh/1000),0,IND_rest_gas_kWh/1000)*0.902</f>
        <v>730.53580703765965</v>
      </c>
      <c r="E15" s="33">
        <f>C37*'E Balans VL '!I15/100/3.6*1000000</f>
        <v>22.94600742210967</v>
      </c>
      <c r="F15" s="33">
        <f>C37*'E Balans VL '!L15/100/3.6*1000000+C37*'E Balans VL '!N15/100/3.6*1000000</f>
        <v>96.689661060893968</v>
      </c>
      <c r="G15" s="34"/>
      <c r="H15" s="33"/>
      <c r="I15" s="33"/>
      <c r="J15" s="40">
        <f>C37*'E Balans VL '!D15/100/3.6*1000000+C37*'E Balans VL '!E15/100/3.6*1000000</f>
        <v>1.0542031613934419</v>
      </c>
      <c r="K15" s="33"/>
      <c r="L15" s="33"/>
      <c r="M15" s="33"/>
      <c r="N15" s="33">
        <f>C37*'E Balans VL '!Y15/100/3.6*1000000</f>
        <v>80.720090090472382</v>
      </c>
      <c r="O15" s="33"/>
      <c r="P15" s="33"/>
      <c r="R15" s="32"/>
    </row>
    <row r="16" spans="1:18">
      <c r="A16" s="16" t="s">
        <v>497</v>
      </c>
      <c r="B16" s="249">
        <f>'lokale energieproductie'!N89+'lokale energieproductie'!N58</f>
        <v>534.15000000000009</v>
      </c>
      <c r="C16" s="249">
        <f>'lokale energieproductie'!O89+'lokale energieproductie'!O58</f>
        <v>763.07142857142867</v>
      </c>
      <c r="D16" s="312">
        <f>('lokale energieproductie'!P58+'lokale energieproductie'!P89)*(-1)</f>
        <v>-1526.1428571428573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4191.3427791164977</v>
      </c>
      <c r="C18" s="21">
        <f>C5+C16</f>
        <v>763.07142857142867</v>
      </c>
      <c r="D18" s="21">
        <f>MAX((D5+D16),0)</f>
        <v>3786.7221307829127</v>
      </c>
      <c r="E18" s="21">
        <f>MAX((E5+E16),0)</f>
        <v>618.88036711607288</v>
      </c>
      <c r="F18" s="21">
        <f>MAX((F5+F16),0)</f>
        <v>2778.7447695310047</v>
      </c>
      <c r="G18" s="21"/>
      <c r="H18" s="21"/>
      <c r="I18" s="21"/>
      <c r="J18" s="21">
        <f>MAX((J5+J16),0)</f>
        <v>1.0662480764073878</v>
      </c>
      <c r="K18" s="21"/>
      <c r="L18" s="21">
        <f>MAX((L5+L16),0)</f>
        <v>0</v>
      </c>
      <c r="M18" s="21"/>
      <c r="N18" s="21">
        <f>MAX((N5+N16),0)</f>
        <v>1598.4115955915456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0.21437652410876418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898.5254963353625</v>
      </c>
      <c r="C22" s="23">
        <f ca="1">C18*C20</f>
        <v>181.34168067226895</v>
      </c>
      <c r="D22" s="23">
        <f>D18*D20</f>
        <v>764.91787041814837</v>
      </c>
      <c r="E22" s="23">
        <f>E18*E20</f>
        <v>140.48584333534853</v>
      </c>
      <c r="F22" s="23">
        <f>F18*F20</f>
        <v>741.92485346477827</v>
      </c>
      <c r="G22" s="23"/>
      <c r="H22" s="23"/>
      <c r="I22" s="23"/>
      <c r="J22" s="23">
        <f>J18*J20</f>
        <v>0.37745181904821529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141.68999871769</v>
      </c>
      <c r="C30" s="39">
        <f>IF(ISERROR(B30*3.6/1000000/'E Balans VL '!Z18*100),0,B30*3.6/1000000/'E Balans VL '!Z18*100)</f>
        <v>1.3941934177783661E-2</v>
      </c>
      <c r="D30" s="239" t="s">
        <v>692</v>
      </c>
    </row>
    <row r="31" spans="1:18">
      <c r="A31" s="6" t="s">
        <v>33</v>
      </c>
      <c r="B31" s="37">
        <f>IF( ISERROR(IND_ander_ele_kWh/1000),0,IND_ander_ele_kWh/1000)</f>
        <v>1900.9268325836902</v>
      </c>
      <c r="C31" s="39">
        <f>IF(ISERROR(B31*3.6/1000000/'E Balans VL '!Z19*100),0,B31*3.6/1000000/'E Balans VL '!Z19*100)</f>
        <v>8.2783847204622438E-2</v>
      </c>
      <c r="D31" s="239" t="s">
        <v>692</v>
      </c>
    </row>
    <row r="32" spans="1:18">
      <c r="A32" s="173" t="s">
        <v>41</v>
      </c>
      <c r="B32" s="37">
        <f>IF( ISERROR(IND_voed_ele_kWh/1000),0,IND_voed_ele_kWh/1000)</f>
        <v>910.50795331344796</v>
      </c>
      <c r="C32" s="39">
        <f>IF(ISERROR(B32*3.6/1000000/'E Balans VL '!Z20*100),0,B32*3.6/1000000/'E Balans VL '!Z20*100)</f>
        <v>0.17275575318806294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292.76198751379201</v>
      </c>
      <c r="C35" s="39">
        <f>IF(ISERROR(B35*3.6/1000000/'E Balans VL '!Z22*100),0,B35*3.6/1000000/'E Balans VL '!Z22*100)</f>
        <v>4.1165275268684541E-2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411.30600698787703</v>
      </c>
      <c r="C37" s="39">
        <f>IF(ISERROR(B37*3.6/1000000/'E Balans VL '!Z15*100),0,B37*3.6/1000000/'E Balans VL '!Z15*100)</f>
        <v>3.1696179717518235E-3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83.094293370375212</v>
      </c>
      <c r="C5" s="17">
        <f>'Eigen informatie GS &amp; warmtenet'!B60</f>
        <v>0</v>
      </c>
      <c r="D5" s="30">
        <f>IF(ISERROR(SUM(LB_lb_gas_kWh,LB_rest_gas_kWh,onbekend_gas_kWh)/1000),0,SUM(LB_lb_gas_kWh,LB_rest_gas_kWh,onbekend_gas_kWh)/1000)*0.902</f>
        <v>12424.066293625176</v>
      </c>
      <c r="E5" s="17">
        <f>B17*'E Balans VL '!I25/3.6*1000000/100</f>
        <v>1.0470951436814899</v>
      </c>
      <c r="F5" s="17">
        <f>B17*('E Balans VL '!L25/3.6*1000000+'E Balans VL '!N25/3.6*1000000)/100</f>
        <v>286.69612849211245</v>
      </c>
      <c r="G5" s="18"/>
      <c r="H5" s="17"/>
      <c r="I5" s="17"/>
      <c r="J5" s="17">
        <f>('E Balans VL '!D25+'E Balans VL '!E25)/3.6*1000000*landbouw!B17/100</f>
        <v>12.496437140314818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83.094293370375212</v>
      </c>
      <c r="C8" s="21">
        <f>C5+C6</f>
        <v>0</v>
      </c>
      <c r="D8" s="21">
        <f>MAX((D5+D6),0)</f>
        <v>12424.066293625176</v>
      </c>
      <c r="E8" s="21">
        <f>MAX((E5+E6),0)</f>
        <v>1.0470951436814899</v>
      </c>
      <c r="F8" s="21">
        <f>MAX((F5+F6),0)</f>
        <v>286.69612849211245</v>
      </c>
      <c r="G8" s="21"/>
      <c r="H8" s="21"/>
      <c r="I8" s="21"/>
      <c r="J8" s="21">
        <f>MAX((J5+J6),0)</f>
        <v>12.496437140314818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0.21437652410876418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17.813465786014966</v>
      </c>
      <c r="C12" s="23">
        <f ca="1">C8*C10</f>
        <v>0</v>
      </c>
      <c r="D12" s="23">
        <f>D8*D10</f>
        <v>2509.6613913122856</v>
      </c>
      <c r="E12" s="23">
        <f>E8*E10</f>
        <v>0.23769059761569822</v>
      </c>
      <c r="F12" s="23">
        <f>F8*F10</f>
        <v>76.547866307394031</v>
      </c>
      <c r="G12" s="23"/>
      <c r="H12" s="23"/>
      <c r="I12" s="23"/>
      <c r="J12" s="23">
        <f>J8*J10</f>
        <v>4.4237387476714449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1.158903494506241E-2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2.3408018735265892</v>
      </c>
      <c r="C26" s="249">
        <f>B26*'GWP N2O_CH4'!B5</f>
        <v>49.156839344058376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0.25661519767851942</v>
      </c>
      <c r="C27" s="249">
        <f>B27*'GWP N2O_CH4'!B5</f>
        <v>5.3889191512489081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1.7500713273738731E-2</v>
      </c>
      <c r="C28" s="249">
        <f>B28*'GWP N2O_CH4'!B4</f>
        <v>5.4252211148590064</v>
      </c>
      <c r="D28" s="50"/>
    </row>
    <row r="29" spans="1:4">
      <c r="A29" s="41" t="s">
        <v>277</v>
      </c>
      <c r="B29" s="249">
        <f>B34*'ha_N2O bodem landbouw'!B4</f>
        <v>1.6797680119013336</v>
      </c>
      <c r="C29" s="249">
        <f>B29*'GWP N2O_CH4'!B4</f>
        <v>520.72808368941344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4.1942128786132327E-4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3.8568726419573068E-5</v>
      </c>
      <c r="C5" s="448" t="s">
        <v>211</v>
      </c>
      <c r="D5" s="433">
        <f>SUM(D6:D11)</f>
        <v>6.6131146968368689E-5</v>
      </c>
      <c r="E5" s="433">
        <f>SUM(E6:E11)</f>
        <v>2.0747228239666356E-3</v>
      </c>
      <c r="F5" s="446" t="s">
        <v>211</v>
      </c>
      <c r="G5" s="433">
        <f>SUM(G6:G11)</f>
        <v>0.48675114385790091</v>
      </c>
      <c r="H5" s="433">
        <f>SUM(H6:H11)</f>
        <v>9.9495981195151018E-2</v>
      </c>
      <c r="I5" s="448" t="s">
        <v>211</v>
      </c>
      <c r="J5" s="448" t="s">
        <v>211</v>
      </c>
      <c r="K5" s="448" t="s">
        <v>211</v>
      </c>
      <c r="L5" s="448" t="s">
        <v>211</v>
      </c>
      <c r="M5" s="433">
        <f>SUM(M6:M11)</f>
        <v>2.621757061329355E-2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2.3195650501145754E-5</v>
      </c>
      <c r="C6" s="949"/>
      <c r="D6" s="949">
        <f>vkm_2011_GW_PW*SUMIFS(TableVerdeelsleutelVkm[CNG],TableVerdeelsleutelVkm[Voertuigtype],"Lichte voertuigen")*SUMIFS(TableECFTransport[EnergieConsumptieFactor (PJ per km)],TableECFTransport[Index],CONCATENATE($A6,"_CNG_CNG"))</f>
        <v>3.2849577729199885E-5</v>
      </c>
      <c r="E6" s="949">
        <f>vkm_2011_GW_PW*SUMIFS(TableVerdeelsleutelVkm[LPG],TableVerdeelsleutelVkm[Voertuigtype],"Lichte voertuigen")*SUMIFS(TableECFTransport[EnergieConsumptieFactor (PJ per km)],TableECFTransport[Index],CONCATENATE($A6,"_LPG_LPG"))</f>
        <v>1.0316970928092688E-3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0.18542421754810082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4.9825174147544012E-2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1.049787044213934E-2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6.0355141322765961E-2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2.1503659468692356E-5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2.7235764136048276E-3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1.01020807190347E-5</v>
      </c>
      <c r="C8" s="949"/>
      <c r="D8" s="436">
        <f>vkm_2011_NGW_PW*SUMIFS(TableVerdeelsleutelVkm[CNG],TableVerdeelsleutelVkm[Voertuigtype],"Lichte voertuigen")*SUMIFS(TableECFTransport[EnergieConsumptieFactor (PJ per km)],TableECFTransport[Index],CONCATENATE($A8,"_CNG_CNG"))</f>
        <v>2.5487313008678843E-5</v>
      </c>
      <c r="E8" s="436">
        <f>vkm_2011_NGW_PW*SUMIFS(TableVerdeelsleutelVkm[LPG],TableVerdeelsleutelVkm[Voertuigtype],"Lichte voertuigen")*SUMIFS(TableECFTransport[EnergieConsumptieFactor (PJ per km)],TableECFTransport[Index],CONCATENATE($A8,"_LPG_LPG"))</f>
        <v>7.3729065738601599E-4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0.12497791593192528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3.7301485578931273E-2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7.2348980042597367E-3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4.5178124755831115E-3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1.5231792152419255E-6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2.0386637871294233E-4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5.2709951993926134E-6</v>
      </c>
      <c r="C10" s="949"/>
      <c r="D10" s="436">
        <f>vkm_2011_SW_PW*SUMIFS(TableVerdeelsleutelVkm[CNG],TableVerdeelsleutelVkm[Voertuigtype],"Lichte voertuigen")*SUMIFS(TableECFTransport[EnergieConsumptieFactor (PJ per km)],TableECFTransport[Index],CONCATENATE($A10,"_CNG_CNG"))</f>
        <v>7.7942562304899576E-6</v>
      </c>
      <c r="E10" s="436">
        <f>vkm_2011_SW_PW*SUMIFS(TableVerdeelsleutelVkm[LPG],TableVerdeelsleutelVkm[Voertuigtype],"Lichte voertuigen")*SUMIFS(TableECFTransport[EnergieConsumptieFactor (PJ per km)],TableECFTransport[Index],CONCATENATE($A10,"_LPG_LPG"))</f>
        <v>3.0573507377135091E-4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4.9764681949653174E-2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1.2322584018767064E-2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2.7725079920465395E-3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6.1711374629872549E-2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2.3710611224734622E-5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2.7848513825301639E-3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10.713535116548075</v>
      </c>
      <c r="C14" s="21"/>
      <c r="D14" s="21">
        <f t="shared" ref="D14:M14" si="0">((D5)*10^9/3600)+D12</f>
        <v>18.36976304676908</v>
      </c>
      <c r="E14" s="21">
        <f t="shared" si="0"/>
        <v>576.3118955462877</v>
      </c>
      <c r="F14" s="21"/>
      <c r="G14" s="21">
        <f t="shared" si="0"/>
        <v>135208.65107163915</v>
      </c>
      <c r="H14" s="21">
        <f t="shared" si="0"/>
        <v>27637.772554208615</v>
      </c>
      <c r="I14" s="21"/>
      <c r="J14" s="21"/>
      <c r="K14" s="21"/>
      <c r="L14" s="21"/>
      <c r="M14" s="21">
        <f t="shared" si="0"/>
        <v>7282.6585036926526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0.21437652410876418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2.2967304192027598</v>
      </c>
      <c r="C18" s="23"/>
      <c r="D18" s="23">
        <f t="shared" ref="D18:M18" si="1">D14*D16</f>
        <v>3.7106921354473545</v>
      </c>
      <c r="E18" s="23">
        <f t="shared" si="1"/>
        <v>130.82280028900732</v>
      </c>
      <c r="F18" s="23"/>
      <c r="G18" s="23">
        <f t="shared" si="1"/>
        <v>36100.709836127658</v>
      </c>
      <c r="H18" s="23">
        <f t="shared" si="1"/>
        <v>6881.805365997945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1.3467912984997426E-2</v>
      </c>
      <c r="H50" s="323">
        <f t="shared" si="2"/>
        <v>0</v>
      </c>
      <c r="I50" s="323">
        <f t="shared" si="2"/>
        <v>0</v>
      </c>
      <c r="J50" s="323">
        <f t="shared" si="2"/>
        <v>0</v>
      </c>
      <c r="K50" s="323">
        <f t="shared" si="2"/>
        <v>0</v>
      </c>
      <c r="L50" s="323">
        <f t="shared" si="2"/>
        <v>0</v>
      </c>
      <c r="M50" s="323">
        <f t="shared" si="2"/>
        <v>5.989510318317882E-4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1.3467912984997426E-2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5.989510318317882E-4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3741.0869402770627</v>
      </c>
      <c r="H54" s="21">
        <f t="shared" si="3"/>
        <v>0</v>
      </c>
      <c r="I54" s="21">
        <f t="shared" si="3"/>
        <v>0</v>
      </c>
      <c r="J54" s="21">
        <f t="shared" si="3"/>
        <v>0</v>
      </c>
      <c r="K54" s="21">
        <f t="shared" si="3"/>
        <v>0</v>
      </c>
      <c r="L54" s="21">
        <f t="shared" si="3"/>
        <v>0</v>
      </c>
      <c r="M54" s="21">
        <f t="shared" si="3"/>
        <v>166.37528661994119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0.21437652410876418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998.87021305397582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4029.3720473413923</v>
      </c>
      <c r="C6" s="1142"/>
      <c r="D6" s="1145"/>
      <c r="E6" s="1145"/>
      <c r="F6" s="1148"/>
      <c r="G6" s="1151"/>
      <c r="H6" s="1139"/>
      <c r="I6" s="1145"/>
      <c r="J6" s="1145"/>
      <c r="K6" s="1145"/>
      <c r="L6" s="1175"/>
      <c r="M6" s="561"/>
      <c r="N6" s="1187"/>
      <c r="O6" s="1188"/>
      <c r="Q6" s="559"/>
      <c r="R6" s="1172"/>
      <c r="S6" s="1172"/>
    </row>
    <row r="7" spans="1:19" s="549" customFormat="1">
      <c r="A7" s="562" t="s">
        <v>252</v>
      </c>
      <c r="B7" s="563">
        <f>N57</f>
        <v>1164.1500000000001</v>
      </c>
      <c r="C7" s="564">
        <f>B100</f>
        <v>1369.5882352941178</v>
      </c>
      <c r="D7" s="565"/>
      <c r="E7" s="565">
        <f>E100</f>
        <v>0</v>
      </c>
      <c r="F7" s="566"/>
      <c r="G7" s="567"/>
      <c r="H7" s="565">
        <f>I100</f>
        <v>0</v>
      </c>
      <c r="I7" s="565">
        <f>G100+F100</f>
        <v>0</v>
      </c>
      <c r="J7" s="565">
        <f>H100+D100+C100</f>
        <v>0</v>
      </c>
      <c r="K7" s="565"/>
      <c r="L7" s="568"/>
      <c r="M7" s="569">
        <f>C7*$C$11+D7*$D$11+E7*$E$11+F7*$F$11+G7*$G$11+H7*$H$11+I7*$I$11+J7*$J$11</f>
        <v>276.65682352941184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5193.522047341392</v>
      </c>
      <c r="C9" s="580">
        <f t="shared" ref="C9:L9" si="0">SUM(C7:C8)</f>
        <v>1369.5882352941178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276.65682352941184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1663.0714285714289</v>
      </c>
      <c r="C16" s="596">
        <f>B101</f>
        <v>1956.55462184874</v>
      </c>
      <c r="D16" s="597"/>
      <c r="E16" s="597">
        <f>E101</f>
        <v>0</v>
      </c>
      <c r="F16" s="598"/>
      <c r="G16" s="599"/>
      <c r="H16" s="596">
        <f>I101</f>
        <v>0</v>
      </c>
      <c r="I16" s="597">
        <f>G101+F101</f>
        <v>0</v>
      </c>
      <c r="J16" s="597">
        <f>H101+D101+C101</f>
        <v>0</v>
      </c>
      <c r="K16" s="597"/>
      <c r="L16" s="600"/>
      <c r="M16" s="601">
        <f>C16*$C$21+E16*$E$21+H16*$H$21+I16*$I$21+J16*$J$21+D16*$D$21+F16*$F$21+G16*$G$21+K16*$K$21+L16*$L$21</f>
        <v>395.2240336134455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1663.0714285714289</v>
      </c>
      <c r="C19" s="579">
        <f>SUM(C16:C18)</f>
        <v>1956.55462184874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395.2240336134455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11008</v>
      </c>
      <c r="C27" s="839">
        <v>2930</v>
      </c>
      <c r="D27" s="658" t="s">
        <v>840</v>
      </c>
      <c r="E27" s="657" t="s">
        <v>841</v>
      </c>
      <c r="F27" s="657" t="s">
        <v>842</v>
      </c>
      <c r="G27" s="657" t="s">
        <v>843</v>
      </c>
      <c r="H27" s="657" t="s">
        <v>844</v>
      </c>
      <c r="I27" s="657" t="s">
        <v>845</v>
      </c>
      <c r="J27" s="838">
        <v>37622</v>
      </c>
      <c r="K27" s="838">
        <v>40391</v>
      </c>
      <c r="L27" s="657" t="s">
        <v>846</v>
      </c>
      <c r="M27" s="657">
        <v>65</v>
      </c>
      <c r="N27" s="657">
        <v>292.5</v>
      </c>
      <c r="O27" s="657">
        <v>417.85714285714289</v>
      </c>
      <c r="P27" s="657">
        <v>835.71428571428578</v>
      </c>
      <c r="Q27" s="657">
        <v>0</v>
      </c>
      <c r="R27" s="657">
        <v>0</v>
      </c>
      <c r="S27" s="657">
        <v>0</v>
      </c>
      <c r="T27" s="657">
        <v>0</v>
      </c>
      <c r="U27" s="657">
        <v>0</v>
      </c>
      <c r="V27" s="657">
        <v>0</v>
      </c>
      <c r="W27" s="657">
        <v>0</v>
      </c>
      <c r="X27" s="657">
        <v>16000</v>
      </c>
      <c r="Y27" s="657" t="s">
        <v>33</v>
      </c>
      <c r="Z27" s="659" t="s">
        <v>390</v>
      </c>
    </row>
    <row r="28" spans="1:26" s="611" customFormat="1" ht="25.5">
      <c r="A28" s="610"/>
      <c r="B28" s="839">
        <v>11008</v>
      </c>
      <c r="C28" s="839">
        <v>2930</v>
      </c>
      <c r="D28" s="658" t="s">
        <v>847</v>
      </c>
      <c r="E28" s="657" t="s">
        <v>848</v>
      </c>
      <c r="F28" s="657" t="s">
        <v>849</v>
      </c>
      <c r="G28" s="657" t="s">
        <v>843</v>
      </c>
      <c r="H28" s="657" t="s">
        <v>844</v>
      </c>
      <c r="I28" s="657" t="s">
        <v>848</v>
      </c>
      <c r="J28" s="838">
        <v>39084</v>
      </c>
      <c r="K28" s="838">
        <v>39630</v>
      </c>
      <c r="L28" s="657" t="s">
        <v>846</v>
      </c>
      <c r="M28" s="657">
        <v>53.7</v>
      </c>
      <c r="N28" s="657">
        <v>241.65000000000003</v>
      </c>
      <c r="O28" s="657">
        <v>345.21428571428578</v>
      </c>
      <c r="P28" s="657">
        <v>690.42857142857156</v>
      </c>
      <c r="Q28" s="657">
        <v>0</v>
      </c>
      <c r="R28" s="657">
        <v>0</v>
      </c>
      <c r="S28" s="657">
        <v>0</v>
      </c>
      <c r="T28" s="657">
        <v>0</v>
      </c>
      <c r="U28" s="657">
        <v>0</v>
      </c>
      <c r="V28" s="657">
        <v>0</v>
      </c>
      <c r="W28" s="657">
        <v>0</v>
      </c>
      <c r="X28" s="657">
        <v>16000</v>
      </c>
      <c r="Y28" s="657" t="s">
        <v>33</v>
      </c>
      <c r="Z28" s="659" t="s">
        <v>390</v>
      </c>
    </row>
    <row r="29" spans="1:26" s="611" customFormat="1" ht="38.25">
      <c r="A29" s="610"/>
      <c r="B29" s="839">
        <v>11008</v>
      </c>
      <c r="C29" s="839">
        <v>2930</v>
      </c>
      <c r="D29" s="658" t="s">
        <v>850</v>
      </c>
      <c r="E29" s="657" t="s">
        <v>851</v>
      </c>
      <c r="F29" s="657" t="s">
        <v>852</v>
      </c>
      <c r="G29" s="657" t="s">
        <v>843</v>
      </c>
      <c r="H29" s="657" t="s">
        <v>844</v>
      </c>
      <c r="I29" s="657" t="s">
        <v>851</v>
      </c>
      <c r="J29" s="838">
        <v>39599</v>
      </c>
      <c r="K29" s="838">
        <v>39661</v>
      </c>
      <c r="L29" s="657" t="s">
        <v>846</v>
      </c>
      <c r="M29" s="657">
        <v>140</v>
      </c>
      <c r="N29" s="657">
        <v>630.00000000000011</v>
      </c>
      <c r="O29" s="657">
        <v>900.00000000000023</v>
      </c>
      <c r="P29" s="657">
        <v>1800.0000000000005</v>
      </c>
      <c r="Q29" s="657">
        <v>0</v>
      </c>
      <c r="R29" s="657">
        <v>0</v>
      </c>
      <c r="S29" s="657">
        <v>0</v>
      </c>
      <c r="T29" s="657">
        <v>0</v>
      </c>
      <c r="U29" s="657">
        <v>0</v>
      </c>
      <c r="V29" s="657">
        <v>0</v>
      </c>
      <c r="W29" s="657">
        <v>0</v>
      </c>
      <c r="X29" s="657">
        <v>1500</v>
      </c>
      <c r="Y29" s="657" t="s">
        <v>51</v>
      </c>
      <c r="Z29" s="659" t="s">
        <v>156</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258.7</v>
      </c>
      <c r="N57" s="615">
        <f>SUM(N27:N56)</f>
        <v>1164.1500000000001</v>
      </c>
      <c r="O57" s="615">
        <f t="shared" ref="O57:W57" si="2">SUM(O27:O56)</f>
        <v>1663.0714285714289</v>
      </c>
      <c r="P57" s="615">
        <f t="shared" si="2"/>
        <v>3326.1428571428578</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118.7</v>
      </c>
      <c r="N58" s="615">
        <f t="shared" ref="N58:W58" si="3">SUMIF($Z$27:$Z$56,"industrie",N27:N56)</f>
        <v>534.15000000000009</v>
      </c>
      <c r="O58" s="615">
        <f t="shared" si="3"/>
        <v>763.07142857142867</v>
      </c>
      <c r="P58" s="615">
        <f t="shared" si="3"/>
        <v>1526.1428571428573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140</v>
      </c>
      <c r="N59" s="615">
        <f ca="1">SUMIF($Z$27:AB56,"tertiair",N27:N56)</f>
        <v>630.00000000000011</v>
      </c>
      <c r="O59" s="615">
        <f ca="1">SUMIF($Z$27:AC56,"tertiair",O27:O56)</f>
        <v>900.00000000000023</v>
      </c>
      <c r="P59" s="615">
        <f ca="1">SUMIF($Z$27:AD56,"tertiair",P27:P56)</f>
        <v>1800.0000000000005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1369.5882352941178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1956.55462184874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53351.997580541218</v>
      </c>
      <c r="D10" s="704">
        <f ca="1">tertiair!C16</f>
        <v>900.00000000000023</v>
      </c>
      <c r="E10" s="704">
        <f ca="1">tertiair!D16</f>
        <v>92142.791653392691</v>
      </c>
      <c r="F10" s="704">
        <f>tertiair!E16</f>
        <v>570.25748926146525</v>
      </c>
      <c r="G10" s="704">
        <f ca="1">tertiair!F16</f>
        <v>10135.696413847107</v>
      </c>
      <c r="H10" s="704">
        <f>tertiair!G16</f>
        <v>0</v>
      </c>
      <c r="I10" s="704">
        <f>tertiair!H16</f>
        <v>0</v>
      </c>
      <c r="J10" s="704">
        <f>tertiair!I16</f>
        <v>0</v>
      </c>
      <c r="K10" s="704">
        <f>tertiair!J16</f>
        <v>0</v>
      </c>
      <c r="L10" s="704">
        <f>tertiair!K16</f>
        <v>0</v>
      </c>
      <c r="M10" s="704">
        <f ca="1">tertiair!L16</f>
        <v>0</v>
      </c>
      <c r="N10" s="704">
        <f>tertiair!M16</f>
        <v>0</v>
      </c>
      <c r="O10" s="704">
        <f ca="1">tertiair!N16</f>
        <v>4122.176098940984</v>
      </c>
      <c r="P10" s="704">
        <f>tertiair!O16</f>
        <v>1.5633333333333335</v>
      </c>
      <c r="Q10" s="705">
        <f>tertiair!P16</f>
        <v>38.133333333333333</v>
      </c>
      <c r="R10" s="707">
        <f ca="1">SUM(C10:Q10)</f>
        <v>161262.61590265011</v>
      </c>
      <c r="S10" s="67"/>
    </row>
    <row r="11" spans="1:19" s="459" customFormat="1">
      <c r="A11" s="858" t="s">
        <v>225</v>
      </c>
      <c r="B11" s="863"/>
      <c r="C11" s="704">
        <f>huishoudens!B8</f>
        <v>73881.64394419943</v>
      </c>
      <c r="D11" s="704">
        <f>huishoudens!C8</f>
        <v>0</v>
      </c>
      <c r="E11" s="704">
        <f>huishoudens!D8</f>
        <v>276820.78489262034</v>
      </c>
      <c r="F11" s="704">
        <f>huishoudens!E8</f>
        <v>1639.1025999537321</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21590.106987864427</v>
      </c>
      <c r="P11" s="704">
        <f>huishoudens!O8</f>
        <v>173.53000000000003</v>
      </c>
      <c r="Q11" s="705">
        <f>huishoudens!P8</f>
        <v>419.4666666666667</v>
      </c>
      <c r="R11" s="707">
        <f>SUM(C11:Q11)</f>
        <v>374524.6350913046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4191.3427791164977</v>
      </c>
      <c r="D13" s="704">
        <f>industrie!C18</f>
        <v>763.07142857142867</v>
      </c>
      <c r="E13" s="704">
        <f>industrie!D18</f>
        <v>3786.7221307829127</v>
      </c>
      <c r="F13" s="704">
        <f>industrie!E18</f>
        <v>618.88036711607288</v>
      </c>
      <c r="G13" s="704">
        <f>industrie!F18</f>
        <v>2778.7447695310047</v>
      </c>
      <c r="H13" s="704">
        <f>industrie!G18</f>
        <v>0</v>
      </c>
      <c r="I13" s="704">
        <f>industrie!H18</f>
        <v>0</v>
      </c>
      <c r="J13" s="704">
        <f>industrie!I18</f>
        <v>0</v>
      </c>
      <c r="K13" s="704">
        <f>industrie!J18</f>
        <v>1.0662480764073878</v>
      </c>
      <c r="L13" s="704">
        <f>industrie!K18</f>
        <v>0</v>
      </c>
      <c r="M13" s="704">
        <f>industrie!L18</f>
        <v>0</v>
      </c>
      <c r="N13" s="704">
        <f>industrie!M18</f>
        <v>0</v>
      </c>
      <c r="O13" s="704">
        <f>industrie!N18</f>
        <v>1598.4115955915456</v>
      </c>
      <c r="P13" s="704">
        <f>industrie!O18</f>
        <v>0</v>
      </c>
      <c r="Q13" s="705">
        <f>industrie!P18</f>
        <v>0</v>
      </c>
      <c r="R13" s="707">
        <f>SUM(C13:Q13)</f>
        <v>13738.239318785871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131424.98430385714</v>
      </c>
      <c r="D15" s="709">
        <f t="shared" ref="D15:Q15" ca="1" si="0">SUM(D9:D14)</f>
        <v>1663.0714285714289</v>
      </c>
      <c r="E15" s="709">
        <f t="shared" ca="1" si="0"/>
        <v>372750.29867679591</v>
      </c>
      <c r="F15" s="709">
        <f t="shared" si="0"/>
        <v>2828.2404563312703</v>
      </c>
      <c r="G15" s="709">
        <f t="shared" ca="1" si="0"/>
        <v>12914.441183378112</v>
      </c>
      <c r="H15" s="709">
        <f t="shared" si="0"/>
        <v>0</v>
      </c>
      <c r="I15" s="709">
        <f t="shared" si="0"/>
        <v>0</v>
      </c>
      <c r="J15" s="709">
        <f t="shared" si="0"/>
        <v>0</v>
      </c>
      <c r="K15" s="709">
        <f t="shared" si="0"/>
        <v>1.0662480764073878</v>
      </c>
      <c r="L15" s="709">
        <f t="shared" si="0"/>
        <v>0</v>
      </c>
      <c r="M15" s="709">
        <f t="shared" ca="1" si="0"/>
        <v>0</v>
      </c>
      <c r="N15" s="709">
        <f t="shared" si="0"/>
        <v>0</v>
      </c>
      <c r="O15" s="709">
        <f t="shared" ca="1" si="0"/>
        <v>27310.694682396956</v>
      </c>
      <c r="P15" s="709">
        <f t="shared" si="0"/>
        <v>175.09333333333336</v>
      </c>
      <c r="Q15" s="710">
        <f t="shared" si="0"/>
        <v>457.6</v>
      </c>
      <c r="R15" s="711">
        <f ca="1">SUM(R9:R14)</f>
        <v>549525.49031274056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3741.0869402770627</v>
      </c>
      <c r="I18" s="704">
        <f>transport!H54</f>
        <v>0</v>
      </c>
      <c r="J18" s="704">
        <f>transport!I54</f>
        <v>0</v>
      </c>
      <c r="K18" s="704">
        <f>transport!J54</f>
        <v>0</v>
      </c>
      <c r="L18" s="704">
        <f>transport!K54</f>
        <v>0</v>
      </c>
      <c r="M18" s="704">
        <f>transport!L54</f>
        <v>0</v>
      </c>
      <c r="N18" s="704">
        <f>transport!M54</f>
        <v>166.37528661994119</v>
      </c>
      <c r="O18" s="704">
        <f>transport!N54</f>
        <v>0</v>
      </c>
      <c r="P18" s="704">
        <f>transport!O54</f>
        <v>0</v>
      </c>
      <c r="Q18" s="705">
        <f>transport!P54</f>
        <v>0</v>
      </c>
      <c r="R18" s="707">
        <f>SUM(C18:Q18)</f>
        <v>3907.4622268970038</v>
      </c>
      <c r="S18" s="67"/>
    </row>
    <row r="19" spans="1:19" s="459" customFormat="1" ht="15" thickBot="1">
      <c r="A19" s="858" t="s">
        <v>307</v>
      </c>
      <c r="B19" s="863"/>
      <c r="C19" s="713">
        <f>transport!B14</f>
        <v>10.713535116548075</v>
      </c>
      <c r="D19" s="713">
        <f>transport!C14</f>
        <v>0</v>
      </c>
      <c r="E19" s="713">
        <f>transport!D14</f>
        <v>18.36976304676908</v>
      </c>
      <c r="F19" s="713">
        <f>transport!E14</f>
        <v>576.3118955462877</v>
      </c>
      <c r="G19" s="713">
        <f>transport!F14</f>
        <v>0</v>
      </c>
      <c r="H19" s="713">
        <f>transport!G14</f>
        <v>135208.65107163915</v>
      </c>
      <c r="I19" s="713">
        <f>transport!H14</f>
        <v>27637.772554208615</v>
      </c>
      <c r="J19" s="713">
        <f>transport!I14</f>
        <v>0</v>
      </c>
      <c r="K19" s="713">
        <f>transport!J14</f>
        <v>0</v>
      </c>
      <c r="L19" s="713">
        <f>transport!K14</f>
        <v>0</v>
      </c>
      <c r="M19" s="713">
        <f>transport!L14</f>
        <v>0</v>
      </c>
      <c r="N19" s="713">
        <f>transport!M14</f>
        <v>7282.6585036926526</v>
      </c>
      <c r="O19" s="713">
        <f>transport!N14</f>
        <v>0</v>
      </c>
      <c r="P19" s="713">
        <f>transport!O14</f>
        <v>0</v>
      </c>
      <c r="Q19" s="714">
        <f>transport!P14</f>
        <v>0</v>
      </c>
      <c r="R19" s="715">
        <f>SUM(C19:Q19)</f>
        <v>170734.47732325003</v>
      </c>
      <c r="S19" s="67"/>
    </row>
    <row r="20" spans="1:19" s="459" customFormat="1" ht="15.75" thickBot="1">
      <c r="A20" s="716" t="s">
        <v>230</v>
      </c>
      <c r="B20" s="866"/>
      <c r="C20" s="861">
        <f>SUM(C17:C19)</f>
        <v>10.713535116548075</v>
      </c>
      <c r="D20" s="717">
        <f t="shared" ref="D20:R20" si="1">SUM(D17:D19)</f>
        <v>0</v>
      </c>
      <c r="E20" s="717">
        <f t="shared" si="1"/>
        <v>18.36976304676908</v>
      </c>
      <c r="F20" s="717">
        <f t="shared" si="1"/>
        <v>576.3118955462877</v>
      </c>
      <c r="G20" s="717">
        <f t="shared" si="1"/>
        <v>0</v>
      </c>
      <c r="H20" s="717">
        <f t="shared" si="1"/>
        <v>138949.73801191623</v>
      </c>
      <c r="I20" s="717">
        <f t="shared" si="1"/>
        <v>27637.772554208615</v>
      </c>
      <c r="J20" s="717">
        <f t="shared" si="1"/>
        <v>0</v>
      </c>
      <c r="K20" s="717">
        <f t="shared" si="1"/>
        <v>0</v>
      </c>
      <c r="L20" s="717">
        <f t="shared" si="1"/>
        <v>0</v>
      </c>
      <c r="M20" s="717">
        <f t="shared" si="1"/>
        <v>0</v>
      </c>
      <c r="N20" s="717">
        <f t="shared" si="1"/>
        <v>7449.0337903125937</v>
      </c>
      <c r="O20" s="717">
        <f t="shared" si="1"/>
        <v>0</v>
      </c>
      <c r="P20" s="717">
        <f t="shared" si="1"/>
        <v>0</v>
      </c>
      <c r="Q20" s="718">
        <f t="shared" si="1"/>
        <v>0</v>
      </c>
      <c r="R20" s="719">
        <f t="shared" si="1"/>
        <v>174641.93955014704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83.094293370375212</v>
      </c>
      <c r="D22" s="713">
        <f>+landbouw!C8</f>
        <v>0</v>
      </c>
      <c r="E22" s="713">
        <f>+landbouw!D8</f>
        <v>12424.066293625176</v>
      </c>
      <c r="F22" s="713">
        <f>+landbouw!E8</f>
        <v>1.0470951436814899</v>
      </c>
      <c r="G22" s="713">
        <f>+landbouw!F8</f>
        <v>286.69612849211245</v>
      </c>
      <c r="H22" s="713">
        <f>+landbouw!G8</f>
        <v>0</v>
      </c>
      <c r="I22" s="713">
        <f>+landbouw!H8</f>
        <v>0</v>
      </c>
      <c r="J22" s="713">
        <f>+landbouw!I8</f>
        <v>0</v>
      </c>
      <c r="K22" s="713">
        <f>+landbouw!J8</f>
        <v>12.496437140314818</v>
      </c>
      <c r="L22" s="713">
        <f>+landbouw!K8</f>
        <v>0</v>
      </c>
      <c r="M22" s="713">
        <f>+landbouw!L8</f>
        <v>0</v>
      </c>
      <c r="N22" s="713">
        <f>+landbouw!M8</f>
        <v>0</v>
      </c>
      <c r="O22" s="713">
        <f>+landbouw!N8</f>
        <v>0</v>
      </c>
      <c r="P22" s="713">
        <f>+landbouw!O8</f>
        <v>0</v>
      </c>
      <c r="Q22" s="714">
        <f>+landbouw!P8</f>
        <v>0</v>
      </c>
      <c r="R22" s="715">
        <f>SUM(C22:Q22)</f>
        <v>12807.40024777166</v>
      </c>
      <c r="S22" s="67"/>
    </row>
    <row r="23" spans="1:19" s="459" customFormat="1" ht="17.25" thickTop="1" thickBot="1">
      <c r="A23" s="720" t="s">
        <v>116</v>
      </c>
      <c r="B23" s="852"/>
      <c r="C23" s="721">
        <f ca="1">C20+C15+C22</f>
        <v>131518.79213234407</v>
      </c>
      <c r="D23" s="721">
        <f t="shared" ref="D23:Q23" ca="1" si="2">D20+D15+D22</f>
        <v>1663.0714285714289</v>
      </c>
      <c r="E23" s="721">
        <f t="shared" ca="1" si="2"/>
        <v>385192.73473346786</v>
      </c>
      <c r="F23" s="721">
        <f t="shared" si="2"/>
        <v>3405.5994470212395</v>
      </c>
      <c r="G23" s="721">
        <f t="shared" ca="1" si="2"/>
        <v>13201.137311870225</v>
      </c>
      <c r="H23" s="721">
        <f t="shared" si="2"/>
        <v>138949.73801191623</v>
      </c>
      <c r="I23" s="721">
        <f t="shared" si="2"/>
        <v>27637.772554208615</v>
      </c>
      <c r="J23" s="721">
        <f t="shared" si="2"/>
        <v>0</v>
      </c>
      <c r="K23" s="721">
        <f t="shared" si="2"/>
        <v>13.562685216722205</v>
      </c>
      <c r="L23" s="721">
        <f t="shared" si="2"/>
        <v>0</v>
      </c>
      <c r="M23" s="721">
        <f t="shared" ca="1" si="2"/>
        <v>0</v>
      </c>
      <c r="N23" s="721">
        <f t="shared" si="2"/>
        <v>7449.0337903125937</v>
      </c>
      <c r="O23" s="721">
        <f t="shared" ca="1" si="2"/>
        <v>27310.694682396956</v>
      </c>
      <c r="P23" s="721">
        <f t="shared" si="2"/>
        <v>175.09333333333336</v>
      </c>
      <c r="Q23" s="722">
        <f t="shared" si="2"/>
        <v>457.6</v>
      </c>
      <c r="R23" s="723">
        <f ca="1">R20+R15+R22</f>
        <v>736974.83011065924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11437.415795575624</v>
      </c>
      <c r="D36" s="704">
        <f ca="1">tertiair!C20</f>
        <v>213.88235294117655</v>
      </c>
      <c r="E36" s="704">
        <f ca="1">tertiair!D20</f>
        <v>18612.843913985325</v>
      </c>
      <c r="F36" s="704">
        <f>tertiair!E20</f>
        <v>129.44845006235261</v>
      </c>
      <c r="G36" s="704">
        <f ca="1">tertiair!F20</f>
        <v>2706.2309424971777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33099.821455061654</v>
      </c>
    </row>
    <row r="37" spans="1:18">
      <c r="A37" s="873" t="s">
        <v>225</v>
      </c>
      <c r="B37" s="880"/>
      <c r="C37" s="704">
        <f ca="1">huishoudens!B12</f>
        <v>15838.4900241988</v>
      </c>
      <c r="D37" s="704">
        <f ca="1">huishoudens!C12</f>
        <v>0</v>
      </c>
      <c r="E37" s="704">
        <f>huishoudens!D12</f>
        <v>55917.798548309314</v>
      </c>
      <c r="F37" s="704">
        <f>huishoudens!E12</f>
        <v>372.07629018949723</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72128.364862697606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898.5254963353625</v>
      </c>
      <c r="D39" s="704">
        <f ca="1">industrie!C22</f>
        <v>181.34168067226895</v>
      </c>
      <c r="E39" s="704">
        <f>industrie!D22</f>
        <v>764.91787041814837</v>
      </c>
      <c r="F39" s="704">
        <f>industrie!E22</f>
        <v>140.48584333534853</v>
      </c>
      <c r="G39" s="704">
        <f>industrie!F22</f>
        <v>741.92485346477827</v>
      </c>
      <c r="H39" s="704">
        <f>industrie!G22</f>
        <v>0</v>
      </c>
      <c r="I39" s="704">
        <f>industrie!H22</f>
        <v>0</v>
      </c>
      <c r="J39" s="704">
        <f>industrie!I22</f>
        <v>0</v>
      </c>
      <c r="K39" s="704">
        <f>industrie!J22</f>
        <v>0.37745181904821529</v>
      </c>
      <c r="L39" s="704">
        <f>industrie!K22</f>
        <v>0</v>
      </c>
      <c r="M39" s="704">
        <f>industrie!L22</f>
        <v>0</v>
      </c>
      <c r="N39" s="704">
        <f>industrie!M22</f>
        <v>0</v>
      </c>
      <c r="O39" s="704">
        <f>industrie!N22</f>
        <v>0</v>
      </c>
      <c r="P39" s="704">
        <f>industrie!O22</f>
        <v>0</v>
      </c>
      <c r="Q39" s="814">
        <f>industrie!P22</f>
        <v>0</v>
      </c>
      <c r="R39" s="906">
        <f ca="1">SUM(C39:Q39)</f>
        <v>2727.5731960449548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28174.431316109785</v>
      </c>
      <c r="D41" s="749">
        <f t="shared" ref="D41:R41" ca="1" si="4">SUM(D35:D40)</f>
        <v>395.2240336134455</v>
      </c>
      <c r="E41" s="749">
        <f t="shared" ca="1" si="4"/>
        <v>75295.56033271279</v>
      </c>
      <c r="F41" s="749">
        <f t="shared" si="4"/>
        <v>642.01058358719843</v>
      </c>
      <c r="G41" s="749">
        <f t="shared" ca="1" si="4"/>
        <v>3448.1557959619558</v>
      </c>
      <c r="H41" s="749">
        <f t="shared" si="4"/>
        <v>0</v>
      </c>
      <c r="I41" s="749">
        <f t="shared" si="4"/>
        <v>0</v>
      </c>
      <c r="J41" s="749">
        <f t="shared" si="4"/>
        <v>0</v>
      </c>
      <c r="K41" s="749">
        <f t="shared" si="4"/>
        <v>0.37745181904821529</v>
      </c>
      <c r="L41" s="749">
        <f t="shared" si="4"/>
        <v>0</v>
      </c>
      <c r="M41" s="749">
        <f t="shared" ca="1" si="4"/>
        <v>0</v>
      </c>
      <c r="N41" s="749">
        <f t="shared" si="4"/>
        <v>0</v>
      </c>
      <c r="O41" s="749">
        <f t="shared" ca="1" si="4"/>
        <v>0</v>
      </c>
      <c r="P41" s="749">
        <f t="shared" si="4"/>
        <v>0</v>
      </c>
      <c r="Q41" s="750">
        <f t="shared" si="4"/>
        <v>0</v>
      </c>
      <c r="R41" s="751">
        <f t="shared" ca="1" si="4"/>
        <v>107955.75951380421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998.87021305397582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998.87021305397582</v>
      </c>
    </row>
    <row r="45" spans="1:18" ht="15" thickBot="1">
      <c r="A45" s="876" t="s">
        <v>307</v>
      </c>
      <c r="B45" s="886"/>
      <c r="C45" s="713">
        <f ca="1">transport!B18</f>
        <v>2.2967304192027598</v>
      </c>
      <c r="D45" s="713">
        <f>transport!C18</f>
        <v>0</v>
      </c>
      <c r="E45" s="713">
        <f>transport!D18</f>
        <v>3.7106921354473545</v>
      </c>
      <c r="F45" s="713">
        <f>transport!E18</f>
        <v>130.82280028900732</v>
      </c>
      <c r="G45" s="713">
        <f>transport!F18</f>
        <v>0</v>
      </c>
      <c r="H45" s="713">
        <f>transport!G18</f>
        <v>36100.709836127658</v>
      </c>
      <c r="I45" s="713">
        <f>transport!H18</f>
        <v>6881.805365997945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43119.345424969259</v>
      </c>
    </row>
    <row r="46" spans="1:18" ht="15.75" thickBot="1">
      <c r="A46" s="874" t="s">
        <v>230</v>
      </c>
      <c r="B46" s="887"/>
      <c r="C46" s="749">
        <f t="shared" ref="C46:R46" ca="1" si="5">SUM(C43:C45)</f>
        <v>2.2967304192027598</v>
      </c>
      <c r="D46" s="749">
        <f t="shared" ca="1" si="5"/>
        <v>0</v>
      </c>
      <c r="E46" s="749">
        <f t="shared" si="5"/>
        <v>3.7106921354473545</v>
      </c>
      <c r="F46" s="749">
        <f t="shared" si="5"/>
        <v>130.82280028900732</v>
      </c>
      <c r="G46" s="749">
        <f t="shared" si="5"/>
        <v>0</v>
      </c>
      <c r="H46" s="749">
        <f t="shared" si="5"/>
        <v>37099.580049181634</v>
      </c>
      <c r="I46" s="749">
        <f t="shared" si="5"/>
        <v>6881.805365997945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44118.215638023234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17.813465786014966</v>
      </c>
      <c r="D48" s="704">
        <f ca="1">+landbouw!C12</f>
        <v>0</v>
      </c>
      <c r="E48" s="704">
        <f>+landbouw!D12</f>
        <v>2509.6613913122856</v>
      </c>
      <c r="F48" s="704">
        <f>+landbouw!E12</f>
        <v>0.23769059761569822</v>
      </c>
      <c r="G48" s="704">
        <f>+landbouw!F12</f>
        <v>76.547866307394031</v>
      </c>
      <c r="H48" s="704">
        <f>+landbouw!G12</f>
        <v>0</v>
      </c>
      <c r="I48" s="704">
        <f>+landbouw!H12</f>
        <v>0</v>
      </c>
      <c r="J48" s="704">
        <f>+landbouw!I12</f>
        <v>0</v>
      </c>
      <c r="K48" s="704">
        <f>+landbouw!J12</f>
        <v>4.4237387476714449</v>
      </c>
      <c r="L48" s="704">
        <f>+landbouw!K12</f>
        <v>0</v>
      </c>
      <c r="M48" s="704">
        <f>+landbouw!L12</f>
        <v>0</v>
      </c>
      <c r="N48" s="704">
        <f>+landbouw!M12</f>
        <v>0</v>
      </c>
      <c r="O48" s="704">
        <f>+landbouw!N12</f>
        <v>0</v>
      </c>
      <c r="P48" s="704">
        <f>+landbouw!O12</f>
        <v>0</v>
      </c>
      <c r="Q48" s="705">
        <f>+landbouw!P12</f>
        <v>0</v>
      </c>
      <c r="R48" s="747">
        <f ca="1">SUM(C48:Q48)</f>
        <v>2608.6841527509819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28194.541512315001</v>
      </c>
      <c r="D53" s="759">
        <f t="shared" ref="D53:Q53" ca="1" si="6">D41+D46+D48</f>
        <v>395.2240336134455</v>
      </c>
      <c r="E53" s="759">
        <f t="shared" ca="1" si="6"/>
        <v>77808.932416160518</v>
      </c>
      <c r="F53" s="759">
        <f t="shared" si="6"/>
        <v>773.07107447382145</v>
      </c>
      <c r="G53" s="759">
        <f t="shared" ca="1" si="6"/>
        <v>3524.7036622693499</v>
      </c>
      <c r="H53" s="759">
        <f t="shared" si="6"/>
        <v>37099.580049181634</v>
      </c>
      <c r="I53" s="759">
        <f t="shared" si="6"/>
        <v>6881.805365997945</v>
      </c>
      <c r="J53" s="759">
        <f t="shared" si="6"/>
        <v>0</v>
      </c>
      <c r="K53" s="759">
        <f t="shared" si="6"/>
        <v>4.8011905667196606</v>
      </c>
      <c r="L53" s="759">
        <f t="shared" si="6"/>
        <v>0</v>
      </c>
      <c r="M53" s="759">
        <f t="shared" ca="1" si="6"/>
        <v>0</v>
      </c>
      <c r="N53" s="759">
        <f t="shared" si="6"/>
        <v>0</v>
      </c>
      <c r="O53" s="759">
        <f t="shared" ca="1" si="6"/>
        <v>0</v>
      </c>
      <c r="P53" s="759">
        <f>P41+P46+P48</f>
        <v>0</v>
      </c>
      <c r="Q53" s="760">
        <f t="shared" si="6"/>
        <v>0</v>
      </c>
      <c r="R53" s="761">
        <f ca="1">R41+R46+R48</f>
        <v>154682.65930457841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0.21437652410876418</v>
      </c>
      <c r="D55" s="824">
        <f t="shared" ca="1" si="7"/>
        <v>0.23764705882352943</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4029.3720473413923</v>
      </c>
      <c r="C66" s="781">
        <f>'lokale energieproductie'!B6</f>
        <v>4029.3720473413923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1164.1500000000001</v>
      </c>
      <c r="C67" s="780">
        <f>B67*IFERROR(SUM(J67:L67)/SUM(D67:M67),0)</f>
        <v>0</v>
      </c>
      <c r="D67" s="812">
        <f>'lokale energieproductie'!C7</f>
        <v>1369.5882352941178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276.65682352941184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5193.522047341392</v>
      </c>
      <c r="C69" s="789">
        <f>SUM(C64:C68)</f>
        <v>4029.3720473413923</v>
      </c>
      <c r="D69" s="790">
        <f t="shared" ref="D69:M69" si="8">SUM(D67:D68)</f>
        <v>1369.5882352941178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276.65682352941184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1663.0714285714289</v>
      </c>
      <c r="C78" s="803">
        <f>B78*IFERROR(SUM(I78:L78)/SUM(D78:M78),0)</f>
        <v>0</v>
      </c>
      <c r="D78" s="818">
        <f>'lokale energieproductie'!C16</f>
        <v>1956.55462184874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395.2240336134455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1663.0714285714289</v>
      </c>
      <c r="C81" s="789">
        <f>SUM(C78:C80)</f>
        <v>0</v>
      </c>
      <c r="D81" s="789">
        <f t="shared" ref="D81:P81" si="9">SUM(D78:D80)</f>
        <v>1956.55462184874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395.2240336134455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73881.64394419943</v>
      </c>
      <c r="C4" s="463">
        <f>huishoudens!C8</f>
        <v>0</v>
      </c>
      <c r="D4" s="463">
        <f>huishoudens!D8</f>
        <v>276820.78489262034</v>
      </c>
      <c r="E4" s="463">
        <f>huishoudens!E8</f>
        <v>1639.1025999537321</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21590.106987864427</v>
      </c>
      <c r="O4" s="463">
        <f>huishoudens!O8</f>
        <v>173.53000000000003</v>
      </c>
      <c r="P4" s="464">
        <f>huishoudens!P8</f>
        <v>419.4666666666667</v>
      </c>
      <c r="Q4" s="465">
        <f>SUM(B4:P4)</f>
        <v>374524.6350913046</v>
      </c>
    </row>
    <row r="5" spans="1:17">
      <c r="A5" s="462" t="s">
        <v>156</v>
      </c>
      <c r="B5" s="463">
        <f ca="1">tertiair!B16</f>
        <v>51431.611580541219</v>
      </c>
      <c r="C5" s="463">
        <f ca="1">tertiair!C16</f>
        <v>900.00000000000023</v>
      </c>
      <c r="D5" s="463">
        <f ca="1">tertiair!D16</f>
        <v>92142.791653392691</v>
      </c>
      <c r="E5" s="463">
        <f>tertiair!E16</f>
        <v>570.25748926146525</v>
      </c>
      <c r="F5" s="463">
        <f ca="1">tertiair!F16</f>
        <v>10135.696413847107</v>
      </c>
      <c r="G5" s="463">
        <f>tertiair!G16</f>
        <v>0</v>
      </c>
      <c r="H5" s="463">
        <f>tertiair!H16</f>
        <v>0</v>
      </c>
      <c r="I5" s="463">
        <f>tertiair!I16</f>
        <v>0</v>
      </c>
      <c r="J5" s="463">
        <f>tertiair!J16</f>
        <v>0</v>
      </c>
      <c r="K5" s="463">
        <f>tertiair!K16</f>
        <v>0</v>
      </c>
      <c r="L5" s="463">
        <f ca="1">tertiair!L16</f>
        <v>0</v>
      </c>
      <c r="M5" s="463">
        <f>tertiair!M16</f>
        <v>0</v>
      </c>
      <c r="N5" s="463">
        <f ca="1">tertiair!N16</f>
        <v>4122.176098940984</v>
      </c>
      <c r="O5" s="463">
        <f>tertiair!O16</f>
        <v>1.5633333333333335</v>
      </c>
      <c r="P5" s="464">
        <f>tertiair!P16</f>
        <v>38.133333333333333</v>
      </c>
      <c r="Q5" s="462">
        <f t="shared" ref="Q5:Q13" ca="1" si="0">SUM(B5:P5)</f>
        <v>159342.22990265011</v>
      </c>
    </row>
    <row r="6" spans="1:17">
      <c r="A6" s="462" t="s">
        <v>194</v>
      </c>
      <c r="B6" s="463">
        <f>'openbare verlichting'!B8</f>
        <v>1920.386</v>
      </c>
      <c r="C6" s="463"/>
      <c r="D6" s="463"/>
      <c r="E6" s="463"/>
      <c r="F6" s="463"/>
      <c r="G6" s="463"/>
      <c r="H6" s="463"/>
      <c r="I6" s="463"/>
      <c r="J6" s="463"/>
      <c r="K6" s="463"/>
      <c r="L6" s="463"/>
      <c r="M6" s="463"/>
      <c r="N6" s="463"/>
      <c r="O6" s="463"/>
      <c r="P6" s="464"/>
      <c r="Q6" s="462">
        <f t="shared" si="0"/>
        <v>1920.386</v>
      </c>
    </row>
    <row r="7" spans="1:17">
      <c r="A7" s="462" t="s">
        <v>112</v>
      </c>
      <c r="B7" s="463">
        <f>landbouw!B8</f>
        <v>83.094293370375212</v>
      </c>
      <c r="C7" s="463">
        <f>landbouw!C8</f>
        <v>0</v>
      </c>
      <c r="D7" s="463">
        <f>landbouw!D8</f>
        <v>12424.066293625176</v>
      </c>
      <c r="E7" s="463">
        <f>landbouw!E8</f>
        <v>1.0470951436814899</v>
      </c>
      <c r="F7" s="463">
        <f>landbouw!F8</f>
        <v>286.69612849211245</v>
      </c>
      <c r="G7" s="463">
        <f>landbouw!G8</f>
        <v>0</v>
      </c>
      <c r="H7" s="463">
        <f>landbouw!H8</f>
        <v>0</v>
      </c>
      <c r="I7" s="463">
        <f>landbouw!I8</f>
        <v>0</v>
      </c>
      <c r="J7" s="463">
        <f>landbouw!J8</f>
        <v>12.496437140314818</v>
      </c>
      <c r="K7" s="463">
        <f>landbouw!K8</f>
        <v>0</v>
      </c>
      <c r="L7" s="463">
        <f>landbouw!L8</f>
        <v>0</v>
      </c>
      <c r="M7" s="463">
        <f>landbouw!M8</f>
        <v>0</v>
      </c>
      <c r="N7" s="463">
        <f>landbouw!N8</f>
        <v>0</v>
      </c>
      <c r="O7" s="463">
        <f>landbouw!O8</f>
        <v>0</v>
      </c>
      <c r="P7" s="464">
        <f>landbouw!P8</f>
        <v>0</v>
      </c>
      <c r="Q7" s="462">
        <f t="shared" si="0"/>
        <v>12807.40024777166</v>
      </c>
    </row>
    <row r="8" spans="1:17">
      <c r="A8" s="462" t="s">
        <v>657</v>
      </c>
      <c r="B8" s="463">
        <f>industrie!B18</f>
        <v>4191.3427791164977</v>
      </c>
      <c r="C8" s="463">
        <f>industrie!C18</f>
        <v>763.07142857142867</v>
      </c>
      <c r="D8" s="463">
        <f>industrie!D18</f>
        <v>3786.7221307829127</v>
      </c>
      <c r="E8" s="463">
        <f>industrie!E18</f>
        <v>618.88036711607288</v>
      </c>
      <c r="F8" s="463">
        <f>industrie!F18</f>
        <v>2778.7447695310047</v>
      </c>
      <c r="G8" s="463">
        <f>industrie!G18</f>
        <v>0</v>
      </c>
      <c r="H8" s="463">
        <f>industrie!H18</f>
        <v>0</v>
      </c>
      <c r="I8" s="463">
        <f>industrie!I18</f>
        <v>0</v>
      </c>
      <c r="J8" s="463">
        <f>industrie!J18</f>
        <v>1.0662480764073878</v>
      </c>
      <c r="K8" s="463">
        <f>industrie!K18</f>
        <v>0</v>
      </c>
      <c r="L8" s="463">
        <f>industrie!L18</f>
        <v>0</v>
      </c>
      <c r="M8" s="463">
        <f>industrie!M18</f>
        <v>0</v>
      </c>
      <c r="N8" s="463">
        <f>industrie!N18</f>
        <v>1598.4115955915456</v>
      </c>
      <c r="O8" s="463">
        <f>industrie!O18</f>
        <v>0</v>
      </c>
      <c r="P8" s="464">
        <f>industrie!P18</f>
        <v>0</v>
      </c>
      <c r="Q8" s="462">
        <f t="shared" si="0"/>
        <v>13738.239318785871</v>
      </c>
    </row>
    <row r="9" spans="1:17" s="468" customFormat="1">
      <c r="A9" s="466" t="s">
        <v>574</v>
      </c>
      <c r="B9" s="467">
        <f>transport!B14</f>
        <v>10.713535116548075</v>
      </c>
      <c r="C9" s="467">
        <f>transport!C14</f>
        <v>0</v>
      </c>
      <c r="D9" s="467">
        <f>transport!D14</f>
        <v>18.36976304676908</v>
      </c>
      <c r="E9" s="467">
        <f>transport!E14</f>
        <v>576.3118955462877</v>
      </c>
      <c r="F9" s="467">
        <f>transport!F14</f>
        <v>0</v>
      </c>
      <c r="G9" s="467">
        <f>transport!G14</f>
        <v>135208.65107163915</v>
      </c>
      <c r="H9" s="467">
        <f>transport!H14</f>
        <v>27637.772554208615</v>
      </c>
      <c r="I9" s="467">
        <f>transport!I14</f>
        <v>0</v>
      </c>
      <c r="J9" s="467">
        <f>transport!J14</f>
        <v>0</v>
      </c>
      <c r="K9" s="467">
        <f>transport!K14</f>
        <v>0</v>
      </c>
      <c r="L9" s="467">
        <f>transport!L14</f>
        <v>0</v>
      </c>
      <c r="M9" s="467">
        <f>transport!M14</f>
        <v>7282.6585036926526</v>
      </c>
      <c r="N9" s="467">
        <f>transport!N14</f>
        <v>0</v>
      </c>
      <c r="O9" s="467">
        <f>transport!O14</f>
        <v>0</v>
      </c>
      <c r="P9" s="467">
        <f>transport!P14</f>
        <v>0</v>
      </c>
      <c r="Q9" s="466">
        <f>SUM(B9:P9)</f>
        <v>170734.47732325003</v>
      </c>
    </row>
    <row r="10" spans="1:17">
      <c r="A10" s="462" t="s">
        <v>564</v>
      </c>
      <c r="B10" s="463">
        <f>transport!B54</f>
        <v>0</v>
      </c>
      <c r="C10" s="463">
        <f>transport!C54</f>
        <v>0</v>
      </c>
      <c r="D10" s="463">
        <f>transport!D54</f>
        <v>0</v>
      </c>
      <c r="E10" s="463">
        <f>transport!E54</f>
        <v>0</v>
      </c>
      <c r="F10" s="463">
        <f>transport!F54</f>
        <v>0</v>
      </c>
      <c r="G10" s="463">
        <f>transport!G54</f>
        <v>3741.0869402770627</v>
      </c>
      <c r="H10" s="463">
        <f>transport!H54</f>
        <v>0</v>
      </c>
      <c r="I10" s="463">
        <f>transport!I54</f>
        <v>0</v>
      </c>
      <c r="J10" s="463">
        <f>transport!J54</f>
        <v>0</v>
      </c>
      <c r="K10" s="463">
        <f>transport!K54</f>
        <v>0</v>
      </c>
      <c r="L10" s="463">
        <f>transport!L54</f>
        <v>0</v>
      </c>
      <c r="M10" s="463">
        <f>transport!M54</f>
        <v>166.37528661994119</v>
      </c>
      <c r="N10" s="463">
        <f>transport!N54</f>
        <v>0</v>
      </c>
      <c r="O10" s="463">
        <f>transport!O54</f>
        <v>0</v>
      </c>
      <c r="P10" s="464">
        <f>transport!P54</f>
        <v>0</v>
      </c>
      <c r="Q10" s="462">
        <f t="shared" si="0"/>
        <v>3907.4622268970038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131518.79213234407</v>
      </c>
      <c r="C14" s="473">
        <f t="shared" ref="C14:Q14" ca="1" si="1">SUM(C4:C13)</f>
        <v>1663.0714285714289</v>
      </c>
      <c r="D14" s="473">
        <f t="shared" ca="1" si="1"/>
        <v>385192.73473346786</v>
      </c>
      <c r="E14" s="473">
        <f t="shared" si="1"/>
        <v>3405.599447021239</v>
      </c>
      <c r="F14" s="473">
        <f t="shared" ca="1" si="1"/>
        <v>13201.137311870225</v>
      </c>
      <c r="G14" s="473">
        <f t="shared" si="1"/>
        <v>138949.73801191623</v>
      </c>
      <c r="H14" s="473">
        <f t="shared" si="1"/>
        <v>27637.772554208615</v>
      </c>
      <c r="I14" s="473">
        <f t="shared" si="1"/>
        <v>0</v>
      </c>
      <c r="J14" s="473">
        <f t="shared" si="1"/>
        <v>13.562685216722205</v>
      </c>
      <c r="K14" s="473">
        <f t="shared" si="1"/>
        <v>0</v>
      </c>
      <c r="L14" s="473">
        <f t="shared" ca="1" si="1"/>
        <v>0</v>
      </c>
      <c r="M14" s="473">
        <f t="shared" si="1"/>
        <v>7449.0337903125937</v>
      </c>
      <c r="N14" s="473">
        <f t="shared" ca="1" si="1"/>
        <v>27310.694682396956</v>
      </c>
      <c r="O14" s="473">
        <f t="shared" si="1"/>
        <v>175.09333333333336</v>
      </c>
      <c r="P14" s="474">
        <f t="shared" si="1"/>
        <v>457.6</v>
      </c>
      <c r="Q14" s="474">
        <f t="shared" ca="1" si="1"/>
        <v>736974.83011065936</v>
      </c>
    </row>
    <row r="16" spans="1:17">
      <c r="A16" s="476" t="s">
        <v>569</v>
      </c>
      <c r="B16" s="829">
        <f ca="1">huishoudens!B10</f>
        <v>0.21437652410876418</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15838.4900241988</v>
      </c>
      <c r="C21" s="463">
        <f t="shared" ref="C21:C30" ca="1" si="3">C4*$C$16</f>
        <v>0</v>
      </c>
      <c r="D21" s="463">
        <f t="shared" ref="D21:D30" si="4">D4*$D$16</f>
        <v>55917.798548309314</v>
      </c>
      <c r="E21" s="463">
        <f t="shared" ref="E21:E30" si="5">E4*$E$16</f>
        <v>372.07629018949723</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72128.364862697606</v>
      </c>
    </row>
    <row r="22" spans="1:17">
      <c r="A22" s="462" t="s">
        <v>156</v>
      </c>
      <c r="B22" s="463">
        <f t="shared" ca="1" si="2"/>
        <v>11025.73011994849</v>
      </c>
      <c r="C22" s="463">
        <f t="shared" ca="1" si="3"/>
        <v>213.88235294117655</v>
      </c>
      <c r="D22" s="463">
        <f t="shared" ca="1" si="4"/>
        <v>18612.843913985325</v>
      </c>
      <c r="E22" s="463">
        <f t="shared" si="5"/>
        <v>129.44845006235261</v>
      </c>
      <c r="F22" s="463">
        <f t="shared" ca="1" si="6"/>
        <v>2706.2309424971777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32688.13577943452</v>
      </c>
    </row>
    <row r="23" spans="1:17">
      <c r="A23" s="462" t="s">
        <v>194</v>
      </c>
      <c r="B23" s="463">
        <f t="shared" ca="1" si="2"/>
        <v>411.68567562713321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411.68567562713321</v>
      </c>
    </row>
    <row r="24" spans="1:17">
      <c r="A24" s="462" t="s">
        <v>112</v>
      </c>
      <c r="B24" s="463">
        <f t="shared" ca="1" si="2"/>
        <v>17.813465786014966</v>
      </c>
      <c r="C24" s="463">
        <f t="shared" ca="1" si="3"/>
        <v>0</v>
      </c>
      <c r="D24" s="463">
        <f t="shared" si="4"/>
        <v>2509.6613913122856</v>
      </c>
      <c r="E24" s="463">
        <f t="shared" si="5"/>
        <v>0.23769059761569822</v>
      </c>
      <c r="F24" s="463">
        <f t="shared" si="6"/>
        <v>76.547866307394031</v>
      </c>
      <c r="G24" s="463">
        <f t="shared" si="7"/>
        <v>0</v>
      </c>
      <c r="H24" s="463">
        <f t="shared" si="8"/>
        <v>0</v>
      </c>
      <c r="I24" s="463">
        <f t="shared" si="9"/>
        <v>0</v>
      </c>
      <c r="J24" s="463">
        <f t="shared" si="10"/>
        <v>4.4237387476714449</v>
      </c>
      <c r="K24" s="463">
        <f t="shared" si="11"/>
        <v>0</v>
      </c>
      <c r="L24" s="463">
        <f t="shared" si="12"/>
        <v>0</v>
      </c>
      <c r="M24" s="463">
        <f t="shared" si="13"/>
        <v>0</v>
      </c>
      <c r="N24" s="463">
        <f t="shared" si="14"/>
        <v>0</v>
      </c>
      <c r="O24" s="463">
        <f t="shared" si="15"/>
        <v>0</v>
      </c>
      <c r="P24" s="464">
        <f t="shared" si="16"/>
        <v>0</v>
      </c>
      <c r="Q24" s="462">
        <f t="shared" ca="1" si="17"/>
        <v>2608.6841527509819</v>
      </c>
    </row>
    <row r="25" spans="1:17">
      <c r="A25" s="462" t="s">
        <v>657</v>
      </c>
      <c r="B25" s="463">
        <f t="shared" ca="1" si="2"/>
        <v>898.5254963353625</v>
      </c>
      <c r="C25" s="463">
        <f t="shared" ca="1" si="3"/>
        <v>181.34168067226895</v>
      </c>
      <c r="D25" s="463">
        <f t="shared" si="4"/>
        <v>764.91787041814837</v>
      </c>
      <c r="E25" s="463">
        <f t="shared" si="5"/>
        <v>140.48584333534853</v>
      </c>
      <c r="F25" s="463">
        <f t="shared" si="6"/>
        <v>741.92485346477827</v>
      </c>
      <c r="G25" s="463">
        <f t="shared" si="7"/>
        <v>0</v>
      </c>
      <c r="H25" s="463">
        <f t="shared" si="8"/>
        <v>0</v>
      </c>
      <c r="I25" s="463">
        <f t="shared" si="9"/>
        <v>0</v>
      </c>
      <c r="J25" s="463">
        <f t="shared" si="10"/>
        <v>0.37745181904821529</v>
      </c>
      <c r="K25" s="463">
        <f t="shared" si="11"/>
        <v>0</v>
      </c>
      <c r="L25" s="463">
        <f t="shared" si="12"/>
        <v>0</v>
      </c>
      <c r="M25" s="463">
        <f t="shared" si="13"/>
        <v>0</v>
      </c>
      <c r="N25" s="463">
        <f t="shared" si="14"/>
        <v>0</v>
      </c>
      <c r="O25" s="463">
        <f t="shared" si="15"/>
        <v>0</v>
      </c>
      <c r="P25" s="464">
        <f t="shared" si="16"/>
        <v>0</v>
      </c>
      <c r="Q25" s="462">
        <f t="shared" ca="1" si="17"/>
        <v>2727.5731960449548</v>
      </c>
    </row>
    <row r="26" spans="1:17" s="468" customFormat="1">
      <c r="A26" s="466" t="s">
        <v>574</v>
      </c>
      <c r="B26" s="823">
        <f t="shared" ca="1" si="2"/>
        <v>2.2967304192027598</v>
      </c>
      <c r="C26" s="467">
        <f t="shared" ca="1" si="3"/>
        <v>0</v>
      </c>
      <c r="D26" s="467">
        <f t="shared" si="4"/>
        <v>3.7106921354473545</v>
      </c>
      <c r="E26" s="467">
        <f t="shared" si="5"/>
        <v>130.82280028900732</v>
      </c>
      <c r="F26" s="467">
        <f t="shared" si="6"/>
        <v>0</v>
      </c>
      <c r="G26" s="467">
        <f t="shared" si="7"/>
        <v>36100.709836127658</v>
      </c>
      <c r="H26" s="467">
        <f t="shared" si="8"/>
        <v>6881.805365997945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43119.345424969259</v>
      </c>
    </row>
    <row r="27" spans="1:17">
      <c r="A27" s="462" t="s">
        <v>564</v>
      </c>
      <c r="B27" s="463">
        <f t="shared" ca="1" si="2"/>
        <v>0</v>
      </c>
      <c r="C27" s="463">
        <f t="shared" ca="1" si="3"/>
        <v>0</v>
      </c>
      <c r="D27" s="463">
        <f t="shared" si="4"/>
        <v>0</v>
      </c>
      <c r="E27" s="463">
        <f t="shared" si="5"/>
        <v>0</v>
      </c>
      <c r="F27" s="463">
        <f t="shared" si="6"/>
        <v>0</v>
      </c>
      <c r="G27" s="463">
        <f t="shared" si="7"/>
        <v>998.87021305397582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998.87021305397582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28194.541512315001</v>
      </c>
      <c r="C31" s="473">
        <f t="shared" ca="1" si="18"/>
        <v>395.2240336134455</v>
      </c>
      <c r="D31" s="473">
        <f t="shared" ca="1" si="18"/>
        <v>77808.932416160518</v>
      </c>
      <c r="E31" s="473">
        <f t="shared" si="18"/>
        <v>773.07107447382145</v>
      </c>
      <c r="F31" s="473">
        <f t="shared" ca="1" si="18"/>
        <v>3524.7036622693499</v>
      </c>
      <c r="G31" s="473">
        <f t="shared" si="18"/>
        <v>37099.580049181634</v>
      </c>
      <c r="H31" s="473">
        <f t="shared" si="18"/>
        <v>6881.805365997945</v>
      </c>
      <c r="I31" s="473">
        <f t="shared" si="18"/>
        <v>0</v>
      </c>
      <c r="J31" s="473">
        <f t="shared" si="18"/>
        <v>4.8011905667196606</v>
      </c>
      <c r="K31" s="473">
        <f t="shared" si="18"/>
        <v>0</v>
      </c>
      <c r="L31" s="473">
        <f t="shared" ca="1" si="18"/>
        <v>0</v>
      </c>
      <c r="M31" s="473">
        <f t="shared" si="18"/>
        <v>0</v>
      </c>
      <c r="N31" s="473">
        <f t="shared" ca="1" si="18"/>
        <v>0</v>
      </c>
      <c r="O31" s="473">
        <f t="shared" si="18"/>
        <v>0</v>
      </c>
      <c r="P31" s="474">
        <f t="shared" si="18"/>
        <v>0</v>
      </c>
      <c r="Q31" s="474">
        <f t="shared" ca="1" si="18"/>
        <v>154682.65930457841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0.21437652410876418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0.21437652410876418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0.21437652410876418</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2018-06-27T09:28:36Z</dcterms:modified>
</cp:coreProperties>
</file>