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L12" i="17"/>
  <c r="M48" i="14" s="1"/>
  <c r="M14" i="22"/>
  <c r="E7" i="48"/>
  <c r="E24" s="1"/>
  <c r="G14" i="22"/>
  <c r="I7" i="18"/>
  <c r="M7" s="1"/>
  <c r="M9" s="1"/>
  <c r="J78" i="14"/>
  <c r="J81" s="1"/>
  <c r="I19" i="18"/>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E55" l="1"/>
  <c r="F22" i="16"/>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<sst xmlns="http://schemas.openxmlformats.org/spreadsheetml/2006/main" count="2018" uniqueCount="877">
  <si>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</si>
  <si>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</si>
  <si>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</si>
  <si>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</si>
  <si>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</si>
  <si>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</si>
  <si>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</si>
  <si>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</si>
  <si>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</si>
  <si>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</si>
  <si>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</si>
  <si>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</si>
  <si>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</si>
  <si>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</si>
  <si>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</si>
  <si>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</si>
  <si>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</si>
  <si>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</si>
  <si>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</si>
  <si>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</si>
  <si>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</si>
  <si>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</si>
  <si>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</si>
  <si>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</si>
  <si>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</si>
  <si>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</si>
  <si>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</si>
  <si>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</si>
  <si>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</si>
  <si>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</si>
  <si>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</si>
  <si>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</si>
  <si>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</si>
  <si>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</si>
  <si>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</si>
  <si>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</si>
  <si>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</si>
  <si>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</si>
  <si>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</si>
  <si>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</si>
  <si>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</si>
  <si>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</si>
  <si>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</si>
  <si>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</si>
  <si>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</si>
  <si>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</si>
  <si>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</si>
  <si>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</si>
  <si>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</si>
  <si>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</si>
  <si>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</si>
  <si>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</si>
  <si>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</si>
  <si>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</si>
  <si>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</si>
  <si>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</si>
  <si>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</si>
  <si>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</si>
  <si>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</si>
  <si>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</si>
  <si>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</si>
  <si>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</si>
  <si>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</si>
  <si>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</si>
  <si>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</si>
  <si>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</si>
  <si>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</si>
  <si>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</si>
  <si>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</si>
  <si>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</si>
  <si>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</si>
  <si>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</si>
  <si>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</si>
  <si>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</si>
  <si>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</si>
  <si>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</si>
  <si>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</si>
  <si>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</si>
  <si>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</si>
  <si>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</si>
  <si>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</si>
  <si>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</si>
  <si>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</si>
  <si>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</si>
  <si>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</si>
  <si>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</si>
  <si>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</si>
  <si>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</si>
  <si>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</si>
  <si>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</si>
  <si>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</si>
  <si>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</si>
  <si>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</si>
  <si>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</si>
  <si>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</si>
  <si>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</si>
  <si>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</si>
  <si>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</si>
  <si>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</si>
  <si>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</si>
  <si>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</si>
  <si>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</si>
  <si>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</si>
  <si>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</si>
  <si>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</si>
  <si>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</si>
  <si>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</si>
  <si>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</si>
  <si>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</si>
  <si>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</si>
  <si>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</si>
  <si>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</si>
  <si>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</si>
  <si>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</si>
  <si>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</si>
  <si>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</si>
  <si>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</si>
  <si>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</si>
  <si>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</si>
  <si>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</si>
  <si>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</si>
  <si>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</si>
  <si>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</si>
  <si>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</si>
  <si>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</si>
  <si>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</si>
  <si>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</si>
  <si>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</si>
  <si>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</si>
  <si>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</si>
  <si>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</si>
  <si>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</si>
  <si>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</si>
  <si>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</si>
  <si>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</si>
  <si>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</si>
  <si>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</si>
  <si>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</si>
  <si>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</si>
  <si>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</si>
  <si>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</si>
  <si>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</si>
  <si>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</si>
  <si>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</si>
  <si>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</si>
  <si>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</si>
  <si>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</si>
  <si>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</si>
  <si>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</si>
  <si>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</si>
  <si>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</si>
  <si>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</si>
  <si>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</si>
  <si>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</si>
  <si>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</si>
  <si>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</si>
  <si>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</si>
  <si>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</si>
  <si>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</si>
  <si>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</si>
  <si>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</si>
  <si>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</si>
  <si>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</si>
  <si>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</si>
  <si>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</si>
  <si>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</si>
  <si>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</si>
  <si>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</si>
  <si>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</si>
  <si>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</si>
  <si>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</si>
  <si>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</si>
  <si>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</si>
  <si>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</si>
  <si>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</si>
  <si>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</si>
  <si>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</si>
  <si>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</si>
  <si>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</si>
  <si>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</si>
  <si>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</si>
  <si>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</si>
  <si>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</si>
  <si>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</si>
  <si>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</si>
  <si>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</si>
  <si>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</si>
  <si>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</si>
  <si>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</si>
  <si>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</si>
  <si>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</si>
  <si>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</si>
  <si>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</si>
  <si>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</si>
  <si>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</si>
  <si>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</si>
  <si>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</si>
  <si>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</si>
  <si>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</si>
  <si>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</si>
  <si>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</si>
  <si>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</si>
  <si>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</si>
  <si>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</si>
  <si>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</si>
  <si>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</si>
  <si>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</si>
  <si>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</si>
  <si>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</si>
  <si>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</si>
  <si>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</si>
  <si>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</si>
  <si>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</si>
  <si>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</si>
  <si>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</si>
  <si>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</si>
  <si>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</si>
  <si>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</si>
  <si>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</si>
  <si>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</si>
  <si>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</si>
  <si>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</si>
  <si>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</si>
  <si>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</si>
  <si>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</si>
  <si>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</si>
  <si>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</si>
  <si>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</si>
  <si>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</si>
  <si>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</si>
  <si>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</si>
  <si>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</si>
  <si>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</si>
  <si>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</si>
  <si>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</si>
  <si>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</si>
  <si>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</si>
  <si>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</si>
  <si>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</si>
  <si>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</si>
  <si>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</si>
  <si>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</si>
  <si>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</si>
  <si>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</si>
  <si>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</si>
  <si>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</si>
  <si>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</si>
  <si>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</si>
  <si>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</si>
  <si>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</si>
  <si>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</si>
  <si>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</si>
  <si>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</si>
  <si>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</si>
  <si>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</si>
  <si>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</si>
  <si>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</si>
  <si>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</si>
  <si>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</si>
  <si>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</si>
  <si>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</si>
  <si>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</si>
  <si>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</si>
  <si>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</si>
  <si>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</si>
  <si>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</si>
  <si>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</si>
  <si>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</si>
  <si>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</si>
  <si>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</si>
  <si>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</si>
  <si>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</si>
  <si>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</si>
  <si>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</si>
  <si>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</si>
  <si>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</si>
  <si>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</si>
  <si>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</si>
  <si>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</si>
  <si>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</si>
  <si>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</si>
  <si>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</si>
  <si>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</si>
  <si>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</si>
  <si>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</si>
  <si>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</si>
  <si>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</si>
  <si>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</si>
  <si>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</si>
  <si>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</si>
  <si>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</si>
  <si>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</si>
  <si>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</si>
  <si>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</si>
  <si>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</si>
  <si>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</si>
  <si>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</si>
  <si>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</si>
  <si>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</si>
  <si>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</si>
  <si>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</si>
  <si>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</si>
  <si>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</si>
  <si>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</si>
  <si>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</si>
  <si>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</si>
  <si>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</si>
  <si>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</si>
  <si>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</si>
  <si>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</si>
  <si>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</si>
  <si>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</si>
  <si>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</si>
  <si>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</si>
  <si>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</si>
  <si>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</si>
  <si>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</si>
  <si>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</si>
  <si>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</si>
  <si>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</si>
  <si>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</si>
  <si>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</si>
  <si>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</si>
  <si>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</si>
  <si>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</si>
  <si>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</si>
  <si>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</si>
  <si>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</si>
  <si>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</si>
  <si>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</si>
  <si>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</si>
  <si>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</si>
  <si>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</si>
  <si>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</si>
  <si>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</si>
  <si>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</si>
  <si>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</si>
  <si>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</si>
  <si>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</si>
  <si>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</si>
  <si>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</si>
  <si>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</si>
  <si>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</si>
  <si>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</si>
  <si>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</si>
  <si>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</si>
  <si>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</si>
  <si>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</si>
  <si>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</si>
  <si>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</si>
  <si>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</si>
  <si>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</si>
  <si>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</si>
  <si>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</si>
  <si>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</si>
  <si>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</si>
  <si>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</si>
  <si>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</si>
  <si>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</si>
  <si>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</si>
  <si>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</si>
  <si>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</si>
  <si>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</si>
  <si>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</si>
  <si>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</si>
  <si>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</si>
  <si>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</si>
  <si>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</si>
  <si>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</si>
  <si>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</si>
  <si>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</si>
  <si>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</si>
  <si>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</si>
  <si>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</si>
  <si>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</si>
  <si>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</si>
  <si>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</si>
  <si>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</si>
  <si>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</si>
  <si>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</si>
  <si>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</si>
  <si>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</si>
  <si>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</si>
  <si>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</si>
  <si>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</si>
  <si>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</si>
  <si>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</si>
  <si>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</si>
  <si>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</si>
  <si>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</si>
  <si>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</si>
  <si>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</si>
  <si>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</si>
  <si>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</si>
  <si>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</si>
  <si>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</si>
  <si>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</si>
  <si>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</si>
  <si>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</si>
  <si>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</si>
  <si>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</si>
  <si>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</si>
  <si>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</si>
  <si>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</si>
  <si>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</si>
  <si>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</si>
  <si>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</si>
  <si>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</si>
  <si>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</si>
  <si>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</si>
  <si>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</si>
  <si>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</si>
  <si>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</si>
  <si>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</si>
  <si>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</si>
  <si>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</si>
  <si>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</si>
  <si>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</si>
  <si>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</si>
  <si>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</si>
  <si>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</si>
  <si>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</si>
  <si>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</si>
  <si>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</si>
  <si>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</si>
  <si>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</si>
  <si>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</si>
  <si>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</si>
  <si>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</si>
  <si>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</si>
  <si>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</si>
  <si>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</si>
  <si>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</si>
  <si>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</si>
  <si>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</si>
  <si>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</si>
  <si>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</si>
  <si>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</si>
  <si>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</si>
  <si>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</si>
  <si>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</si>
  <si>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</si>
  <si>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</si>
  <si>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</si>
  <si>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</si>
  <si>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</si>
  <si>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</si>
  <si>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</si>
  <si>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</si>
  <si>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</si>
  <si>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</si>
  <si>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</si>
  <si>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</si>
  <si>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</si>
  <si>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</si>
  <si>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</si>
  <si>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</si>
  <si>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</si>
  <si>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</si>
  <si>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</si>
  <si>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</si>
  <si>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</si>
  <si>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</si>
  <si>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</si>
  <si>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</si>
  <si>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</si>
  <si>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</si>
  <si>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</si>
  <si>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</si>
  <si>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</si>
  <si>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</si>
  <si>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</si>
  <si>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</si>
  <si>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</si>
  <si>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</si>
  <si>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</si>
  <si>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</si>
  <si>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</si>
  <si>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</si>
  <si>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</si>
  <si>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</si>
  <si>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</si>
  <si>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</si>
  <si>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</si>
  <si>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</si>
  <si>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</si>
  <si>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</si>
  <si>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</si>
  <si>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</si>
  <si>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</si>
  <si>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</si>
  <si>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</si>
  <si>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</si>
  <si>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</si>
  <si>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</si>
  <si>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</si>
  <si>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</si>
  <si>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</si>
  <si>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</si>
  <si>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</si>
  <si>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</si>
  <si>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</si>
  <si>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</si>
  <si>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</si>
  <si>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</si>
  <si>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</si>
  <si>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</si>
  <si>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</si>
  <si>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</si>
  <si>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</si>
  <si>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</si>
  <si>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</si>
  <si>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</si>
  <si>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</si>
  <si>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</si>
  <si>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</si>
  <si>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</si>
  <si>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</si>
  <si>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</si>
  <si>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</si>
  <si>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</si>
  <si>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</si>
  <si>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</si>
  <si>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</si>
  <si>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</si>
  <si>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</si>
  <si>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</si>
  <si>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</si>
  <si>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</si>
  <si>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</si>
  <si>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</si>
  <si>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</si>
  <si>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</si>
  <si>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</si>
  <si>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</si>
  <si>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</si>
  <si>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</si>
  <si>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</si>
  <si>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</si>
  <si>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</si>
  <si>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</si>
  <si>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</si>
  <si>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</si>
  <si>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</si>
  <si>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</si>
  <si>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</si>
  <si>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</si>
  <si>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</si>
  <si>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</si>
  <si>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</si>
  <si>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</si>
  <si>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</si>
  <si>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</si>
  <si>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</si>
  <si>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</si>
  <si>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</si>
  <si>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</si>
  <si>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</si>
  <si>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</si>
  <si>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</si>
  <si>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</si>
  <si>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</si>
  <si>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</si>
  <si>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</si>
  <si>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</si>
  <si>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</si>
  <si>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</si>
  <si>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</si>
  <si>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</si>
  <si>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</si>
  <si>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</si>
  <si>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</si>
  <si>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</si>
  <si>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</si>
  <si>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</si>
  <si>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</si>
  <si>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</si>
  <si>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</si>
  <si>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</si>
  <si>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</si>
  <si>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</si>
  <si>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</si>
  <si>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</si>
  <si>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</si>
  <si>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</si>
  <si>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</si>
  <si>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</si>
  <si>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</si>
  <si>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</si>
  <si>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</si>
  <si>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</si>
  <si>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</si>
  <si>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</si>
  <si>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</si>
  <si>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</si>
  <si>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</si>
  <si>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</si>
  <si>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</si>
  <si>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</si>
  <si>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</si>
  <si>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</si>
  <si>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</si>
  <si>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</si>
  <si>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</si>
  <si>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</si>
  <si>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</si>
  <si>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</si>
  <si>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</si>
  <si>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</si>
  <si>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</si>
  <si>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</si>
  <si>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</si>
  <si>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</si>
  <si>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</si>
  <si>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</si>
  <si>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</si>
  <si>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</si>
  <si>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</si>
  <si>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</si>
  <si>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</si>
  <si>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</si>
  <si>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</si>
  <si>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</si>
  <si>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</si>
  <si>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</si>
  <si>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</si>
  <si>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</si>
  <si>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</si>
  <si>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</si>
  <si>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</si>
  <si>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</si>
  <si>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</si>
  <si>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</si>
  <si>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</si>
  <si>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</si>
  <si>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</si>
  <si>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</si>
  <si>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</si>
  <si>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</si>
  <si>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</si>
  <si>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</si>
  <si>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</si>
  <si>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</si>
  <si>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</si>
  <si>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</si>
  <si>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</si>
  <si>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</si>
  <si>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</si>
  <si>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</si>
  <si>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</si>
  <si>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</si>
  <si>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</si>
  <si>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</si>
  <si>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</si>
  <si>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</si>
  <si>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</si>
  <si>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</si>
  <si>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</si>
  <si>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</si>
  <si>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</si>
  <si>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</si>
  <si>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</si>
  <si>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</si>
  <si>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</si>
  <si>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</si>
  <si>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</si>
  <si>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</si>
  <si>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</si>
  <si>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</si>
  <si>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</si>
  <si>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</si>
  <si>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</si>
  <si>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</si>
  <si>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</si>
  <si>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</si>
  <si>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</si>
  <si>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</si>
  <si>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</si>
  <si>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</si>
  <si>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</si>
  <si>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</si>
  <si>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</si>
  <si>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</si>
  <si>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</si>
  <si>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</si>
  <si>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</si>
  <si>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</si>
  <si>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</si>
  <si>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</si>
  <si>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</si>
  <si>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</si>
  <si>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</si>
  <si>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</si>
  <si>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</si>
  <si>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</si>
  <si>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</si>
  <si>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</si>
  <si>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</si>
  <si>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</si>
  <si>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</si>
  <si>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</si>
  <si>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</si>
  <si>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</si>
  <si>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</si>
  <si>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</si>
  <si>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</si>
  <si>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</si>
  <si>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</si>
  <si>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</si>
  <si>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</si>
  <si>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</si>
  <si>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</si>
  <si>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</si>
  <si>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</si>
  <si>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</si>
  <si>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</si>
  <si>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</si>
  <si>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</si>
  <si>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</si>
  <si>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</si>
  <si>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</si>
  <si>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</si>
  <si>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</si>
  <si>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</si>
  <si>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</si>
  <si>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</si>
  <si>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</si>
  <si>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</si>
  <si>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</si>
  <si>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</si>
  <si>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</si>
  <si>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</si>
  <si>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</si>
  <si>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</si>
  <si>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</si>
  <si>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</si>
  <si>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</si>
  <si>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</si>
  <si>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</si>
  <si>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</si>
  <si>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</si>
  <si>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</si>
  <si>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</si>
  <si>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</si>
  <si>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</si>
  <si>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</si>
  <si>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</si>
  <si>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</si>
  <si>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</si>
  <si>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</si>
  <si>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</si>
  <si>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</si>
  <si>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</si>
  <si>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</si>
  <si>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</si>
  <si>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</si>
  <si>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</si>
  <si>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</si>
  <si>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</si>
  <si>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</si>
  <si>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</si>
  <si>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</si>
  <si>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</si>
  <si>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</si>
  <si>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</si>
  <si>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</si>
  <si>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</si>
  <si>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</si>
  <si>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</si>
  <si>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</si>
  <si>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</si>
  <si>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</si>
  <si>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</si>
  <si>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</si>
  <si>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</si>
  <si>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</si>
  <si>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</si>
  <si>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</si>
  <si>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</si>
  <si>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</si>
  <si>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</si>
  <si>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</si>
  <si>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</si>
  <si>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</si>
  <si>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</si>
  <si>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</si>
  <si>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</si>
  <si>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</si>
  <si>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</si>
  <si>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</si>
  <si>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</si>
  <si>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</si>
  <si>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</si>
  <si>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</si>
  <si>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</si>
  <si>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</si>
  <si>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</si>
  <si>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</si>
  <si>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</si>
  <si>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</si>
  <si>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</si>
  <si>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</si>
  <si>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</si>
  <si>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</si>
  <si>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</si>
  <si>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</si>
  <si>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</si>
  <si>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</si>
  <si>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</si>
  <si>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</si>
  <si>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</si>
  <si>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</si>
  <si>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</si>
  <si>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</si>
  <si>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</si>
  <si>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</si>
  <si>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</si>
  <si>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</si>
  <si>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</si>
  <si>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</si>
  <si>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</si>
  <si>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</si>
  <si>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</si>
  <si>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</si>
  <si>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</si>
  <si>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</si>
  <si>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</si>
  <si>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</si>
  <si>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</si>
  <si>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</si>
  <si>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</si>
  <si>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</si>
  <si>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</si>
  <si>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</si>
  <si>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</si>
  <si>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</si>
  <si>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</si>
  <si>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</si>
  <si>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</si>
  <si>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</si>
  <si>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</si>
  <si>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</si>
  <si>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</si>
  <si>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</si>
  <si>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</si>
  <si>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</si>
  <si>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</si>
  <si>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</si>
  <si>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</si>
  <si>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</si>
  <si>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</si>
  <si>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</si>
  <si>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</si>
  <si>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</si>
  <si>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</si>
  <si>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</si>
  <si>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</si>
  <si>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</si>
  <si>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</si>
  <si>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</si>
  <si>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</si>
  <si>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</si>
  <si>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</si>
  <si>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</si>
  <si>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</si>
  <si>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</si>
  <si>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</si>
  <si>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</si>
  <si>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</si>
  <si>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</si>
  <si>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</si>
  <si>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73009</t>
  </si>
  <si>
    <t>BORGLOON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</si>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</sst>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73009</v>
      </c>
      <c r="B6" s="397"/>
      <c r="C6" s="398"/>
    </row>
    <row r="7" spans="1:7" s="395" customFormat="1" ht="15.75" customHeight="1">
      <c r="A7" s="399" t="str">
        <f>txtMunicipality</f>
        <v>BORGLOON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19684.133000000002</v>
      </c>
      <c r="D10" s="703">
        <f ca="1">tertiair!C16</f>
        <v>0</v>
      </c>
      <c r="E10" s="703">
        <f ca="1">tertiair!D16</f>
        <v>9361.4584140000006</v>
      </c>
      <c r="F10" s="703">
        <f>tertiair!E16</f>
        <v>138.90126765746217</v>
      </c>
      <c r="G10" s="703">
        <f ca="1">tertiair!F16</f>
        <v>3726.3314668394587</v>
      </c>
      <c r="H10" s="703">
        <f>tertiair!G16</f>
        <v>0</v>
      </c>
      <c r="I10" s="703">
        <f>tertiair!H16</f>
        <v>0</v>
      </c>
      <c r="J10" s="703">
        <f>tertiair!I16</f>
        <v>0</v>
      </c>
      <c r="K10" s="703">
        <f>tertiair!J16</f>
        <v>0</v>
      </c>
      <c r="L10" s="703">
        <f>tertiair!K16</f>
        <v>0</v>
      </c>
      <c r="M10" s="703">
        <f ca="1">tertiair!L16</f>
        <v>0</v>
      </c>
      <c r="N10" s="703">
        <f>tertiair!M16</f>
        <v>0</v>
      </c>
      <c r="O10" s="703">
        <f ca="1">tertiair!N16</f>
        <v>886.25128017264581</v>
      </c>
      <c r="P10" s="703">
        <f>tertiair!O16</f>
        <v>0</v>
      </c>
      <c r="Q10" s="704">
        <f>tertiair!P16</f>
        <v>0</v>
      </c>
      <c r="R10" s="706">
        <f ca="1">SUM(C10:Q10)</f>
        <v>33797.075428669574</v>
      </c>
      <c r="S10" s="68"/>
    </row>
    <row r="11" spans="1:19" s="458" customFormat="1">
      <c r="A11" s="859" t="s">
        <v>225</v>
      </c>
      <c r="B11" s="864"/>
      <c r="C11" s="703">
        <f>huishoudens!B8</f>
        <v>19451.10267036044</v>
      </c>
      <c r="D11" s="703">
        <f>huishoudens!C8</f>
        <v>0</v>
      </c>
      <c r="E11" s="703">
        <f>huishoudens!D8</f>
        <v>26337.886762000002</v>
      </c>
      <c r="F11" s="703">
        <f>huishoudens!E8</f>
        <v>3524.4070958076231</v>
      </c>
      <c r="G11" s="703">
        <f>huishoudens!F8</f>
        <v>38996.141414178055</v>
      </c>
      <c r="H11" s="703">
        <f>huishoudens!G8</f>
        <v>0</v>
      </c>
      <c r="I11" s="703">
        <f>huishoudens!H8</f>
        <v>0</v>
      </c>
      <c r="J11" s="703">
        <f>huishoudens!I8</f>
        <v>0</v>
      </c>
      <c r="K11" s="703">
        <f>huishoudens!J8</f>
        <v>1214.9452246281382</v>
      </c>
      <c r="L11" s="703">
        <f>huishoudens!K8</f>
        <v>0</v>
      </c>
      <c r="M11" s="703">
        <f>huishoudens!L8</f>
        <v>0</v>
      </c>
      <c r="N11" s="703">
        <f>huishoudens!M8</f>
        <v>0</v>
      </c>
      <c r="O11" s="703">
        <f>huishoudens!N8</f>
        <v>11136.319393318101</v>
      </c>
      <c r="P11" s="703">
        <f>huishoudens!O8</f>
        <v>23.45</v>
      </c>
      <c r="Q11" s="704">
        <f>huishoudens!P8</f>
        <v>190.66666666666669</v>
      </c>
      <c r="R11" s="706">
        <f>SUM(C11:Q11)</f>
        <v>100874.91922695904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10779.483999999999</v>
      </c>
      <c r="D13" s="703">
        <f>industrie!C18</f>
        <v>0</v>
      </c>
      <c r="E13" s="703">
        <f>industrie!D18</f>
        <v>17174.392092000002</v>
      </c>
      <c r="F13" s="703">
        <f>industrie!E18</f>
        <v>113.70621280167968</v>
      </c>
      <c r="G13" s="703">
        <f>industrie!F18</f>
        <v>3487.7193247413602</v>
      </c>
      <c r="H13" s="703">
        <f>industrie!G18</f>
        <v>0</v>
      </c>
      <c r="I13" s="703">
        <f>industrie!H18</f>
        <v>0</v>
      </c>
      <c r="J13" s="703">
        <f>industrie!I18</f>
        <v>0</v>
      </c>
      <c r="K13" s="703">
        <f>industrie!J18</f>
        <v>9.9288105220324461</v>
      </c>
      <c r="L13" s="703">
        <f>industrie!K18</f>
        <v>0</v>
      </c>
      <c r="M13" s="703">
        <f>industrie!L18</f>
        <v>0</v>
      </c>
      <c r="N13" s="703">
        <f>industrie!M18</f>
        <v>0</v>
      </c>
      <c r="O13" s="703">
        <f>industrie!N18</f>
        <v>341.66516871743482</v>
      </c>
      <c r="P13" s="703">
        <f>industrie!O18</f>
        <v>0</v>
      </c>
      <c r="Q13" s="704">
        <f>industrie!P18</f>
        <v>0</v>
      </c>
      <c r="R13" s="706">
        <f>SUM(C13:Q13)</f>
        <v>31906.895608782506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49914.719670360442</v>
      </c>
      <c r="D15" s="708">
        <f t="shared" ref="D15:Q15" ca="1" si="0">SUM(D9:D14)</f>
        <v>0</v>
      </c>
      <c r="E15" s="708">
        <f t="shared" ca="1" si="0"/>
        <v>52873.737268000004</v>
      </c>
      <c r="F15" s="708">
        <f t="shared" si="0"/>
        <v>3777.0145762667648</v>
      </c>
      <c r="G15" s="708">
        <f t="shared" ca="1" si="0"/>
        <v>46210.192205758874</v>
      </c>
      <c r="H15" s="708">
        <f t="shared" si="0"/>
        <v>0</v>
      </c>
      <c r="I15" s="708">
        <f t="shared" si="0"/>
        <v>0</v>
      </c>
      <c r="J15" s="708">
        <f t="shared" si="0"/>
        <v>0</v>
      </c>
      <c r="K15" s="708">
        <f t="shared" si="0"/>
        <v>1224.8740351501706</v>
      </c>
      <c r="L15" s="708">
        <f t="shared" si="0"/>
        <v>0</v>
      </c>
      <c r="M15" s="708">
        <f t="shared" ca="1" si="0"/>
        <v>0</v>
      </c>
      <c r="N15" s="708">
        <f t="shared" si="0"/>
        <v>0</v>
      </c>
      <c r="O15" s="708">
        <f t="shared" ca="1" si="0"/>
        <v>12364.235842208182</v>
      </c>
      <c r="P15" s="708">
        <f t="shared" si="0"/>
        <v>23.45</v>
      </c>
      <c r="Q15" s="709">
        <f t="shared" si="0"/>
        <v>190.66666666666669</v>
      </c>
      <c r="R15" s="710">
        <f ca="1">SUM(R9:R14)</f>
        <v>166578.89026441114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1318.0970943654274</v>
      </c>
      <c r="I18" s="703">
        <f>transport!H54</f>
        <v>0</v>
      </c>
      <c r="J18" s="703">
        <f>transport!I54</f>
        <v>0</v>
      </c>
      <c r="K18" s="703">
        <f>transport!J54</f>
        <v>0</v>
      </c>
      <c r="L18" s="703">
        <f>transport!K54</f>
        <v>0</v>
      </c>
      <c r="M18" s="703">
        <f>transport!L54</f>
        <v>0</v>
      </c>
      <c r="N18" s="703">
        <f>transport!M54</f>
        <v>57.879817750750234</v>
      </c>
      <c r="O18" s="703">
        <f>transport!N54</f>
        <v>0</v>
      </c>
      <c r="P18" s="703">
        <f>transport!O54</f>
        <v>0</v>
      </c>
      <c r="Q18" s="704">
        <f>transport!P54</f>
        <v>0</v>
      </c>
      <c r="R18" s="706">
        <f>SUM(C18:Q18)</f>
        <v>1375.9769121161776</v>
      </c>
      <c r="S18" s="68"/>
    </row>
    <row r="19" spans="1:19" s="458" customFormat="1" ht="15" thickBot="1">
      <c r="A19" s="859" t="s">
        <v>307</v>
      </c>
      <c r="B19" s="864"/>
      <c r="C19" s="712">
        <f>transport!B14</f>
        <v>1.8135124275714902</v>
      </c>
      <c r="D19" s="712">
        <f>transport!C14</f>
        <v>0</v>
      </c>
      <c r="E19" s="712">
        <f>transport!D14</f>
        <v>5.0447949862198831</v>
      </c>
      <c r="F19" s="712">
        <f>transport!E14</f>
        <v>292.21383049230684</v>
      </c>
      <c r="G19" s="712">
        <f>transport!F14</f>
        <v>0</v>
      </c>
      <c r="H19" s="712">
        <f>transport!G14</f>
        <v>65434.659947060303</v>
      </c>
      <c r="I19" s="712">
        <f>transport!H14</f>
        <v>11205.816776598056</v>
      </c>
      <c r="J19" s="712">
        <f>transport!I14</f>
        <v>0</v>
      </c>
      <c r="K19" s="712">
        <f>transport!J14</f>
        <v>0</v>
      </c>
      <c r="L19" s="712">
        <f>transport!K14</f>
        <v>0</v>
      </c>
      <c r="M19" s="712">
        <f>transport!L14</f>
        <v>0</v>
      </c>
      <c r="N19" s="712">
        <f>transport!M14</f>
        <v>3426.4189815168015</v>
      </c>
      <c r="O19" s="712">
        <f>transport!N14</f>
        <v>0</v>
      </c>
      <c r="P19" s="712">
        <f>transport!O14</f>
        <v>0</v>
      </c>
      <c r="Q19" s="713">
        <f>transport!P14</f>
        <v>0</v>
      </c>
      <c r="R19" s="714">
        <f>SUM(C19:Q19)</f>
        <v>80365.967843081264</v>
      </c>
      <c r="S19" s="68"/>
    </row>
    <row r="20" spans="1:19" s="458" customFormat="1" ht="15.75" thickBot="1">
      <c r="A20" s="715" t="s">
        <v>230</v>
      </c>
      <c r="B20" s="867"/>
      <c r="C20" s="862">
        <f>SUM(C17:C19)</f>
        <v>1.8135124275714902</v>
      </c>
      <c r="D20" s="716">
        <f t="shared" ref="D20:R20" si="1">SUM(D17:D19)</f>
        <v>0</v>
      </c>
      <c r="E20" s="716">
        <f t="shared" si="1"/>
        <v>5.0447949862198831</v>
      </c>
      <c r="F20" s="716">
        <f t="shared" si="1"/>
        <v>292.21383049230684</v>
      </c>
      <c r="G20" s="716">
        <f t="shared" si="1"/>
        <v>0</v>
      </c>
      <c r="H20" s="716">
        <f t="shared" si="1"/>
        <v>66752.757041425735</v>
      </c>
      <c r="I20" s="716">
        <f t="shared" si="1"/>
        <v>11205.816776598056</v>
      </c>
      <c r="J20" s="716">
        <f t="shared" si="1"/>
        <v>0</v>
      </c>
      <c r="K20" s="716">
        <f t="shared" si="1"/>
        <v>0</v>
      </c>
      <c r="L20" s="716">
        <f t="shared" si="1"/>
        <v>0</v>
      </c>
      <c r="M20" s="716">
        <f t="shared" si="1"/>
        <v>0</v>
      </c>
      <c r="N20" s="716">
        <f t="shared" si="1"/>
        <v>3484.2987992675517</v>
      </c>
      <c r="O20" s="716">
        <f t="shared" si="1"/>
        <v>0</v>
      </c>
      <c r="P20" s="716">
        <f t="shared" si="1"/>
        <v>0</v>
      </c>
      <c r="Q20" s="717">
        <f t="shared" si="1"/>
        <v>0</v>
      </c>
      <c r="R20" s="718">
        <f t="shared" si="1"/>
        <v>81741.944755197444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2974.87</v>
      </c>
      <c r="D22" s="712">
        <f>+landbouw!C8</f>
        <v>0</v>
      </c>
      <c r="E22" s="712">
        <f>+landbouw!D8</f>
        <v>801.89964800000007</v>
      </c>
      <c r="F22" s="712">
        <f>+landbouw!E8</f>
        <v>28.02526862828406</v>
      </c>
      <c r="G22" s="712">
        <f>+landbouw!F8</f>
        <v>9707.9880826474946</v>
      </c>
      <c r="H22" s="712">
        <f>+landbouw!G8</f>
        <v>0</v>
      </c>
      <c r="I22" s="712">
        <f>+landbouw!H8</f>
        <v>0</v>
      </c>
      <c r="J22" s="712">
        <f>+landbouw!I8</f>
        <v>0</v>
      </c>
      <c r="K22" s="712">
        <f>+landbouw!J8</f>
        <v>368.00588876490053</v>
      </c>
      <c r="L22" s="712">
        <f>+landbouw!K8</f>
        <v>0</v>
      </c>
      <c r="M22" s="712">
        <f>+landbouw!L8</f>
        <v>0</v>
      </c>
      <c r="N22" s="712">
        <f>+landbouw!M8</f>
        <v>0</v>
      </c>
      <c r="O22" s="712">
        <f>+landbouw!N8</f>
        <v>0</v>
      </c>
      <c r="P22" s="712">
        <f>+landbouw!O8</f>
        <v>0</v>
      </c>
      <c r="Q22" s="713">
        <f>+landbouw!P8</f>
        <v>0</v>
      </c>
      <c r="R22" s="714">
        <f>SUM(C22:Q22)</f>
        <v>13880.788888040681</v>
      </c>
      <c r="S22" s="68"/>
    </row>
    <row r="23" spans="1:19" s="458" customFormat="1" ht="17.25" thickTop="1" thickBot="1">
      <c r="A23" s="719" t="s">
        <v>116</v>
      </c>
      <c r="B23" s="853"/>
      <c r="C23" s="720">
        <f ca="1">C20+C15+C22</f>
        <v>52891.403182788017</v>
      </c>
      <c r="D23" s="720">
        <f t="shared" ref="D23:Q23" ca="1" si="2">D20+D15+D22</f>
        <v>0</v>
      </c>
      <c r="E23" s="720">
        <f t="shared" ca="1" si="2"/>
        <v>53680.681710986224</v>
      </c>
      <c r="F23" s="720">
        <f t="shared" si="2"/>
        <v>4097.2536753873555</v>
      </c>
      <c r="G23" s="720">
        <f t="shared" ca="1" si="2"/>
        <v>55918.180288406365</v>
      </c>
      <c r="H23" s="720">
        <f t="shared" si="2"/>
        <v>66752.757041425735</v>
      </c>
      <c r="I23" s="720">
        <f t="shared" si="2"/>
        <v>11205.816776598056</v>
      </c>
      <c r="J23" s="720">
        <f t="shared" si="2"/>
        <v>0</v>
      </c>
      <c r="K23" s="720">
        <f t="shared" si="2"/>
        <v>1592.8799239150712</v>
      </c>
      <c r="L23" s="720">
        <f t="shared" si="2"/>
        <v>0</v>
      </c>
      <c r="M23" s="720">
        <f t="shared" ca="1" si="2"/>
        <v>0</v>
      </c>
      <c r="N23" s="720">
        <f t="shared" si="2"/>
        <v>3484.2987992675517</v>
      </c>
      <c r="O23" s="720">
        <f t="shared" ca="1" si="2"/>
        <v>12364.235842208182</v>
      </c>
      <c r="P23" s="720">
        <f t="shared" si="2"/>
        <v>23.45</v>
      </c>
      <c r="Q23" s="721">
        <f t="shared" si="2"/>
        <v>190.66666666666669</v>
      </c>
      <c r="R23" s="722">
        <f ca="1">R20+R15+R22</f>
        <v>262201.62390764925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3911.6971115869187</v>
      </c>
      <c r="D36" s="703">
        <f ca="1">tertiair!C20</f>
        <v>0</v>
      </c>
      <c r="E36" s="703">
        <f ca="1">tertiair!D20</f>
        <v>1891.0145996280003</v>
      </c>
      <c r="F36" s="703">
        <f>tertiair!E20</f>
        <v>31.530587758243914</v>
      </c>
      <c r="G36" s="703">
        <f ca="1">tertiair!F20</f>
        <v>994.93050164613555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6829.1728006192989</v>
      </c>
    </row>
    <row r="37" spans="1:18">
      <c r="A37" s="874" t="s">
        <v>225</v>
      </c>
      <c r="B37" s="881"/>
      <c r="C37" s="703">
        <f ca="1">huishoudens!B12</f>
        <v>3865.3885407515554</v>
      </c>
      <c r="D37" s="703">
        <f ca="1">huishoudens!C12</f>
        <v>0</v>
      </c>
      <c r="E37" s="703">
        <f>huishoudens!D12</f>
        <v>5320.2531259240004</v>
      </c>
      <c r="F37" s="703">
        <f>huishoudens!E12</f>
        <v>800.04041074833049</v>
      </c>
      <c r="G37" s="703">
        <f>huishoudens!F12</f>
        <v>10411.969757585541</v>
      </c>
      <c r="H37" s="703">
        <f>huishoudens!G12</f>
        <v>0</v>
      </c>
      <c r="I37" s="703">
        <f>huishoudens!H12</f>
        <v>0</v>
      </c>
      <c r="J37" s="703">
        <f>huishoudens!I12</f>
        <v>0</v>
      </c>
      <c r="K37" s="703">
        <f>huishoudens!J12</f>
        <v>430.09060951836091</v>
      </c>
      <c r="L37" s="703">
        <f>huishoudens!K12</f>
        <v>0</v>
      </c>
      <c r="M37" s="703">
        <f>huishoudens!L12</f>
        <v>0</v>
      </c>
      <c r="N37" s="703">
        <f>huishoudens!M12</f>
        <v>0</v>
      </c>
      <c r="O37" s="703">
        <f>huishoudens!N12</f>
        <v>0</v>
      </c>
      <c r="P37" s="703">
        <f>huishoudens!O12</f>
        <v>0</v>
      </c>
      <c r="Q37" s="813">
        <f>huishoudens!P12</f>
        <v>0</v>
      </c>
      <c r="R37" s="906">
        <f ca="1">SUM(C37:Q37)</f>
        <v>20827.742444527787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2142.1353141231771</v>
      </c>
      <c r="D39" s="703">
        <f ca="1">industrie!C22</f>
        <v>0</v>
      </c>
      <c r="E39" s="703">
        <f>industrie!D22</f>
        <v>3469.2272025840007</v>
      </c>
      <c r="F39" s="703">
        <f>industrie!E22</f>
        <v>25.811310305981291</v>
      </c>
      <c r="G39" s="703">
        <f>industrie!F22</f>
        <v>931.22105970594328</v>
      </c>
      <c r="H39" s="703">
        <f>industrie!G22</f>
        <v>0</v>
      </c>
      <c r="I39" s="703">
        <f>industrie!H22</f>
        <v>0</v>
      </c>
      <c r="J39" s="703">
        <f>industrie!I22</f>
        <v>0</v>
      </c>
      <c r="K39" s="703">
        <f>industrie!J22</f>
        <v>3.5147989247994857</v>
      </c>
      <c r="L39" s="703">
        <f>industrie!K22</f>
        <v>0</v>
      </c>
      <c r="M39" s="703">
        <f>industrie!L22</f>
        <v>0</v>
      </c>
      <c r="N39" s="703">
        <f>industrie!M22</f>
        <v>0</v>
      </c>
      <c r="O39" s="703">
        <f>industrie!N22</f>
        <v>0</v>
      </c>
      <c r="P39" s="703">
        <f>industrie!O22</f>
        <v>0</v>
      </c>
      <c r="Q39" s="813">
        <f>industrie!P22</f>
        <v>0</v>
      </c>
      <c r="R39" s="907">
        <f ca="1">SUM(C39:Q39)</f>
        <v>6571.9096856439019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9919.2209664616512</v>
      </c>
      <c r="D41" s="748">
        <f t="shared" ref="D41:R41" ca="1" si="4">SUM(D35:D40)</f>
        <v>0</v>
      </c>
      <c r="E41" s="748">
        <f t="shared" ca="1" si="4"/>
        <v>10680.494928136002</v>
      </c>
      <c r="F41" s="748">
        <f t="shared" si="4"/>
        <v>857.38230881255561</v>
      </c>
      <c r="G41" s="748">
        <f t="shared" ca="1" si="4"/>
        <v>12338.121318937619</v>
      </c>
      <c r="H41" s="748">
        <f t="shared" si="4"/>
        <v>0</v>
      </c>
      <c r="I41" s="748">
        <f t="shared" si="4"/>
        <v>0</v>
      </c>
      <c r="J41" s="748">
        <f t="shared" si="4"/>
        <v>0</v>
      </c>
      <c r="K41" s="748">
        <f t="shared" si="4"/>
        <v>433.6054084431604</v>
      </c>
      <c r="L41" s="748">
        <f t="shared" si="4"/>
        <v>0</v>
      </c>
      <c r="M41" s="748">
        <f t="shared" ca="1" si="4"/>
        <v>0</v>
      </c>
      <c r="N41" s="748">
        <f t="shared" si="4"/>
        <v>0</v>
      </c>
      <c r="O41" s="748">
        <f t="shared" ca="1" si="4"/>
        <v>0</v>
      </c>
      <c r="P41" s="748">
        <f t="shared" si="4"/>
        <v>0</v>
      </c>
      <c r="Q41" s="749">
        <f t="shared" si="4"/>
        <v>0</v>
      </c>
      <c r="R41" s="750">
        <f t="shared" ca="1" si="4"/>
        <v>34228.824930790986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351.93192419556914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351.93192419556914</v>
      </c>
    </row>
    <row r="45" spans="1:18" ht="15" thickBot="1">
      <c r="A45" s="877" t="s">
        <v>307</v>
      </c>
      <c r="B45" s="887"/>
      <c r="C45" s="712">
        <f ca="1">transport!B18</f>
        <v>0.36038728882589743</v>
      </c>
      <c r="D45" s="712">
        <f>transport!C18</f>
        <v>0</v>
      </c>
      <c r="E45" s="712">
        <f>transport!D18</f>
        <v>1.0190485872164166</v>
      </c>
      <c r="F45" s="712">
        <f>transport!E18</f>
        <v>66.33253952175366</v>
      </c>
      <c r="G45" s="712">
        <f>transport!F18</f>
        <v>0</v>
      </c>
      <c r="H45" s="712">
        <f>transport!G18</f>
        <v>17471.054205865101</v>
      </c>
      <c r="I45" s="712">
        <f>transport!H18</f>
        <v>2790.2483773729159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20329.014558635812</v>
      </c>
    </row>
    <row r="46" spans="1:18" ht="15.75" thickBot="1">
      <c r="A46" s="875" t="s">
        <v>230</v>
      </c>
      <c r="B46" s="888"/>
      <c r="C46" s="748">
        <f t="shared" ref="C46:R46" ca="1" si="5">SUM(C43:C45)</f>
        <v>0.36038728882589743</v>
      </c>
      <c r="D46" s="748">
        <f t="shared" ca="1" si="5"/>
        <v>0</v>
      </c>
      <c r="E46" s="748">
        <f t="shared" si="5"/>
        <v>1.0190485872164166</v>
      </c>
      <c r="F46" s="748">
        <f t="shared" si="5"/>
        <v>66.33253952175366</v>
      </c>
      <c r="G46" s="748">
        <f t="shared" si="5"/>
        <v>0</v>
      </c>
      <c r="H46" s="748">
        <f t="shared" si="5"/>
        <v>17822.986130060672</v>
      </c>
      <c r="I46" s="748">
        <f t="shared" si="5"/>
        <v>2790.2483773729159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20680.946482831383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591.17617150557635</v>
      </c>
      <c r="D48" s="703">
        <f ca="1">+landbouw!C12</f>
        <v>0</v>
      </c>
      <c r="E48" s="703">
        <f>+landbouw!D12</f>
        <v>161.98372889600003</v>
      </c>
      <c r="F48" s="703">
        <f>+landbouw!E12</f>
        <v>6.3617359786204819</v>
      </c>
      <c r="G48" s="703">
        <f>+landbouw!F12</f>
        <v>2592.0328180668812</v>
      </c>
      <c r="H48" s="703">
        <f>+landbouw!G12</f>
        <v>0</v>
      </c>
      <c r="I48" s="703">
        <f>+landbouw!H12</f>
        <v>0</v>
      </c>
      <c r="J48" s="703">
        <f>+landbouw!I12</f>
        <v>0</v>
      </c>
      <c r="K48" s="703">
        <f>+landbouw!J12</f>
        <v>130.27408462277478</v>
      </c>
      <c r="L48" s="703">
        <f>+landbouw!K12</f>
        <v>0</v>
      </c>
      <c r="M48" s="703">
        <f>+landbouw!L12</f>
        <v>0</v>
      </c>
      <c r="N48" s="703">
        <f>+landbouw!M12</f>
        <v>0</v>
      </c>
      <c r="O48" s="703">
        <f>+landbouw!N12</f>
        <v>0</v>
      </c>
      <c r="P48" s="703">
        <f>+landbouw!O12</f>
        <v>0</v>
      </c>
      <c r="Q48" s="704">
        <f>+landbouw!P12</f>
        <v>0</v>
      </c>
      <c r="R48" s="746">
        <f ca="1">SUM(C48:Q48)</f>
        <v>3481.8285390698529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10510.757525256053</v>
      </c>
      <c r="D53" s="758">
        <f t="shared" ref="D53:Q53" ca="1" si="6">D41+D46+D48</f>
        <v>0</v>
      </c>
      <c r="E53" s="758">
        <f t="shared" ca="1" si="6"/>
        <v>10843.49770561922</v>
      </c>
      <c r="F53" s="758">
        <f t="shared" si="6"/>
        <v>930.07658431292975</v>
      </c>
      <c r="G53" s="758">
        <f t="shared" ca="1" si="6"/>
        <v>14930.154137004502</v>
      </c>
      <c r="H53" s="758">
        <f t="shared" si="6"/>
        <v>17822.986130060672</v>
      </c>
      <c r="I53" s="758">
        <f t="shared" si="6"/>
        <v>2790.2483773729159</v>
      </c>
      <c r="J53" s="758">
        <f t="shared" si="6"/>
        <v>0</v>
      </c>
      <c r="K53" s="758">
        <f t="shared" si="6"/>
        <v>563.87949306593521</v>
      </c>
      <c r="L53" s="758">
        <f t="shared" si="6"/>
        <v>0</v>
      </c>
      <c r="M53" s="758">
        <f t="shared" ca="1" si="6"/>
        <v>0</v>
      </c>
      <c r="N53" s="758">
        <f t="shared" si="6"/>
        <v>0</v>
      </c>
      <c r="O53" s="758">
        <f t="shared" ca="1" si="6"/>
        <v>0</v>
      </c>
      <c r="P53" s="758">
        <f>P41+P46+P48</f>
        <v>0</v>
      </c>
      <c r="Q53" s="759">
        <f t="shared" si="6"/>
        <v>0</v>
      </c>
      <c r="R53" s="760">
        <f ca="1">R41+R46+R48</f>
        <v>58391.599952692217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0.19872336320766162</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5331.4143807244163</v>
      </c>
      <c r="C66" s="780">
        <f>'lokale energieproductie'!B6</f>
        <v>5331.4143807244163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5331.4143807244163</v>
      </c>
      <c r="C69" s="788">
        <f>SUM(C64:C68)</f>
        <v>5331.4143807244163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19451.10267036044</v>
      </c>
      <c r="C4" s="462">
        <f>huishoudens!C8</f>
        <v>0</v>
      </c>
      <c r="D4" s="462">
        <f>huishoudens!D8</f>
        <v>26337.886762000002</v>
      </c>
      <c r="E4" s="462">
        <f>huishoudens!E8</f>
        <v>3524.4070958076231</v>
      </c>
      <c r="F4" s="462">
        <f>huishoudens!F8</f>
        <v>38996.141414178055</v>
      </c>
      <c r="G4" s="462">
        <f>huishoudens!G8</f>
        <v>0</v>
      </c>
      <c r="H4" s="462">
        <f>huishoudens!H8</f>
        <v>0</v>
      </c>
      <c r="I4" s="462">
        <f>huishoudens!I8</f>
        <v>0</v>
      </c>
      <c r="J4" s="462">
        <f>huishoudens!J8</f>
        <v>1214.9452246281382</v>
      </c>
      <c r="K4" s="462">
        <f>huishoudens!K8</f>
        <v>0</v>
      </c>
      <c r="L4" s="462">
        <f>huishoudens!L8</f>
        <v>0</v>
      </c>
      <c r="M4" s="462">
        <f>huishoudens!M8</f>
        <v>0</v>
      </c>
      <c r="N4" s="462">
        <f>huishoudens!N8</f>
        <v>11136.319393318101</v>
      </c>
      <c r="O4" s="462">
        <f>huishoudens!O8</f>
        <v>23.45</v>
      </c>
      <c r="P4" s="463">
        <f>huishoudens!P8</f>
        <v>190.66666666666669</v>
      </c>
      <c r="Q4" s="464">
        <f>SUM(B4:P4)</f>
        <v>100874.91922695904</v>
      </c>
    </row>
    <row r="5" spans="1:17">
      <c r="A5" s="461" t="s">
        <v>156</v>
      </c>
      <c r="B5" s="462">
        <f ca="1">tertiair!B16</f>
        <v>19083.79</v>
      </c>
      <c r="C5" s="462">
        <f ca="1">tertiair!C16</f>
        <v>0</v>
      </c>
      <c r="D5" s="462">
        <f ca="1">tertiair!D16</f>
        <v>9361.4584140000006</v>
      </c>
      <c r="E5" s="462">
        <f>tertiair!E16</f>
        <v>138.90126765746217</v>
      </c>
      <c r="F5" s="462">
        <f ca="1">tertiair!F16</f>
        <v>3726.3314668394587</v>
      </c>
      <c r="G5" s="462">
        <f>tertiair!G16</f>
        <v>0</v>
      </c>
      <c r="H5" s="462">
        <f>tertiair!H16</f>
        <v>0</v>
      </c>
      <c r="I5" s="462">
        <f>tertiair!I16</f>
        <v>0</v>
      </c>
      <c r="J5" s="462">
        <f>tertiair!J16</f>
        <v>0</v>
      </c>
      <c r="K5" s="462">
        <f>tertiair!K16</f>
        <v>0</v>
      </c>
      <c r="L5" s="462">
        <f ca="1">tertiair!L16</f>
        <v>0</v>
      </c>
      <c r="M5" s="462">
        <f>tertiair!M16</f>
        <v>0</v>
      </c>
      <c r="N5" s="462">
        <f ca="1">tertiair!N16</f>
        <v>886.25128017264581</v>
      </c>
      <c r="O5" s="462">
        <f>tertiair!O16</f>
        <v>0</v>
      </c>
      <c r="P5" s="463">
        <f>tertiair!P16</f>
        <v>0</v>
      </c>
      <c r="Q5" s="461">
        <f t="shared" ref="Q5:Q13" ca="1" si="0">SUM(B5:P5)</f>
        <v>33196.732428669573</v>
      </c>
    </row>
    <row r="6" spans="1:17">
      <c r="A6" s="461" t="s">
        <v>194</v>
      </c>
      <c r="B6" s="462">
        <f>'openbare verlichting'!B8</f>
        <v>600.34299999999996</v>
      </c>
      <c r="C6" s="462"/>
      <c r="D6" s="462"/>
      <c r="E6" s="462"/>
      <c r="F6" s="462"/>
      <c r="G6" s="462"/>
      <c r="H6" s="462"/>
      <c r="I6" s="462"/>
      <c r="J6" s="462"/>
      <c r="K6" s="462"/>
      <c r="L6" s="462"/>
      <c r="M6" s="462"/>
      <c r="N6" s="462"/>
      <c r="O6" s="462"/>
      <c r="P6" s="463"/>
      <c r="Q6" s="461">
        <f t="shared" si="0"/>
        <v>600.34299999999996</v>
      </c>
    </row>
    <row r="7" spans="1:17">
      <c r="A7" s="461" t="s">
        <v>112</v>
      </c>
      <c r="B7" s="462">
        <f>landbouw!B8</f>
        <v>2974.87</v>
      </c>
      <c r="C7" s="462">
        <f>landbouw!C8</f>
        <v>0</v>
      </c>
      <c r="D7" s="462">
        <f>landbouw!D8</f>
        <v>801.89964800000007</v>
      </c>
      <c r="E7" s="462">
        <f>landbouw!E8</f>
        <v>28.02526862828406</v>
      </c>
      <c r="F7" s="462">
        <f>landbouw!F8</f>
        <v>9707.9880826474946</v>
      </c>
      <c r="G7" s="462">
        <f>landbouw!G8</f>
        <v>0</v>
      </c>
      <c r="H7" s="462">
        <f>landbouw!H8</f>
        <v>0</v>
      </c>
      <c r="I7" s="462">
        <f>landbouw!I8</f>
        <v>0</v>
      </c>
      <c r="J7" s="462">
        <f>landbouw!J8</f>
        <v>368.00588876490053</v>
      </c>
      <c r="K7" s="462">
        <f>landbouw!K8</f>
        <v>0</v>
      </c>
      <c r="L7" s="462">
        <f>landbouw!L8</f>
        <v>0</v>
      </c>
      <c r="M7" s="462">
        <f>landbouw!M8</f>
        <v>0</v>
      </c>
      <c r="N7" s="462">
        <f>landbouw!N8</f>
        <v>0</v>
      </c>
      <c r="O7" s="462">
        <f>landbouw!O8</f>
        <v>0</v>
      </c>
      <c r="P7" s="463">
        <f>landbouw!P8</f>
        <v>0</v>
      </c>
      <c r="Q7" s="461">
        <f t="shared" si="0"/>
        <v>13880.788888040681</v>
      </c>
    </row>
    <row r="8" spans="1:17">
      <c r="A8" s="461" t="s">
        <v>685</v>
      </c>
      <c r="B8" s="462">
        <f>industrie!B18</f>
        <v>10779.483999999999</v>
      </c>
      <c r="C8" s="462">
        <f>industrie!C18</f>
        <v>0</v>
      </c>
      <c r="D8" s="462">
        <f>industrie!D18</f>
        <v>17174.392092000002</v>
      </c>
      <c r="E8" s="462">
        <f>industrie!E18</f>
        <v>113.70621280167968</v>
      </c>
      <c r="F8" s="462">
        <f>industrie!F18</f>
        <v>3487.7193247413602</v>
      </c>
      <c r="G8" s="462">
        <f>industrie!G18</f>
        <v>0</v>
      </c>
      <c r="H8" s="462">
        <f>industrie!H18</f>
        <v>0</v>
      </c>
      <c r="I8" s="462">
        <f>industrie!I18</f>
        <v>0</v>
      </c>
      <c r="J8" s="462">
        <f>industrie!J18</f>
        <v>9.9288105220324461</v>
      </c>
      <c r="K8" s="462">
        <f>industrie!K18</f>
        <v>0</v>
      </c>
      <c r="L8" s="462">
        <f>industrie!L18</f>
        <v>0</v>
      </c>
      <c r="M8" s="462">
        <f>industrie!M18</f>
        <v>0</v>
      </c>
      <c r="N8" s="462">
        <f>industrie!N18</f>
        <v>341.66516871743482</v>
      </c>
      <c r="O8" s="462">
        <f>industrie!O18</f>
        <v>0</v>
      </c>
      <c r="P8" s="463">
        <f>industrie!P18</f>
        <v>0</v>
      </c>
      <c r="Q8" s="461">
        <f t="shared" si="0"/>
        <v>31906.895608782506</v>
      </c>
    </row>
    <row r="9" spans="1:17" s="467" customFormat="1">
      <c r="A9" s="465" t="s">
        <v>579</v>
      </c>
      <c r="B9" s="466">
        <f>transport!B14</f>
        <v>1.8135124275714902</v>
      </c>
      <c r="C9" s="466">
        <f>transport!C14</f>
        <v>0</v>
      </c>
      <c r="D9" s="466">
        <f>transport!D14</f>
        <v>5.0447949862198831</v>
      </c>
      <c r="E9" s="466">
        <f>transport!E14</f>
        <v>292.21383049230684</v>
      </c>
      <c r="F9" s="466">
        <f>transport!F14</f>
        <v>0</v>
      </c>
      <c r="G9" s="466">
        <f>transport!G14</f>
        <v>65434.659947060303</v>
      </c>
      <c r="H9" s="466">
        <f>transport!H14</f>
        <v>11205.816776598056</v>
      </c>
      <c r="I9" s="466">
        <f>transport!I14</f>
        <v>0</v>
      </c>
      <c r="J9" s="466">
        <f>transport!J14</f>
        <v>0</v>
      </c>
      <c r="K9" s="466">
        <f>transport!K14</f>
        <v>0</v>
      </c>
      <c r="L9" s="466">
        <f>transport!L14</f>
        <v>0</v>
      </c>
      <c r="M9" s="466">
        <f>transport!M14</f>
        <v>3426.4189815168015</v>
      </c>
      <c r="N9" s="466">
        <f>transport!N14</f>
        <v>0</v>
      </c>
      <c r="O9" s="466">
        <f>transport!O14</f>
        <v>0</v>
      </c>
      <c r="P9" s="466">
        <f>transport!P14</f>
        <v>0</v>
      </c>
      <c r="Q9" s="465">
        <f>SUM(B9:P9)</f>
        <v>80365.967843081264</v>
      </c>
    </row>
    <row r="10" spans="1:17">
      <c r="A10" s="461" t="s">
        <v>569</v>
      </c>
      <c r="B10" s="462">
        <f>transport!B54</f>
        <v>0</v>
      </c>
      <c r="C10" s="462">
        <f>transport!C54</f>
        <v>0</v>
      </c>
      <c r="D10" s="462">
        <f>transport!D54</f>
        <v>0</v>
      </c>
      <c r="E10" s="462">
        <f>transport!E54</f>
        <v>0</v>
      </c>
      <c r="F10" s="462">
        <f>transport!F54</f>
        <v>0</v>
      </c>
      <c r="G10" s="462">
        <f>transport!G54</f>
        <v>1318.0970943654274</v>
      </c>
      <c r="H10" s="462">
        <f>transport!H54</f>
        <v>0</v>
      </c>
      <c r="I10" s="462">
        <f>transport!I54</f>
        <v>0</v>
      </c>
      <c r="J10" s="462">
        <f>transport!J54</f>
        <v>0</v>
      </c>
      <c r="K10" s="462">
        <f>transport!K54</f>
        <v>0</v>
      </c>
      <c r="L10" s="462">
        <f>transport!L54</f>
        <v>0</v>
      </c>
      <c r="M10" s="462">
        <f>transport!M54</f>
        <v>57.879817750750234</v>
      </c>
      <c r="N10" s="462">
        <f>transport!N54</f>
        <v>0</v>
      </c>
      <c r="O10" s="462">
        <f>transport!O54</f>
        <v>0</v>
      </c>
      <c r="P10" s="463">
        <f>transport!P54</f>
        <v>0</v>
      </c>
      <c r="Q10" s="461">
        <f t="shared" si="0"/>
        <v>1375.9769121161776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52891.40318278801</v>
      </c>
      <c r="C14" s="472">
        <f t="shared" ref="C14:Q14" ca="1" si="1">SUM(C4:C13)</f>
        <v>0</v>
      </c>
      <c r="D14" s="472">
        <f t="shared" ca="1" si="1"/>
        <v>53680.681710986224</v>
      </c>
      <c r="E14" s="472">
        <f t="shared" si="1"/>
        <v>4097.2536753873555</v>
      </c>
      <c r="F14" s="472">
        <f t="shared" ca="1" si="1"/>
        <v>55918.180288406373</v>
      </c>
      <c r="G14" s="472">
        <f t="shared" si="1"/>
        <v>66752.757041425735</v>
      </c>
      <c r="H14" s="472">
        <f t="shared" si="1"/>
        <v>11205.816776598056</v>
      </c>
      <c r="I14" s="472">
        <f t="shared" si="1"/>
        <v>0</v>
      </c>
      <c r="J14" s="472">
        <f t="shared" si="1"/>
        <v>1592.879923915071</v>
      </c>
      <c r="K14" s="472">
        <f t="shared" si="1"/>
        <v>0</v>
      </c>
      <c r="L14" s="472">
        <f t="shared" ca="1" si="1"/>
        <v>0</v>
      </c>
      <c r="M14" s="472">
        <f t="shared" si="1"/>
        <v>3484.2987992675517</v>
      </c>
      <c r="N14" s="472">
        <f t="shared" ca="1" si="1"/>
        <v>12364.235842208182</v>
      </c>
      <c r="O14" s="472">
        <f t="shared" si="1"/>
        <v>23.45</v>
      </c>
      <c r="P14" s="473">
        <f t="shared" si="1"/>
        <v>190.66666666666669</v>
      </c>
      <c r="Q14" s="473">
        <f t="shared" ca="1" si="1"/>
        <v>262201.62390764919</v>
      </c>
    </row>
    <row r="16" spans="1:17">
      <c r="A16" s="475" t="s">
        <v>574</v>
      </c>
      <c r="B16" s="829">
        <f ca="1">huishoudens!B10</f>
        <v>0.19872336320766165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3865.3885407515554</v>
      </c>
      <c r="C21" s="462">
        <f t="shared" ref="C21:C30" ca="1" si="3">C4*$C$16</f>
        <v>0</v>
      </c>
      <c r="D21" s="462">
        <f t="shared" ref="D21:D30" si="4">D4*$D$16</f>
        <v>5320.2531259240004</v>
      </c>
      <c r="E21" s="462">
        <f t="shared" ref="E21:E30" si="5">E4*$E$16</f>
        <v>800.04041074833049</v>
      </c>
      <c r="F21" s="462">
        <f t="shared" ref="F21:F30" si="6">F4*$F$16</f>
        <v>10411.969757585541</v>
      </c>
      <c r="G21" s="462">
        <f t="shared" ref="G21:G30" si="7">G4*$G$16</f>
        <v>0</v>
      </c>
      <c r="H21" s="462">
        <f t="shared" ref="H21:H30" si="8">H4*$H$16</f>
        <v>0</v>
      </c>
      <c r="I21" s="462">
        <f t="shared" ref="I21:I30" si="9">I4*$I$16</f>
        <v>0</v>
      </c>
      <c r="J21" s="462">
        <f t="shared" ref="J21:J30" si="10">J4*$J$16</f>
        <v>430.09060951836091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20827.742444527787</v>
      </c>
    </row>
    <row r="22" spans="1:17">
      <c r="A22" s="461" t="s">
        <v>156</v>
      </c>
      <c r="B22" s="462">
        <f t="shared" ca="1" si="2"/>
        <v>3792.3949315487416</v>
      </c>
      <c r="C22" s="462">
        <f t="shared" ca="1" si="3"/>
        <v>0</v>
      </c>
      <c r="D22" s="462">
        <f t="shared" ca="1" si="4"/>
        <v>1891.0145996280003</v>
      </c>
      <c r="E22" s="462">
        <f t="shared" si="5"/>
        <v>31.530587758243914</v>
      </c>
      <c r="F22" s="462">
        <f t="shared" ca="1" si="6"/>
        <v>994.93050164613555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6709.8706205811213</v>
      </c>
    </row>
    <row r="23" spans="1:17">
      <c r="A23" s="461" t="s">
        <v>194</v>
      </c>
      <c r="B23" s="462">
        <f t="shared" ca="1" si="2"/>
        <v>119.30218003817721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119.30218003817721</v>
      </c>
    </row>
    <row r="24" spans="1:17">
      <c r="A24" s="461" t="s">
        <v>112</v>
      </c>
      <c r="B24" s="462">
        <f t="shared" ca="1" si="2"/>
        <v>591.17617150557635</v>
      </c>
      <c r="C24" s="462">
        <f t="shared" ca="1" si="3"/>
        <v>0</v>
      </c>
      <c r="D24" s="462">
        <f t="shared" si="4"/>
        <v>161.98372889600003</v>
      </c>
      <c r="E24" s="462">
        <f t="shared" si="5"/>
        <v>6.3617359786204819</v>
      </c>
      <c r="F24" s="462">
        <f t="shared" si="6"/>
        <v>2592.0328180668812</v>
      </c>
      <c r="G24" s="462">
        <f t="shared" si="7"/>
        <v>0</v>
      </c>
      <c r="H24" s="462">
        <f t="shared" si="8"/>
        <v>0</v>
      </c>
      <c r="I24" s="462">
        <f t="shared" si="9"/>
        <v>0</v>
      </c>
      <c r="J24" s="462">
        <f t="shared" si="10"/>
        <v>130.27408462277478</v>
      </c>
      <c r="K24" s="462">
        <f t="shared" si="11"/>
        <v>0</v>
      </c>
      <c r="L24" s="462">
        <f t="shared" si="12"/>
        <v>0</v>
      </c>
      <c r="M24" s="462">
        <f t="shared" si="13"/>
        <v>0</v>
      </c>
      <c r="N24" s="462">
        <f t="shared" si="14"/>
        <v>0</v>
      </c>
      <c r="O24" s="462">
        <f t="shared" si="15"/>
        <v>0</v>
      </c>
      <c r="P24" s="463">
        <f t="shared" si="16"/>
        <v>0</v>
      </c>
      <c r="Q24" s="461">
        <f t="shared" ca="1" si="17"/>
        <v>3481.8285390698529</v>
      </c>
    </row>
    <row r="25" spans="1:17">
      <c r="A25" s="461" t="s">
        <v>685</v>
      </c>
      <c r="B25" s="462">
        <f t="shared" ca="1" si="2"/>
        <v>2142.1353141231771</v>
      </c>
      <c r="C25" s="462">
        <f t="shared" ca="1" si="3"/>
        <v>0</v>
      </c>
      <c r="D25" s="462">
        <f t="shared" si="4"/>
        <v>3469.2272025840007</v>
      </c>
      <c r="E25" s="462">
        <f t="shared" si="5"/>
        <v>25.811310305981291</v>
      </c>
      <c r="F25" s="462">
        <f t="shared" si="6"/>
        <v>931.22105970594328</v>
      </c>
      <c r="G25" s="462">
        <f t="shared" si="7"/>
        <v>0</v>
      </c>
      <c r="H25" s="462">
        <f t="shared" si="8"/>
        <v>0</v>
      </c>
      <c r="I25" s="462">
        <f t="shared" si="9"/>
        <v>0</v>
      </c>
      <c r="J25" s="462">
        <f t="shared" si="10"/>
        <v>3.5147989247994857</v>
      </c>
      <c r="K25" s="462">
        <f t="shared" si="11"/>
        <v>0</v>
      </c>
      <c r="L25" s="462">
        <f t="shared" si="12"/>
        <v>0</v>
      </c>
      <c r="M25" s="462">
        <f t="shared" si="13"/>
        <v>0</v>
      </c>
      <c r="N25" s="462">
        <f t="shared" si="14"/>
        <v>0</v>
      </c>
      <c r="O25" s="462">
        <f t="shared" si="15"/>
        <v>0</v>
      </c>
      <c r="P25" s="463">
        <f t="shared" si="16"/>
        <v>0</v>
      </c>
      <c r="Q25" s="461">
        <f t="shared" ca="1" si="17"/>
        <v>6571.9096856439019</v>
      </c>
    </row>
    <row r="26" spans="1:17" s="467" customFormat="1">
      <c r="A26" s="465" t="s">
        <v>579</v>
      </c>
      <c r="B26" s="823">
        <f t="shared" ca="1" si="2"/>
        <v>0.36038728882589743</v>
      </c>
      <c r="C26" s="466">
        <f t="shared" ca="1" si="3"/>
        <v>0</v>
      </c>
      <c r="D26" s="466">
        <f t="shared" si="4"/>
        <v>1.0190485872164166</v>
      </c>
      <c r="E26" s="466">
        <f t="shared" si="5"/>
        <v>66.33253952175366</v>
      </c>
      <c r="F26" s="466">
        <f t="shared" si="6"/>
        <v>0</v>
      </c>
      <c r="G26" s="466">
        <f t="shared" si="7"/>
        <v>17471.054205865101</v>
      </c>
      <c r="H26" s="466">
        <f t="shared" si="8"/>
        <v>2790.2483773729159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20329.014558635812</v>
      </c>
    </row>
    <row r="27" spans="1:17">
      <c r="A27" s="461" t="s">
        <v>569</v>
      </c>
      <c r="B27" s="462">
        <f t="shared" ca="1" si="2"/>
        <v>0</v>
      </c>
      <c r="C27" s="462">
        <f t="shared" ca="1" si="3"/>
        <v>0</v>
      </c>
      <c r="D27" s="462">
        <f t="shared" si="4"/>
        <v>0</v>
      </c>
      <c r="E27" s="462">
        <f t="shared" si="5"/>
        <v>0</v>
      </c>
      <c r="F27" s="462">
        <f t="shared" si="6"/>
        <v>0</v>
      </c>
      <c r="G27" s="462">
        <f t="shared" si="7"/>
        <v>351.93192419556914</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351.93192419556914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10510.757525256055</v>
      </c>
      <c r="C31" s="472">
        <f t="shared" ca="1" si="18"/>
        <v>0</v>
      </c>
      <c r="D31" s="472">
        <f t="shared" ca="1" si="18"/>
        <v>10843.497705619218</v>
      </c>
      <c r="E31" s="472">
        <f t="shared" si="18"/>
        <v>930.07658431292975</v>
      </c>
      <c r="F31" s="472">
        <f t="shared" ca="1" si="18"/>
        <v>14930.1541370045</v>
      </c>
      <c r="G31" s="472">
        <f t="shared" si="18"/>
        <v>17822.986130060672</v>
      </c>
      <c r="H31" s="472">
        <f t="shared" si="18"/>
        <v>2790.2483773729159</v>
      </c>
      <c r="I31" s="472">
        <f t="shared" si="18"/>
        <v>0</v>
      </c>
      <c r="J31" s="472">
        <f t="shared" si="18"/>
        <v>563.87949306593521</v>
      </c>
      <c r="K31" s="472">
        <f t="shared" si="18"/>
        <v>0</v>
      </c>
      <c r="L31" s="472">
        <f t="shared" ca="1" si="18"/>
        <v>0</v>
      </c>
      <c r="M31" s="472">
        <f t="shared" si="18"/>
        <v>0</v>
      </c>
      <c r="N31" s="472">
        <f t="shared" ca="1" si="18"/>
        <v>0</v>
      </c>
      <c r="O31" s="472">
        <f t="shared" si="18"/>
        <v>0</v>
      </c>
      <c r="P31" s="473">
        <f t="shared" si="18"/>
        <v>0</v>
      </c>
      <c r="Q31" s="473">
        <f t="shared" ca="1" si="18"/>
        <v>58391.599952692217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0.19872336320766165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0.19872336320766165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0.19872336320766165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73009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4328</v>
      </c>
      <c r="C9" s="338">
        <v>4581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3370</v>
      </c>
    </row>
    <row r="15" spans="1:6">
      <c r="A15" s="1205" t="s">
        <v>184</v>
      </c>
      <c r="B15" s="335">
        <v>6</v>
      </c>
    </row>
    <row r="16" spans="1:6">
      <c r="A16" s="1205" t="s">
        <v>6</v>
      </c>
      <c r="B16" s="335">
        <v>242</v>
      </c>
    </row>
    <row r="17" spans="1:6">
      <c r="A17" s="1205" t="s">
        <v>7</v>
      </c>
      <c r="B17" s="335">
        <v>740</v>
      </c>
    </row>
    <row r="18" spans="1:6">
      <c r="A18" s="1205" t="s">
        <v>8</v>
      </c>
      <c r="B18" s="335">
        <v>744</v>
      </c>
    </row>
    <row r="19" spans="1:6">
      <c r="A19" s="1205" t="s">
        <v>9</v>
      </c>
      <c r="B19" s="335">
        <v>609</v>
      </c>
    </row>
    <row r="20" spans="1:6">
      <c r="A20" s="1205" t="s">
        <v>10</v>
      </c>
      <c r="B20" s="335">
        <v>472</v>
      </c>
    </row>
    <row r="21" spans="1:6">
      <c r="A21" s="1205" t="s">
        <v>11</v>
      </c>
      <c r="B21" s="335">
        <v>3491</v>
      </c>
    </row>
    <row r="22" spans="1:6">
      <c r="A22" s="1205" t="s">
        <v>12</v>
      </c>
      <c r="B22" s="335">
        <v>7710</v>
      </c>
    </row>
    <row r="23" spans="1:6">
      <c r="A23" s="1205" t="s">
        <v>13</v>
      </c>
      <c r="B23" s="335">
        <v>226</v>
      </c>
    </row>
    <row r="24" spans="1:6">
      <c r="A24" s="1205" t="s">
        <v>14</v>
      </c>
      <c r="B24" s="335">
        <v>8</v>
      </c>
    </row>
    <row r="25" spans="1:6">
      <c r="A25" s="1205" t="s">
        <v>15</v>
      </c>
      <c r="B25" s="335">
        <v>1000</v>
      </c>
    </row>
    <row r="26" spans="1:6">
      <c r="A26" s="1205" t="s">
        <v>16</v>
      </c>
      <c r="B26" s="335">
        <v>91</v>
      </c>
    </row>
    <row r="27" spans="1:6">
      <c r="A27" s="1205" t="s">
        <v>17</v>
      </c>
      <c r="B27" s="335">
        <v>0</v>
      </c>
    </row>
    <row r="28" spans="1:6" s="341" customFormat="1">
      <c r="A28" s="1206" t="s">
        <v>18</v>
      </c>
      <c r="B28" s="1206">
        <v>0</v>
      </c>
    </row>
    <row r="29" spans="1:6">
      <c r="A29" s="1206" t="s">
        <v>873</v>
      </c>
      <c r="B29" s="1206">
        <v>54</v>
      </c>
      <c r="C29" s="341"/>
      <c r="D29" s="341"/>
      <c r="E29" s="341"/>
      <c r="F29" s="341"/>
    </row>
    <row r="30" spans="1:6">
      <c r="A30" s="1201" t="s">
        <v>874</v>
      </c>
      <c r="B30" s="1201">
        <v>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5</v>
      </c>
      <c r="F36" s="335">
        <v>7325</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1634</v>
      </c>
      <c r="D39" s="335">
        <v>29199431</v>
      </c>
      <c r="E39" s="335">
        <v>4315</v>
      </c>
      <c r="F39" s="335">
        <v>17202567</v>
      </c>
    </row>
    <row r="40" spans="1:6">
      <c r="A40" s="1205" t="s">
        <v>30</v>
      </c>
      <c r="B40" s="1205" t="s">
        <v>29</v>
      </c>
      <c r="C40" s="335">
        <v>0</v>
      </c>
      <c r="D40" s="335">
        <v>0</v>
      </c>
      <c r="E40" s="335">
        <v>0</v>
      </c>
      <c r="F40" s="335">
        <v>0</v>
      </c>
    </row>
    <row r="41" spans="1:6">
      <c r="A41" s="1205" t="s">
        <v>32</v>
      </c>
      <c r="B41" s="1205" t="s">
        <v>33</v>
      </c>
      <c r="C41" s="335">
        <v>22</v>
      </c>
      <c r="D41" s="335">
        <v>985242</v>
      </c>
      <c r="E41" s="335">
        <v>74</v>
      </c>
      <c r="F41" s="335">
        <v>3040345</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7</v>
      </c>
      <c r="F44" s="335">
        <v>85043</v>
      </c>
    </row>
    <row r="45" spans="1:6">
      <c r="A45" s="1205" t="s">
        <v>32</v>
      </c>
      <c r="B45" s="1205" t="s">
        <v>37</v>
      </c>
      <c r="C45" s="335">
        <v>0</v>
      </c>
      <c r="D45" s="335">
        <v>0</v>
      </c>
      <c r="E45" s="335">
        <v>8</v>
      </c>
      <c r="F45" s="335">
        <v>1227755</v>
      </c>
    </row>
    <row r="46" spans="1:6">
      <c r="A46" s="1205" t="s">
        <v>32</v>
      </c>
      <c r="B46" s="1205" t="s">
        <v>38</v>
      </c>
      <c r="C46" s="335">
        <v>0</v>
      </c>
      <c r="D46" s="335">
        <v>0</v>
      </c>
      <c r="E46" s="335">
        <v>0</v>
      </c>
      <c r="F46" s="335">
        <v>0</v>
      </c>
    </row>
    <row r="47" spans="1:6">
      <c r="A47" s="1205" t="s">
        <v>32</v>
      </c>
      <c r="B47" s="1205" t="s">
        <v>39</v>
      </c>
      <c r="C47" s="335">
        <v>0</v>
      </c>
      <c r="D47" s="335">
        <v>0</v>
      </c>
      <c r="E47" s="335">
        <v>4</v>
      </c>
      <c r="F47" s="335">
        <v>43900</v>
      </c>
    </row>
    <row r="48" spans="1:6">
      <c r="A48" s="1205" t="s">
        <v>32</v>
      </c>
      <c r="B48" s="1205" t="s">
        <v>29</v>
      </c>
      <c r="C48" s="335">
        <v>2</v>
      </c>
      <c r="D48" s="335">
        <v>27592</v>
      </c>
      <c r="E48" s="335">
        <v>2</v>
      </c>
      <c r="F48" s="335">
        <v>22518</v>
      </c>
    </row>
    <row r="49" spans="1:6">
      <c r="A49" s="1205" t="s">
        <v>32</v>
      </c>
      <c r="B49" s="1205" t="s">
        <v>40</v>
      </c>
      <c r="C49" s="335">
        <v>0</v>
      </c>
      <c r="D49" s="335">
        <v>0</v>
      </c>
      <c r="E49" s="335">
        <v>0</v>
      </c>
      <c r="F49" s="335">
        <v>0</v>
      </c>
    </row>
    <row r="50" spans="1:6">
      <c r="A50" s="1205" t="s">
        <v>32</v>
      </c>
      <c r="B50" s="1205" t="s">
        <v>41</v>
      </c>
      <c r="C50" s="335">
        <v>4</v>
      </c>
      <c r="D50" s="335">
        <v>18027512</v>
      </c>
      <c r="E50" s="335">
        <v>11</v>
      </c>
      <c r="F50" s="335">
        <v>6359923</v>
      </c>
    </row>
    <row r="51" spans="1:6">
      <c r="A51" s="1205" t="s">
        <v>42</v>
      </c>
      <c r="B51" s="1205" t="s">
        <v>43</v>
      </c>
      <c r="C51" s="335">
        <v>9</v>
      </c>
      <c r="D51" s="335">
        <v>889024</v>
      </c>
      <c r="E51" s="335">
        <v>120</v>
      </c>
      <c r="F51" s="335">
        <v>2974870</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56</v>
      </c>
      <c r="F54" s="335">
        <v>600343</v>
      </c>
    </row>
    <row r="55" spans="1:6">
      <c r="A55" s="1205" t="s">
        <v>46</v>
      </c>
      <c r="B55" s="1205" t="s">
        <v>29</v>
      </c>
      <c r="C55" s="335">
        <v>0</v>
      </c>
      <c r="D55" s="335">
        <v>0</v>
      </c>
      <c r="E55" s="335">
        <v>0</v>
      </c>
      <c r="F55" s="335">
        <v>0</v>
      </c>
    </row>
    <row r="56" spans="1:6">
      <c r="A56" s="1205" t="s">
        <v>48</v>
      </c>
      <c r="B56" s="1205" t="s">
        <v>29</v>
      </c>
      <c r="C56" s="335">
        <v>34</v>
      </c>
      <c r="D56" s="335">
        <v>2263240</v>
      </c>
      <c r="E56" s="335">
        <v>74</v>
      </c>
      <c r="F56" s="335">
        <v>554637</v>
      </c>
    </row>
    <row r="57" spans="1:6">
      <c r="A57" s="1205" t="s">
        <v>49</v>
      </c>
      <c r="B57" s="1205" t="s">
        <v>50</v>
      </c>
      <c r="C57" s="335">
        <v>22</v>
      </c>
      <c r="D57" s="335">
        <v>1322243</v>
      </c>
      <c r="E57" s="335">
        <v>82</v>
      </c>
      <c r="F57" s="335">
        <v>1437994</v>
      </c>
    </row>
    <row r="58" spans="1:6">
      <c r="A58" s="1205" t="s">
        <v>49</v>
      </c>
      <c r="B58" s="1205" t="s">
        <v>51</v>
      </c>
      <c r="C58" s="335">
        <v>13</v>
      </c>
      <c r="D58" s="335">
        <v>1512285</v>
      </c>
      <c r="E58" s="335">
        <v>29</v>
      </c>
      <c r="F58" s="335">
        <v>580104</v>
      </c>
    </row>
    <row r="59" spans="1:6">
      <c r="A59" s="1205" t="s">
        <v>49</v>
      </c>
      <c r="B59" s="1205" t="s">
        <v>52</v>
      </c>
      <c r="C59" s="335">
        <v>37</v>
      </c>
      <c r="D59" s="335">
        <v>1847387</v>
      </c>
      <c r="E59" s="335">
        <v>113</v>
      </c>
      <c r="F59" s="335">
        <v>9891816</v>
      </c>
    </row>
    <row r="60" spans="1:6">
      <c r="A60" s="1205" t="s">
        <v>49</v>
      </c>
      <c r="B60" s="1205" t="s">
        <v>53</v>
      </c>
      <c r="C60" s="335">
        <v>28</v>
      </c>
      <c r="D60" s="335">
        <v>2129067</v>
      </c>
      <c r="E60" s="335">
        <v>42</v>
      </c>
      <c r="F60" s="335">
        <v>1232266</v>
      </c>
    </row>
    <row r="61" spans="1:6">
      <c r="A61" s="1205" t="s">
        <v>49</v>
      </c>
      <c r="B61" s="1205" t="s">
        <v>54</v>
      </c>
      <c r="C61" s="335">
        <v>73</v>
      </c>
      <c r="D61" s="335">
        <v>3205033</v>
      </c>
      <c r="E61" s="335">
        <v>217</v>
      </c>
      <c r="F61" s="335">
        <v>5547824</v>
      </c>
    </row>
    <row r="62" spans="1:6">
      <c r="A62" s="1205" t="s">
        <v>49</v>
      </c>
      <c r="B62" s="1205" t="s">
        <v>55</v>
      </c>
      <c r="C62" s="335">
        <v>0</v>
      </c>
      <c r="D62" s="335">
        <v>0</v>
      </c>
      <c r="E62" s="335">
        <v>8</v>
      </c>
      <c r="F62" s="335">
        <v>393786</v>
      </c>
    </row>
    <row r="63" spans="1:6">
      <c r="A63" s="1205" t="s">
        <v>49</v>
      </c>
      <c r="B63" s="1205" t="s">
        <v>29</v>
      </c>
      <c r="C63" s="335">
        <v>2</v>
      </c>
      <c r="D63" s="335">
        <v>362542</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62957</v>
      </c>
      <c r="E68" s="335">
        <v>8</v>
      </c>
      <c r="F68" s="335">
        <v>156660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71092977</v>
      </c>
      <c r="E73" s="335">
        <v>52767907.859492898</v>
      </c>
    </row>
    <row r="74" spans="1:6">
      <c r="A74" s="1205" t="s">
        <v>64</v>
      </c>
      <c r="B74" s="1205" t="s">
        <v>772</v>
      </c>
      <c r="C74" s="1216" t="s">
        <v>766</v>
      </c>
      <c r="D74" s="335">
        <v>8433735.8547395933</v>
      </c>
      <c r="E74" s="335">
        <v>6761986.1766746193</v>
      </c>
    </row>
    <row r="75" spans="1:6">
      <c r="A75" s="1205" t="s">
        <v>65</v>
      </c>
      <c r="B75" s="1205" t="s">
        <v>771</v>
      </c>
      <c r="C75" s="1216" t="s">
        <v>767</v>
      </c>
      <c r="D75" s="335">
        <v>15100462</v>
      </c>
      <c r="E75" s="335">
        <v>11350938.995913869</v>
      </c>
    </row>
    <row r="76" spans="1:6">
      <c r="A76" s="1205" t="s">
        <v>65</v>
      </c>
      <c r="B76" s="1205" t="s">
        <v>772</v>
      </c>
      <c r="C76" s="1216" t="s">
        <v>768</v>
      </c>
      <c r="D76" s="335">
        <v>562937.85473959276</v>
      </c>
      <c r="E76" s="335">
        <v>427051.48505523405</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362024.29052081448</v>
      </c>
      <c r="C83" s="335">
        <v>342353.46597260184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2248.5356703604407</v>
      </c>
    </row>
    <row r="92" spans="1:6">
      <c r="A92" s="1201" t="s">
        <v>69</v>
      </c>
      <c r="B92" s="338">
        <v>3082.8787103639752</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639</v>
      </c>
    </row>
    <row r="98" spans="1:6">
      <c r="A98" s="1205" t="s">
        <v>72</v>
      </c>
      <c r="B98" s="335">
        <v>2</v>
      </c>
    </row>
    <row r="99" spans="1:6">
      <c r="A99" s="1205" t="s">
        <v>73</v>
      </c>
      <c r="B99" s="335">
        <v>37</v>
      </c>
    </row>
    <row r="100" spans="1:6">
      <c r="A100" s="1205" t="s">
        <v>74</v>
      </c>
      <c r="B100" s="335">
        <v>82</v>
      </c>
    </row>
    <row r="101" spans="1:6">
      <c r="A101" s="1205" t="s">
        <v>75</v>
      </c>
      <c r="B101" s="335">
        <v>36</v>
      </c>
    </row>
    <row r="102" spans="1:6">
      <c r="A102" s="1205" t="s">
        <v>76</v>
      </c>
      <c r="B102" s="335">
        <v>43</v>
      </c>
    </row>
    <row r="103" spans="1:6">
      <c r="A103" s="1205" t="s">
        <v>77</v>
      </c>
      <c r="B103" s="335">
        <v>138</v>
      </c>
    </row>
    <row r="104" spans="1:6">
      <c r="A104" s="1205" t="s">
        <v>78</v>
      </c>
      <c r="B104" s="335">
        <v>2871</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3</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12</v>
      </c>
    </row>
    <row r="130" spans="1:6">
      <c r="A130" s="1205" t="s">
        <v>295</v>
      </c>
      <c r="B130" s="335">
        <v>0</v>
      </c>
    </row>
    <row r="131" spans="1:6">
      <c r="A131" s="1205" t="s">
        <v>296</v>
      </c>
      <c r="B131" s="335">
        <v>0</v>
      </c>
    </row>
    <row r="132" spans="1:6">
      <c r="A132" s="1201" t="s">
        <v>297</v>
      </c>
      <c r="B132" s="338">
        <v>3</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52891.403182788017</v>
      </c>
      <c r="C3" s="44" t="s">
        <v>170</v>
      </c>
      <c r="D3" s="44"/>
      <c r="E3" s="157"/>
      <c r="F3" s="44"/>
      <c r="G3" s="44"/>
      <c r="H3" s="44"/>
      <c r="I3" s="44"/>
      <c r="J3" s="44"/>
      <c r="K3" s="97"/>
    </row>
    <row r="4" spans="1:11">
      <c r="A4" s="365" t="s">
        <v>171</v>
      </c>
      <c r="B4" s="50">
        <f>IF(ISERROR('SEAP template'!B69),0,'SEAP template'!B69)</f>
        <v>5331.4143807244163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0.19872336320766165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600.34299999999996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600.34299999999996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0.19872336320766165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119.30218003817721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17202.566999999999</v>
      </c>
      <c r="C5" s="18">
        <f>IF(ISERROR('Eigen informatie GS &amp; warmtenet'!B57),0,'Eigen informatie GS &amp; warmtenet'!B57)</f>
        <v>0</v>
      </c>
      <c r="D5" s="31">
        <f>(SUM(HH_hh_gas_kWh,HH_rest_gas_kWh)/1000)*0.902</f>
        <v>26337.886762000002</v>
      </c>
      <c r="E5" s="18">
        <f>B46*B57</f>
        <v>3524.4070958076231</v>
      </c>
      <c r="F5" s="18">
        <f>B51*B62</f>
        <v>38996.141414178055</v>
      </c>
      <c r="G5" s="19"/>
      <c r="H5" s="18"/>
      <c r="I5" s="18"/>
      <c r="J5" s="18">
        <f>B50*B61+C50*C61</f>
        <v>1214.9452246281382</v>
      </c>
      <c r="K5" s="18"/>
      <c r="L5" s="18"/>
      <c r="M5" s="18"/>
      <c r="N5" s="18">
        <f>B48*B59+C48*C59</f>
        <v>11136.319393318101</v>
      </c>
      <c r="O5" s="18">
        <f>B69*B70*B71</f>
        <v>23.45</v>
      </c>
      <c r="P5" s="18">
        <f>B77*B78*B79/1000-B77*B78*B79/1000/B80</f>
        <v>190.66666666666669</v>
      </c>
    </row>
    <row r="6" spans="1:16">
      <c r="A6" s="17" t="s">
        <v>639</v>
      </c>
      <c r="B6" s="831">
        <f>kWh_PV_kleiner_dan_10kW</f>
        <v>2248.5356703604407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19451.10267036044</v>
      </c>
      <c r="C8" s="22">
        <f>C5</f>
        <v>0</v>
      </c>
      <c r="D8" s="22">
        <f>D5</f>
        <v>26337.886762000002</v>
      </c>
      <c r="E8" s="22">
        <f>E5</f>
        <v>3524.4070958076231</v>
      </c>
      <c r="F8" s="22">
        <f>F5</f>
        <v>38996.141414178055</v>
      </c>
      <c r="G8" s="22"/>
      <c r="H8" s="22"/>
      <c r="I8" s="22"/>
      <c r="J8" s="22">
        <f>J5</f>
        <v>1214.9452246281382</v>
      </c>
      <c r="K8" s="22"/>
      <c r="L8" s="22">
        <f>L5</f>
        <v>0</v>
      </c>
      <c r="M8" s="22">
        <f>M5</f>
        <v>0</v>
      </c>
      <c r="N8" s="22">
        <f>N5</f>
        <v>11136.319393318101</v>
      </c>
      <c r="O8" s="22">
        <f>O5</f>
        <v>23.45</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0.19872336320766165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3865.3885407515554</v>
      </c>
      <c r="C12" s="24">
        <f ca="1">C10*C8</f>
        <v>0</v>
      </c>
      <c r="D12" s="24">
        <f>D8*D10</f>
        <v>5320.2531259240004</v>
      </c>
      <c r="E12" s="24">
        <f>E10*E8</f>
        <v>800.04041074833049</v>
      </c>
      <c r="F12" s="24">
        <f>F10*F8</f>
        <v>10411.969757585541</v>
      </c>
      <c r="G12" s="24"/>
      <c r="H12" s="24"/>
      <c r="I12" s="24"/>
      <c r="J12" s="24">
        <f>J10*J8</f>
        <v>430.09060951836091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639</v>
      </c>
      <c r="C18" s="169" t="s">
        <v>111</v>
      </c>
      <c r="D18" s="231"/>
      <c r="E18" s="16"/>
    </row>
    <row r="19" spans="1:7">
      <c r="A19" s="174" t="s">
        <v>72</v>
      </c>
      <c r="B19" s="38">
        <f>aantalw2001_ander</f>
        <v>2</v>
      </c>
      <c r="C19" s="169" t="s">
        <v>111</v>
      </c>
      <c r="D19" s="232"/>
      <c r="E19" s="16"/>
    </row>
    <row r="20" spans="1:7">
      <c r="A20" s="174" t="s">
        <v>73</v>
      </c>
      <c r="B20" s="38">
        <f>aantalw2001_propaan</f>
        <v>37</v>
      </c>
      <c r="C20" s="170">
        <f>IF(ISERROR(B20/SUM($B$20,$B$21,$B$22)*100),0,B20/SUM($B$20,$B$21,$B$22)*100)</f>
        <v>23.870967741935484</v>
      </c>
      <c r="D20" s="232"/>
      <c r="E20" s="16"/>
    </row>
    <row r="21" spans="1:7">
      <c r="A21" s="174" t="s">
        <v>74</v>
      </c>
      <c r="B21" s="38">
        <f>aantalw2001_elektriciteit</f>
        <v>82</v>
      </c>
      <c r="C21" s="170">
        <f>IF(ISERROR(B21/SUM($B$20,$B$21,$B$22)*100),0,B21/SUM($B$20,$B$21,$B$22)*100)</f>
        <v>52.903225806451616</v>
      </c>
      <c r="D21" s="232"/>
      <c r="E21" s="16"/>
    </row>
    <row r="22" spans="1:7">
      <c r="A22" s="174" t="s">
        <v>75</v>
      </c>
      <c r="B22" s="38">
        <f>aantalw2001_hout</f>
        <v>36</v>
      </c>
      <c r="C22" s="170">
        <f>IF(ISERROR(B22/SUM($B$20,$B$21,$B$22)*100),0,B22/SUM($B$20,$B$21,$B$22)*100)</f>
        <v>23.225806451612904</v>
      </c>
      <c r="D22" s="232"/>
      <c r="E22" s="16"/>
    </row>
    <row r="23" spans="1:7">
      <c r="A23" s="174" t="s">
        <v>76</v>
      </c>
      <c r="B23" s="38">
        <f>aantalw2001_niet_gespec</f>
        <v>43</v>
      </c>
      <c r="C23" s="169" t="s">
        <v>111</v>
      </c>
      <c r="D23" s="231"/>
      <c r="E23" s="16"/>
    </row>
    <row r="24" spans="1:7">
      <c r="A24" s="174" t="s">
        <v>77</v>
      </c>
      <c r="B24" s="38">
        <f>aantalw2001_steenkool</f>
        <v>138</v>
      </c>
      <c r="C24" s="169" t="s">
        <v>111</v>
      </c>
      <c r="D24" s="232"/>
      <c r="E24" s="16"/>
    </row>
    <row r="25" spans="1:7">
      <c r="A25" s="174" t="s">
        <v>78</v>
      </c>
      <c r="B25" s="38">
        <f>aantalw2001_stookolie</f>
        <v>2871</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4328</v>
      </c>
      <c r="C28" s="37"/>
      <c r="D28" s="231"/>
    </row>
    <row r="29" spans="1:7" s="16" customFormat="1">
      <c r="A29" s="233" t="s">
        <v>666</v>
      </c>
      <c r="B29" s="38">
        <f>SUM(HH_hh_gas_aantal,HH_rest_gas_aantal)</f>
        <v>1634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1634</v>
      </c>
      <c r="C32" s="170">
        <f>IF(ISERROR(B32/SUM($B$32,$B$34,$B$35,$B$36,$B$38,$B$39)*100),0,B32/SUM($B$32,$B$34,$B$35,$B$36,$B$38,$B$39)*100)</f>
        <v>37.84159333024548</v>
      </c>
      <c r="D32" s="236"/>
      <c r="G32" s="16"/>
    </row>
    <row r="33" spans="1:7">
      <c r="A33" s="174" t="s">
        <v>72</v>
      </c>
      <c r="B33" s="35" t="s">
        <v>111</v>
      </c>
      <c r="C33" s="170"/>
      <c r="D33" s="236"/>
      <c r="G33" s="16"/>
    </row>
    <row r="34" spans="1:7">
      <c r="A34" s="174" t="s">
        <v>73</v>
      </c>
      <c r="B34" s="34">
        <f>IF((($B$28-$B$32-$B$39-$B$77-$B$38)*C20/100)&lt;0,0,($B$28-$B$32-$B$39-$B$77-$B$38)*C20/100)</f>
        <v>159.93548387096774</v>
      </c>
      <c r="C34" s="170">
        <f>IF(ISERROR(B34/SUM($B$32,$B$34,$B$35,$B$36,$B$38,$B$39)*100),0,B34/SUM($B$32,$B$34,$B$35,$B$36,$B$38,$B$39)*100)</f>
        <v>3.7039250549089333</v>
      </c>
      <c r="D34" s="236"/>
      <c r="G34" s="16"/>
    </row>
    <row r="35" spans="1:7">
      <c r="A35" s="174" t="s">
        <v>74</v>
      </c>
      <c r="B35" s="34">
        <f>IF((($B$28-$B$32-$B$39-$B$77-$B$38)*C21/100)&lt;0,0,($B$28-$B$32-$B$39-$B$77-$B$38)*C21/100)</f>
        <v>354.45161290322585</v>
      </c>
      <c r="C35" s="170">
        <f>IF(ISERROR(B35/SUM($B$32,$B$34,$B$35,$B$36,$B$38,$B$39)*100),0,B35/SUM($B$32,$B$34,$B$35,$B$36,$B$38,$B$39)*100)</f>
        <v>8.2086987703387173</v>
      </c>
      <c r="D35" s="236"/>
      <c r="G35" s="16"/>
    </row>
    <row r="36" spans="1:7">
      <c r="A36" s="174" t="s">
        <v>75</v>
      </c>
      <c r="B36" s="34">
        <f>IF((($B$28-$B$32-$B$39-$B$77-$B$38)*C22/100)&lt;0,0,($B$28-$B$32-$B$39-$B$77-$B$38)*C22/100)</f>
        <v>155.61290322580646</v>
      </c>
      <c r="C36" s="170">
        <f>IF(ISERROR(B36/SUM($B$32,$B$34,$B$35,$B$36,$B$38,$B$39)*100),0,B36/SUM($B$32,$B$34,$B$35,$B$36,$B$38,$B$39)*100)</f>
        <v>3.6038189723438272</v>
      </c>
      <c r="D36" s="236"/>
      <c r="G36" s="16"/>
    </row>
    <row r="37" spans="1:7">
      <c r="A37" s="174" t="s">
        <v>76</v>
      </c>
      <c r="B37" s="35" t="s">
        <v>111</v>
      </c>
      <c r="C37" s="170"/>
      <c r="D37" s="176"/>
      <c r="G37" s="16"/>
    </row>
    <row r="38" spans="1:7">
      <c r="A38" s="174" t="s">
        <v>77</v>
      </c>
      <c r="B38" s="34">
        <f>IF((B24-(B29-B18)*0.1)&lt;0,0,B24-(B29-B18)*0.1)</f>
        <v>38.5</v>
      </c>
      <c r="C38" s="170">
        <f>IF(ISERROR(B38/SUM($B$32,$B$34,$B$35,$B$36,$B$38,$B$39)*100),0,B38/SUM($B$32,$B$34,$B$35,$B$36,$B$38,$B$39)*100)</f>
        <v>0.8916164891153312</v>
      </c>
      <c r="D38" s="237"/>
      <c r="G38" s="16"/>
    </row>
    <row r="39" spans="1:7">
      <c r="A39" s="174" t="s">
        <v>78</v>
      </c>
      <c r="B39" s="34">
        <f>IF((B25-(B29-B18))&lt;0,0,B25-(B29-B18)*0.9)</f>
        <v>1975.5</v>
      </c>
      <c r="C39" s="170">
        <f>IF(ISERROR(B39/SUM($B$32,$B$34,$B$35,$B$36,$B$38,$B$39)*100),0,B39/SUM($B$32,$B$34,$B$35,$B$36,$B$38,$B$39)*100)</f>
        <v>45.750347383047711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1634</v>
      </c>
      <c r="C44" s="35" t="s">
        <v>111</v>
      </c>
      <c r="D44" s="177"/>
    </row>
    <row r="45" spans="1:7">
      <c r="A45" s="174" t="s">
        <v>72</v>
      </c>
      <c r="B45" s="34" t="str">
        <f t="shared" si="0"/>
        <v>-</v>
      </c>
      <c r="C45" s="35" t="s">
        <v>111</v>
      </c>
      <c r="D45" s="177"/>
    </row>
    <row r="46" spans="1:7">
      <c r="A46" s="174" t="s">
        <v>73</v>
      </c>
      <c r="B46" s="34">
        <f t="shared" si="0"/>
        <v>159.93548387096774</v>
      </c>
      <c r="C46" s="35" t="s">
        <v>111</v>
      </c>
      <c r="D46" s="177"/>
    </row>
    <row r="47" spans="1:7">
      <c r="A47" s="174" t="s">
        <v>74</v>
      </c>
      <c r="B47" s="34">
        <f t="shared" si="0"/>
        <v>354.45161290322585</v>
      </c>
      <c r="C47" s="35" t="s">
        <v>111</v>
      </c>
      <c r="D47" s="177"/>
    </row>
    <row r="48" spans="1:7">
      <c r="A48" s="174" t="s">
        <v>75</v>
      </c>
      <c r="B48" s="34">
        <f t="shared" si="0"/>
        <v>155.61290322580646</v>
      </c>
      <c r="C48" s="34">
        <f>B48*10</f>
        <v>1556.1290322580646</v>
      </c>
      <c r="D48" s="237"/>
    </row>
    <row r="49" spans="1:6">
      <c r="A49" s="174" t="s">
        <v>76</v>
      </c>
      <c r="B49" s="34" t="str">
        <f t="shared" si="0"/>
        <v>-</v>
      </c>
      <c r="C49" s="35" t="s">
        <v>111</v>
      </c>
      <c r="D49" s="237"/>
    </row>
    <row r="50" spans="1:6">
      <c r="A50" s="174" t="s">
        <v>77</v>
      </c>
      <c r="B50" s="34">
        <f t="shared" si="0"/>
        <v>38.5</v>
      </c>
      <c r="C50" s="34">
        <f>B50*2</f>
        <v>77</v>
      </c>
      <c r="D50" s="237"/>
    </row>
    <row r="51" spans="1:6">
      <c r="A51" s="174" t="s">
        <v>78</v>
      </c>
      <c r="B51" s="34">
        <f t="shared" si="0"/>
        <v>1975.5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19083.79</v>
      </c>
      <c r="C5" s="18">
        <f>IF(ISERROR('Eigen informatie GS &amp; warmtenet'!B58),0,'Eigen informatie GS &amp; warmtenet'!B58)</f>
        <v>0</v>
      </c>
      <c r="D5" s="31">
        <f>SUM(D6:D12)</f>
        <v>9361.4584140000006</v>
      </c>
      <c r="E5" s="18">
        <f>SUM(E6:E12)</f>
        <v>138.90126765746217</v>
      </c>
      <c r="F5" s="18">
        <f>SUM(F6:F12)</f>
        <v>3726.3314668394587</v>
      </c>
      <c r="G5" s="19"/>
      <c r="H5" s="18"/>
      <c r="I5" s="18"/>
      <c r="J5" s="18">
        <f>SUM(J6:J12)</f>
        <v>0</v>
      </c>
      <c r="K5" s="18"/>
      <c r="L5" s="18"/>
      <c r="M5" s="18"/>
      <c r="N5" s="18">
        <f>SUM(N6:N12)</f>
        <v>886.25128017264581</v>
      </c>
      <c r="O5" s="18">
        <f>B38*B39*B40</f>
        <v>0</v>
      </c>
      <c r="P5" s="18">
        <f>B46*B47*B48/1000-B46*B47*B48/1000/B49</f>
        <v>0</v>
      </c>
      <c r="R5" s="33"/>
    </row>
    <row r="6" spans="1:18">
      <c r="A6" s="33" t="s">
        <v>54</v>
      </c>
      <c r="B6" s="38">
        <f>B26</f>
        <v>5547.8239999999996</v>
      </c>
      <c r="C6" s="34"/>
      <c r="D6" s="38">
        <f>IF(ISERROR(TER_kantoor_gas_kWh/1000),0,TER_kantoor_gas_kWh/1000)*0.902</f>
        <v>2890.939766</v>
      </c>
      <c r="E6" s="34">
        <f>$C$26*'E Balans VL '!I12/100/3.6*1000000</f>
        <v>9.1051035939391856</v>
      </c>
      <c r="F6" s="34">
        <f>$C$26*('E Balans VL '!L12+'E Balans VL '!N12)/100/3.6*1000000</f>
        <v>653.95791638982632</v>
      </c>
      <c r="G6" s="35"/>
      <c r="H6" s="34"/>
      <c r="I6" s="34"/>
      <c r="J6" s="34">
        <f>$C$26*('E Balans VL '!D12+'E Balans VL '!E12)/100/3.6*1000000</f>
        <v>0</v>
      </c>
      <c r="K6" s="34"/>
      <c r="L6" s="34"/>
      <c r="M6" s="34"/>
      <c r="N6" s="34">
        <f>$C$26*'E Balans VL '!Y12/100/3.6*1000000</f>
        <v>1.1209115681026136</v>
      </c>
      <c r="O6" s="34"/>
      <c r="P6" s="34"/>
      <c r="R6" s="33"/>
    </row>
    <row r="7" spans="1:18">
      <c r="A7" s="33" t="s">
        <v>53</v>
      </c>
      <c r="B7" s="38">
        <f t="shared" ref="B7:B12" si="0">B27</f>
        <v>1232.2660000000001</v>
      </c>
      <c r="C7" s="34"/>
      <c r="D7" s="38">
        <f>IF(ISERROR(TER_horeca_gas_kWh/1000),0,TER_horeca_gas_kWh/1000)*0.902</f>
        <v>1920.4184340000002</v>
      </c>
      <c r="E7" s="34">
        <f>$C$27*'E Balans VL '!I9/100/3.6*1000000</f>
        <v>63.945688532410152</v>
      </c>
      <c r="F7" s="34">
        <f>$C$27*('E Balans VL '!L9+'E Balans VL '!N9)/100/3.6*1000000</f>
        <v>281.20399533664113</v>
      </c>
      <c r="G7" s="35"/>
      <c r="H7" s="34"/>
      <c r="I7" s="34"/>
      <c r="J7" s="34">
        <f>$C$27*('E Balans VL '!D9+'E Balans VL '!E9)/100/3.6*1000000</f>
        <v>0</v>
      </c>
      <c r="K7" s="34"/>
      <c r="L7" s="34"/>
      <c r="M7" s="34"/>
      <c r="N7" s="34">
        <f>$C$27*'E Balans VL '!Y9/100/3.6*1000000</f>
        <v>0.13012672488946866</v>
      </c>
      <c r="O7" s="34"/>
      <c r="P7" s="34"/>
      <c r="R7" s="33"/>
    </row>
    <row r="8" spans="1:18">
      <c r="A8" s="6" t="s">
        <v>52</v>
      </c>
      <c r="B8" s="38">
        <f t="shared" si="0"/>
        <v>9891.8160000000007</v>
      </c>
      <c r="C8" s="34"/>
      <c r="D8" s="38">
        <f>IF(ISERROR(TER_handel_gas_kWh/1000),0,TER_handel_gas_kWh/1000)*0.902</f>
        <v>1666.3430739999999</v>
      </c>
      <c r="E8" s="34">
        <f>$C$28*'E Balans VL '!I13/100/3.6*1000000</f>
        <v>53.268644702627725</v>
      </c>
      <c r="F8" s="34">
        <f>$C$28*('E Balans VL '!L13+'E Balans VL '!N13)/100/3.6*1000000</f>
        <v>2017.2352406956484</v>
      </c>
      <c r="G8" s="35"/>
      <c r="H8" s="34"/>
      <c r="I8" s="34"/>
      <c r="J8" s="34">
        <f>$C$28*('E Balans VL '!D13+'E Balans VL '!E13)/100/3.6*1000000</f>
        <v>0</v>
      </c>
      <c r="K8" s="34"/>
      <c r="L8" s="34"/>
      <c r="M8" s="34"/>
      <c r="N8" s="34">
        <f>$C$28*'E Balans VL '!Y13/100/3.6*1000000</f>
        <v>49.186777249632975</v>
      </c>
      <c r="O8" s="34"/>
      <c r="P8" s="34"/>
      <c r="R8" s="33"/>
    </row>
    <row r="9" spans="1:18">
      <c r="A9" s="33" t="s">
        <v>51</v>
      </c>
      <c r="B9" s="38">
        <f t="shared" si="0"/>
        <v>580.10400000000004</v>
      </c>
      <c r="C9" s="34"/>
      <c r="D9" s="38">
        <f>IF(ISERROR(TER_gezond_gas_kWh/1000),0,TER_gezond_gas_kWh/1000)*0.902</f>
        <v>1364.0810700000002</v>
      </c>
      <c r="E9" s="34">
        <f>$C$29*'E Balans VL '!I10/100/3.6*1000000</f>
        <v>0.57488966091538596</v>
      </c>
      <c r="F9" s="34">
        <f>$C$29*('E Balans VL '!L10+'E Balans VL '!N10)/100/3.6*1000000</f>
        <v>201.27936714368488</v>
      </c>
      <c r="G9" s="35"/>
      <c r="H9" s="34"/>
      <c r="I9" s="34"/>
      <c r="J9" s="34">
        <f>$C$29*('E Balans VL '!D10+'E Balans VL '!E10)/100/3.6*1000000</f>
        <v>0</v>
      </c>
      <c r="K9" s="34"/>
      <c r="L9" s="34"/>
      <c r="M9" s="34"/>
      <c r="N9" s="34">
        <f>$C$29*'E Balans VL '!Y10/100/3.6*1000000</f>
        <v>4.9987059138314143</v>
      </c>
      <c r="O9" s="34"/>
      <c r="P9" s="34"/>
      <c r="R9" s="33"/>
    </row>
    <row r="10" spans="1:18">
      <c r="A10" s="33" t="s">
        <v>50</v>
      </c>
      <c r="B10" s="38">
        <f t="shared" si="0"/>
        <v>1437.9939999999999</v>
      </c>
      <c r="C10" s="34"/>
      <c r="D10" s="38">
        <f>IF(ISERROR(TER_ander_gas_kWh/1000),0,TER_ander_gas_kWh/1000)*0.902</f>
        <v>1192.663186</v>
      </c>
      <c r="E10" s="34">
        <f>$C$30*'E Balans VL '!I14/100/3.6*1000000</f>
        <v>11.764228092650672</v>
      </c>
      <c r="F10" s="34">
        <f>$C$30*('E Balans VL '!L14+'E Balans VL '!N14)/100/3.6*1000000</f>
        <v>420.41090243960724</v>
      </c>
      <c r="G10" s="35"/>
      <c r="H10" s="34"/>
      <c r="I10" s="34"/>
      <c r="J10" s="34">
        <f>$C$30*('E Balans VL '!D14+'E Balans VL '!E14)/100/3.6*1000000</f>
        <v>0</v>
      </c>
      <c r="K10" s="34"/>
      <c r="L10" s="34"/>
      <c r="M10" s="34"/>
      <c r="N10" s="34">
        <f>$C$30*'E Balans VL '!Y14/100/3.6*1000000</f>
        <v>829.5338572447273</v>
      </c>
      <c r="O10" s="34"/>
      <c r="P10" s="34"/>
      <c r="R10" s="33"/>
    </row>
    <row r="11" spans="1:18">
      <c r="A11" s="33" t="s">
        <v>55</v>
      </c>
      <c r="B11" s="38">
        <f t="shared" si="0"/>
        <v>393.786</v>
      </c>
      <c r="C11" s="34"/>
      <c r="D11" s="38">
        <f>IF(ISERROR(TER_onderwijs_gas_kWh/1000),0,TER_onderwijs_gas_kWh/1000)*0.902</f>
        <v>0</v>
      </c>
      <c r="E11" s="34">
        <f>$C$31*'E Balans VL '!I11/100/3.6*1000000</f>
        <v>0.24271307491904484</v>
      </c>
      <c r="F11" s="34">
        <f>$C$31*('E Balans VL '!L11+'E Balans VL '!N11)/100/3.6*1000000</f>
        <v>152.24404483405078</v>
      </c>
      <c r="G11" s="35"/>
      <c r="H11" s="34"/>
      <c r="I11" s="34"/>
      <c r="J11" s="34">
        <f>$C$31*('E Balans VL '!D11+'E Balans VL '!E11)/100/3.6*1000000</f>
        <v>0</v>
      </c>
      <c r="K11" s="34"/>
      <c r="L11" s="34"/>
      <c r="M11" s="34"/>
      <c r="N11" s="34">
        <f>$C$31*'E Balans VL '!Y11/100/3.6*1000000</f>
        <v>1.2809014714619744</v>
      </c>
      <c r="O11" s="34"/>
      <c r="P11" s="34"/>
      <c r="R11" s="33"/>
    </row>
    <row r="12" spans="1:18">
      <c r="A12" s="33" t="s">
        <v>260</v>
      </c>
      <c r="B12" s="38">
        <f t="shared" si="0"/>
        <v>0</v>
      </c>
      <c r="C12" s="34"/>
      <c r="D12" s="38">
        <f>IF(ISERROR(TER_rest_gas_kWh/1000),0,TER_rest_gas_kWh/1000)*0.902</f>
        <v>327.01288399999999</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19083.79</v>
      </c>
      <c r="C16" s="22">
        <f t="shared" ca="1" si="1"/>
        <v>0</v>
      </c>
      <c r="D16" s="22">
        <f t="shared" ca="1" si="1"/>
        <v>9361.4584140000006</v>
      </c>
      <c r="E16" s="22">
        <f t="shared" si="1"/>
        <v>138.90126765746217</v>
      </c>
      <c r="F16" s="22">
        <f t="shared" ca="1" si="1"/>
        <v>3726.3314668394587</v>
      </c>
      <c r="G16" s="22">
        <f t="shared" si="1"/>
        <v>0</v>
      </c>
      <c r="H16" s="22">
        <f t="shared" si="1"/>
        <v>0</v>
      </c>
      <c r="I16" s="22">
        <f t="shared" si="1"/>
        <v>0</v>
      </c>
      <c r="J16" s="22">
        <f t="shared" si="1"/>
        <v>0</v>
      </c>
      <c r="K16" s="22">
        <f t="shared" si="1"/>
        <v>0</v>
      </c>
      <c r="L16" s="22">
        <f t="shared" ca="1" si="1"/>
        <v>0</v>
      </c>
      <c r="M16" s="22">
        <f t="shared" si="1"/>
        <v>0</v>
      </c>
      <c r="N16" s="22">
        <f t="shared" ca="1" si="1"/>
        <v>886.25128017264581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0.19872336320766165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3792.3949315487416</v>
      </c>
      <c r="C20" s="24">
        <f t="shared" ref="C20:P20" ca="1" si="2">C16*C18</f>
        <v>0</v>
      </c>
      <c r="D20" s="24">
        <f t="shared" ca="1" si="2"/>
        <v>1891.0145996280003</v>
      </c>
      <c r="E20" s="24">
        <f t="shared" si="2"/>
        <v>31.530587758243914</v>
      </c>
      <c r="F20" s="24">
        <f t="shared" ca="1" si="2"/>
        <v>994.93050164613555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5547.8239999999996</v>
      </c>
      <c r="C26" s="40">
        <f>IF(ISERROR(B26*3.6/1000000/'E Balans VL '!Z12*100),0,B26*3.6/1000000/'E Balans VL '!Z12*100)</f>
        <v>0.1178872814831846</v>
      </c>
      <c r="D26" s="240" t="s">
        <v>707</v>
      </c>
      <c r="F26" s="6"/>
    </row>
    <row r="27" spans="1:18">
      <c r="A27" s="234" t="s">
        <v>53</v>
      </c>
      <c r="B27" s="34">
        <f>IF(ISERROR(TER_horeca_ele_kWh/1000),0,TER_horeca_ele_kWh/1000)</f>
        <v>1232.2660000000001</v>
      </c>
      <c r="C27" s="40">
        <f>IF(ISERROR(B27*3.6/1000000/'E Balans VL '!Z9*100),0,B27*3.6/1000000/'E Balans VL '!Z9*100)</f>
        <v>9.698886327165368E-2</v>
      </c>
      <c r="D27" s="240" t="s">
        <v>707</v>
      </c>
      <c r="F27" s="6"/>
    </row>
    <row r="28" spans="1:18">
      <c r="A28" s="174" t="s">
        <v>52</v>
      </c>
      <c r="B28" s="34">
        <f>IF(ISERROR(TER_handel_ele_kWh/1000),0,TER_handel_ele_kWh/1000)</f>
        <v>9891.8160000000007</v>
      </c>
      <c r="C28" s="40">
        <f>IF(ISERROR(B28*3.6/1000000/'E Balans VL '!Z13*100),0,B28*3.6/1000000/'E Balans VL '!Z13*100)</f>
        <v>0.27707506005092197</v>
      </c>
      <c r="D28" s="240" t="s">
        <v>707</v>
      </c>
      <c r="F28" s="6"/>
    </row>
    <row r="29" spans="1:18">
      <c r="A29" s="234" t="s">
        <v>51</v>
      </c>
      <c r="B29" s="34">
        <f>IF(ISERROR(TER_gezond_ele_kWh/1000),0,TER_gezond_ele_kWh/1000)</f>
        <v>580.10400000000004</v>
      </c>
      <c r="C29" s="40">
        <f>IF(ISERROR(B29*3.6/1000000/'E Balans VL '!Z10*100),0,B29*3.6/1000000/'E Balans VL '!Z10*100)</f>
        <v>7.421284323848118E-2</v>
      </c>
      <c r="D29" s="240" t="s">
        <v>707</v>
      </c>
      <c r="F29" s="6"/>
    </row>
    <row r="30" spans="1:18">
      <c r="A30" s="234" t="s">
        <v>50</v>
      </c>
      <c r="B30" s="34">
        <f>IF(ISERROR(TER_ander_ele_kWh/1000),0,TER_ander_ele_kWh/1000)</f>
        <v>1437.9939999999999</v>
      </c>
      <c r="C30" s="40">
        <f>IF(ISERROR(B30*3.6/1000000/'E Balans VL '!Z14*100),0,B30*3.6/1000000/'E Balans VL '!Z14*100)</f>
        <v>0.10754983445088971</v>
      </c>
      <c r="D30" s="240" t="s">
        <v>707</v>
      </c>
      <c r="F30" s="6"/>
    </row>
    <row r="31" spans="1:18">
      <c r="A31" s="234" t="s">
        <v>55</v>
      </c>
      <c r="B31" s="34">
        <f>IF(ISERROR(TER_onderwijs_ele_kWh/1000),0,TER_onderwijs_ele_kWh/1000)</f>
        <v>393.786</v>
      </c>
      <c r="C31" s="40">
        <f>IF(ISERROR(B31*3.6/1000000/'E Balans VL '!Z11*100),0,B31*3.6/1000000/'E Balans VL '!Z11*100)</f>
        <v>8.3148423983250522E-2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10779.483999999999</v>
      </c>
      <c r="C5" s="18">
        <f>IF(ISERROR('Eigen informatie GS &amp; warmtenet'!B59),0,'Eigen informatie GS &amp; warmtenet'!B59)</f>
        <v>0</v>
      </c>
      <c r="D5" s="31">
        <f>SUM(D6:D15)</f>
        <v>17174.392092000002</v>
      </c>
      <c r="E5" s="18">
        <f>SUM(E6:E15)</f>
        <v>113.70621280167968</v>
      </c>
      <c r="F5" s="18">
        <f>SUM(F6:F15)</f>
        <v>3487.7193247413602</v>
      </c>
      <c r="G5" s="19"/>
      <c r="H5" s="18"/>
      <c r="I5" s="18"/>
      <c r="J5" s="18">
        <f>SUM(J6:J15)</f>
        <v>9.9288105220324461</v>
      </c>
      <c r="K5" s="18"/>
      <c r="L5" s="18"/>
      <c r="M5" s="18"/>
      <c r="N5" s="18">
        <f>SUM(N6:N15)</f>
        <v>341.66516871743482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85.043000000000006</v>
      </c>
      <c r="C8" s="34"/>
      <c r="D8" s="38">
        <f>IF( ISERROR(IND_metaal_Gas_kWH/1000),0,IND_metaal_Gas_kWH/1000)*0.902</f>
        <v>0</v>
      </c>
      <c r="E8" s="34">
        <f>C30*'E Balans VL '!I18/100/3.6*1000000</f>
        <v>0.77447127520074177</v>
      </c>
      <c r="F8" s="34">
        <f>C30*'E Balans VL '!L18/100/3.6*1000000+C30*'E Balans VL '!N18/100/3.6*1000000</f>
        <v>11.216525872365564</v>
      </c>
      <c r="G8" s="35"/>
      <c r="H8" s="34"/>
      <c r="I8" s="34"/>
      <c r="J8" s="41">
        <f>C30*'E Balans VL '!D18/100/3.6*1000000+C30*'E Balans VL '!E18/100/3.6*1000000</f>
        <v>1.3945817220103094</v>
      </c>
      <c r="K8" s="34"/>
      <c r="L8" s="34"/>
      <c r="M8" s="34"/>
      <c r="N8" s="34">
        <f>C30*'E Balans VL '!Y18/100/3.6*1000000</f>
        <v>0.29225900775491054</v>
      </c>
      <c r="O8" s="34"/>
      <c r="P8" s="34"/>
      <c r="R8" s="33"/>
    </row>
    <row r="9" spans="1:18">
      <c r="A9" s="6" t="s">
        <v>33</v>
      </c>
      <c r="B9" s="38">
        <f t="shared" si="0"/>
        <v>3040.3449999999998</v>
      </c>
      <c r="C9" s="34"/>
      <c r="D9" s="38">
        <f>IF( ISERROR(IND_andere_gas_kWh/1000),0,IND_andere_gas_kWh/1000)*0.902</f>
        <v>888.68828399999995</v>
      </c>
      <c r="E9" s="34">
        <f>C31*'E Balans VL '!I19/100/3.6*1000000</f>
        <v>17.573648441980268</v>
      </c>
      <c r="F9" s="34">
        <f>C31*'E Balans VL '!L19/100/3.6*1000000+C31*'E Balans VL '!N19/100/3.6*1000000</f>
        <v>2418.7407431122697</v>
      </c>
      <c r="G9" s="35"/>
      <c r="H9" s="34"/>
      <c r="I9" s="34"/>
      <c r="J9" s="41">
        <f>C31*'E Balans VL '!D19/100/3.6*1000000+C31*'E Balans VL '!E19/100/3.6*1000000</f>
        <v>0.28758286580426851</v>
      </c>
      <c r="K9" s="34"/>
      <c r="L9" s="34"/>
      <c r="M9" s="34"/>
      <c r="N9" s="34">
        <f>C31*'E Balans VL '!Y19/100/3.6*1000000</f>
        <v>230.3521442250325</v>
      </c>
      <c r="O9" s="34"/>
      <c r="P9" s="34"/>
      <c r="R9" s="33"/>
    </row>
    <row r="10" spans="1:18">
      <c r="A10" s="6" t="s">
        <v>41</v>
      </c>
      <c r="B10" s="38">
        <f t="shared" si="0"/>
        <v>6359.9229999999998</v>
      </c>
      <c r="C10" s="34"/>
      <c r="D10" s="38">
        <f>IF( ISERROR(IND_voed_gas_kWh/1000),0,IND_voed_gas_kWh/1000)*0.902</f>
        <v>16260.815823999999</v>
      </c>
      <c r="E10" s="34">
        <f>C32*'E Balans VL '!I20/100/3.6*1000000</f>
        <v>62.534681610917886</v>
      </c>
      <c r="F10" s="34">
        <f>C32*'E Balans VL '!L20/100/3.6*1000000+C32*'E Balans VL '!N20/100/3.6*1000000</f>
        <v>706.35246296327682</v>
      </c>
      <c r="G10" s="35"/>
      <c r="H10" s="34"/>
      <c r="I10" s="34"/>
      <c r="J10" s="41">
        <f>C32*'E Balans VL '!D20/100/3.6*1000000+C32*'E Balans VL '!E20/100/3.6*1000000</f>
        <v>2.5067343774310639E-2</v>
      </c>
      <c r="K10" s="34"/>
      <c r="L10" s="34"/>
      <c r="M10" s="34"/>
      <c r="N10" s="34">
        <f>C32*'E Balans VL '!Y20/100/3.6*1000000</f>
        <v>94.175499514192168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1227.7550000000001</v>
      </c>
      <c r="C12" s="34"/>
      <c r="D12" s="38">
        <f>IF( ISERROR(IND_min_gas_kWh/1000),0,IND_min_gas_kWh/1000)*0.902</f>
        <v>0</v>
      </c>
      <c r="E12" s="34">
        <f>C34*'E Balans VL '!I22/100/3.6*1000000</f>
        <v>31.125774033979337</v>
      </c>
      <c r="F12" s="34">
        <f>C34*'E Balans VL '!L22/100/3.6*1000000+C34*'E Balans VL '!N22/100/3.6*1000000</f>
        <v>339.72408795089018</v>
      </c>
      <c r="G12" s="35"/>
      <c r="H12" s="34"/>
      <c r="I12" s="34"/>
      <c r="J12" s="41">
        <f>C34*'E Balans VL '!D22/100/3.6*1000000+C34*'E Balans VL '!E22/100/3.6*1000000</f>
        <v>8.1083407385064028</v>
      </c>
      <c r="K12" s="34"/>
      <c r="L12" s="34"/>
      <c r="M12" s="34"/>
      <c r="N12" s="34">
        <f>C34*'E Balans VL '!Y22/100/3.6*1000000</f>
        <v>0</v>
      </c>
      <c r="O12" s="34"/>
      <c r="P12" s="34"/>
      <c r="R12" s="33"/>
    </row>
    <row r="13" spans="1:18">
      <c r="A13" s="6" t="s">
        <v>39</v>
      </c>
      <c r="B13" s="38">
        <f t="shared" si="0"/>
        <v>43.9</v>
      </c>
      <c r="C13" s="34"/>
      <c r="D13" s="38">
        <f>IF( ISERROR(IND_papier_gas_kWh/1000),0,IND_papier_gas_kWh/1000)*0.902</f>
        <v>0</v>
      </c>
      <c r="E13" s="34">
        <f>C35*'E Balans VL '!I23/100/3.6*1000000</f>
        <v>1.4952976508848106</v>
      </c>
      <c r="F13" s="34">
        <f>C35*'E Balans VL '!L23/100/3.6*1000000+C35*'E Balans VL '!N23/100/3.6*1000000</f>
        <v>7.2512496891780263</v>
      </c>
      <c r="G13" s="35"/>
      <c r="H13" s="34"/>
      <c r="I13" s="34"/>
      <c r="J13" s="41">
        <f>C35*'E Balans VL '!D23/100/3.6*1000000+C35*'E Balans VL '!E23/100/3.6*1000000</f>
        <v>0</v>
      </c>
      <c r="K13" s="34"/>
      <c r="L13" s="34"/>
      <c r="M13" s="34"/>
      <c r="N13" s="34">
        <f>C35*'E Balans VL '!Y23/100/3.6*1000000</f>
        <v>16.154022693264878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22.518000000000001</v>
      </c>
      <c r="C15" s="34"/>
      <c r="D15" s="38">
        <f>IF( ISERROR(IND_rest_gas_kWh/1000),0,IND_rest_gas_kWh/1000)*0.902</f>
        <v>24.887983999999999</v>
      </c>
      <c r="E15" s="34">
        <f>C37*'E Balans VL '!I15/100/3.6*1000000</f>
        <v>0.20233978871664693</v>
      </c>
      <c r="F15" s="34">
        <f>C37*'E Balans VL '!L15/100/3.6*1000000+C37*'E Balans VL '!N15/100/3.6*1000000</f>
        <v>4.4342551533800574</v>
      </c>
      <c r="G15" s="35"/>
      <c r="H15" s="34"/>
      <c r="I15" s="34"/>
      <c r="J15" s="41">
        <f>C37*'E Balans VL '!D15/100/3.6*1000000+C37*'E Balans VL '!E15/100/3.6*1000000</f>
        <v>0.11323785193715445</v>
      </c>
      <c r="K15" s="34"/>
      <c r="L15" s="34"/>
      <c r="M15" s="34"/>
      <c r="N15" s="34">
        <f>C37*'E Balans VL '!Y15/100/3.6*1000000</f>
        <v>0.69124327719032364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10779.483999999999</v>
      </c>
      <c r="C18" s="22">
        <f>C5+C16</f>
        <v>0</v>
      </c>
      <c r="D18" s="22">
        <f>MAX((D5+D16),0)</f>
        <v>17174.392092000002</v>
      </c>
      <c r="E18" s="22">
        <f>MAX((E5+E16),0)</f>
        <v>113.70621280167968</v>
      </c>
      <c r="F18" s="22">
        <f>MAX((F5+F16),0)</f>
        <v>3487.7193247413602</v>
      </c>
      <c r="G18" s="22"/>
      <c r="H18" s="22"/>
      <c r="I18" s="22"/>
      <c r="J18" s="22">
        <f>MAX((J5+J16),0)</f>
        <v>9.9288105220324461</v>
      </c>
      <c r="K18" s="22"/>
      <c r="L18" s="22">
        <f>MAX((L5+L16),0)</f>
        <v>0</v>
      </c>
      <c r="M18" s="22"/>
      <c r="N18" s="22">
        <f>MAX((N5+N16),0)</f>
        <v>341.66516871743482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0.19872336320766165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2142.1353141231771</v>
      </c>
      <c r="C22" s="24">
        <f ca="1">C18*C20</f>
        <v>0</v>
      </c>
      <c r="D22" s="24">
        <f>D18*D20</f>
        <v>3469.2272025840007</v>
      </c>
      <c r="E22" s="24">
        <f>E18*E20</f>
        <v>25.811310305981291</v>
      </c>
      <c r="F22" s="24">
        <f>F18*F20</f>
        <v>931.22105970594328</v>
      </c>
      <c r="G22" s="24"/>
      <c r="H22" s="24"/>
      <c r="I22" s="24"/>
      <c r="J22" s="24">
        <f>J18*J20</f>
        <v>3.5147989247994857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85.043000000000006</v>
      </c>
      <c r="C30" s="40">
        <f>IF(ISERROR(B30*3.6/1000000/'E Balans VL '!Z18*100),0,B30*3.6/1000000/'E Balans VL '!Z18*100)</f>
        <v>4.7320742723381062E-3</v>
      </c>
      <c r="D30" s="240" t="s">
        <v>707</v>
      </c>
    </row>
    <row r="31" spans="1:18">
      <c r="A31" s="6" t="s">
        <v>33</v>
      </c>
      <c r="B31" s="38">
        <f>IF( ISERROR(IND_ander_ele_kWh/1000),0,IND_ander_ele_kWh/1000)</f>
        <v>3040.3449999999998</v>
      </c>
      <c r="C31" s="40">
        <f>IF(ISERROR(B31*3.6/1000000/'E Balans VL '!Z19*100),0,B31*3.6/1000000/'E Balans VL '!Z19*100)</f>
        <v>0.14133765418366781</v>
      </c>
      <c r="D31" s="240" t="s">
        <v>707</v>
      </c>
    </row>
    <row r="32" spans="1:18">
      <c r="A32" s="174" t="s">
        <v>41</v>
      </c>
      <c r="B32" s="38">
        <f>IF( ISERROR(IND_voed_ele_kWh/1000),0,IND_voed_ele_kWh/1000)</f>
        <v>6359.9229999999998</v>
      </c>
      <c r="C32" s="40">
        <f>IF(ISERROR(B32*3.6/1000000/'E Balans VL '!Z20*100),0,B32*3.6/1000000/'E Balans VL '!Z20*100)</f>
        <v>0.22481043364153516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1227.7550000000001</v>
      </c>
      <c r="C34" s="40">
        <f>IF(ISERROR(B34*3.6/1000000/'E Balans VL '!Z22*100),0,B34*3.6/1000000/'E Balans VL '!Z22*100)</f>
        <v>0.24674413347865698</v>
      </c>
      <c r="D34" s="240" t="s">
        <v>707</v>
      </c>
    </row>
    <row r="35" spans="1:5">
      <c r="A35" s="174" t="s">
        <v>39</v>
      </c>
      <c r="B35" s="38">
        <f>IF( ISERROR(IND_papier_ele_kWh/1000),0,IND_papier_ele_kWh/1000)</f>
        <v>43.9</v>
      </c>
      <c r="C35" s="40">
        <f>IF(ISERROR(B35*3.6/1000000/'E Balans VL '!Z22*100),0,B35*3.6/1000000/'E Balans VL '!Z22*100)</f>
        <v>8.8226620618226271E-3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22.518000000000001</v>
      </c>
      <c r="C37" s="40">
        <f>IF(ISERROR(B37*3.6/1000000/'E Balans VL '!Z15*100),0,B37*3.6/1000000/'E Balans VL '!Z15*100)</f>
        <v>1.7004416411603226E-4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2974.87</v>
      </c>
      <c r="C5" s="18">
        <f>'Eigen informatie GS &amp; warmtenet'!B60</f>
        <v>0</v>
      </c>
      <c r="D5" s="31">
        <f>IF(ISERROR(SUM(LB_lb_gas_kWh,LB_rest_gas_kWh,onbekend_gas_kWh)/1000),0,SUM(LB_lb_gas_kWh,LB_rest_gas_kWh,onbekend_gas_kWh)/1000)*0.902</f>
        <v>801.89964800000007</v>
      </c>
      <c r="E5" s="18">
        <f>B17*'E Balans VL '!I25/3.6*1000000/100</f>
        <v>28.02526862828406</v>
      </c>
      <c r="F5" s="18">
        <f>B17*('E Balans VL '!L25/3.6*1000000+'E Balans VL '!N25/3.6*1000000)/100</f>
        <v>9707.9880826474946</v>
      </c>
      <c r="G5" s="19"/>
      <c r="H5" s="18"/>
      <c r="I5" s="18"/>
      <c r="J5" s="18">
        <f>('E Balans VL '!D25+'E Balans VL '!E25)/3.6*1000000*landbouw!B17/100</f>
        <v>368.00588876490053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2974.87</v>
      </c>
      <c r="C8" s="22">
        <f>C5+C6</f>
        <v>0</v>
      </c>
      <c r="D8" s="22">
        <f>MAX((D5+D6),0)</f>
        <v>801.89964800000007</v>
      </c>
      <c r="E8" s="22">
        <f>MAX((E5+E6),0)</f>
        <v>28.02526862828406</v>
      </c>
      <c r="F8" s="22">
        <f>MAX((F5+F6),0)</f>
        <v>9707.9880826474946</v>
      </c>
      <c r="G8" s="22"/>
      <c r="H8" s="22"/>
      <c r="I8" s="22"/>
      <c r="J8" s="22">
        <f>MAX((J5+J6),0)</f>
        <v>368.00588876490053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0.19872336320766165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591.17617150557635</v>
      </c>
      <c r="C12" s="24">
        <f ca="1">C8*C10</f>
        <v>0</v>
      </c>
      <c r="D12" s="24">
        <f>D8*D10</f>
        <v>161.98372889600003</v>
      </c>
      <c r="E12" s="24">
        <f>E8*E10</f>
        <v>6.3617359786204819</v>
      </c>
      <c r="F12" s="24">
        <f>F8*F10</f>
        <v>2592.0328180668812</v>
      </c>
      <c r="G12" s="24"/>
      <c r="H12" s="24"/>
      <c r="I12" s="24"/>
      <c r="J12" s="24">
        <f>J8*J10</f>
        <v>130.27408462277478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0.40274986109701072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198.2565087823703</v>
      </c>
      <c r="C26" s="250">
        <f>B26*'GWP N2O_CH4'!B5</f>
        <v>4163.3866844297763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76.105389225220833</v>
      </c>
      <c r="C27" s="250">
        <f>B27*'GWP N2O_CH4'!B5</f>
        <v>1598.2131737296374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2.9912993847154841</v>
      </c>
      <c r="C28" s="250">
        <f>B28*'GWP N2O_CH4'!B4</f>
        <v>927.30280926180001</v>
      </c>
      <c r="D28" s="51"/>
    </row>
    <row r="29" spans="1:4">
      <c r="A29" s="42" t="s">
        <v>277</v>
      </c>
      <c r="B29" s="250">
        <f>B34*'ha_N2O bodem landbouw'!B4</f>
        <v>18.586779558453372</v>
      </c>
      <c r="C29" s="250">
        <f>B29*'GWP N2O_CH4'!B4</f>
        <v>5761.901663120545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5.017845364002245E-3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6.5286447392573644E-6</v>
      </c>
      <c r="C5" s="447" t="s">
        <v>211</v>
      </c>
      <c r="D5" s="432">
        <f>SUM(D6:D11)</f>
        <v>1.8161261950391579E-5</v>
      </c>
      <c r="E5" s="432">
        <f>SUM(E6:E11)</f>
        <v>1.0519697897723047E-3</v>
      </c>
      <c r="F5" s="445" t="s">
        <v>211</v>
      </c>
      <c r="G5" s="432">
        <f>SUM(G6:G11)</f>
        <v>0.23556477580941709</v>
      </c>
      <c r="H5" s="432">
        <f>SUM(H6:H11)</f>
        <v>4.0340940395753005E-2</v>
      </c>
      <c r="I5" s="447" t="s">
        <v>211</v>
      </c>
      <c r="J5" s="447" t="s">
        <v>211</v>
      </c>
      <c r="K5" s="447" t="s">
        <v>211</v>
      </c>
      <c r="L5" s="447" t="s">
        <v>211</v>
      </c>
      <c r="M5" s="432">
        <f>SUM(M6:M11)</f>
        <v>1.2335108333460486E-2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5.3848737870778633E-6</v>
      </c>
      <c r="C6" s="433"/>
      <c r="D6" s="433">
        <f>vkm_2011_GW_PW*SUMIFS(TableVerdeelsleutelVkm[CNG],TableVerdeelsleutelVkm[Voertuigtype],"Lichte voertuigen")*SUMIFS(TableECFTransport[EnergieConsumptieFactor (PJ per km)],TableECFTransport[Index],CONCATENATE($A6,"_CNG_CNG"))</f>
        <v>1.3149951969098662E-5</v>
      </c>
      <c r="E6" s="435">
        <f>vkm_2011_GW_PW*SUMIFS(TableVerdeelsleutelVkm[LPG],TableVerdeelsleutelVkm[Voertuigtype],"Lichte voertuigen")*SUMIFS(TableECFTransport[EnergieConsumptieFactor (PJ per km)],TableECFTransport[Index],CONCATENATE($A6,"_LPG_LPG"))</f>
        <v>7.7946119560394489E-4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0.11268028499791972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2.9530265453333347E-2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6.3684503459989529E-3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7.8413000290913679E-2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3.1636588551461392E-5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3.4932749021477881E-3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1.1437709521795009E-6</v>
      </c>
      <c r="C8" s="433"/>
      <c r="D8" s="435">
        <f>vkm_2011_NGW_PW*SUMIFS(TableVerdeelsleutelVkm[CNG],TableVerdeelsleutelVkm[Voertuigtype],"Lichte voertuigen")*SUMIFS(TableECFTransport[EnergieConsumptieFactor (PJ per km)],TableECFTransport[Index],CONCATENATE($A8,"_CNG_CNG"))</f>
        <v>5.011309981292917E-6</v>
      </c>
      <c r="E8" s="435">
        <f>vkm_2011_NGW_PW*SUMIFS(TableVerdeelsleutelVkm[LPG],TableVerdeelsleutelVkm[Voertuigtype],"Lichte voertuigen")*SUMIFS(TableECFTransport[EnergieConsumptieFactor (PJ per km)],TableECFTransport[Index],CONCATENATE($A8,"_LPG_LPG"))</f>
        <v>2.7250859416835983E-4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3.7215224311706735E-2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1.0776489287572586E-2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2.1501359851273921E-3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7.256266208876966E-3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2.5490662956105415E-6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3.2324710018635279E-4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1.8135124275714902</v>
      </c>
      <c r="C14" s="22"/>
      <c r="D14" s="22">
        <f t="shared" ref="D14:M14" si="0">((D5)*10^9/3600)+D12</f>
        <v>5.0447949862198831</v>
      </c>
      <c r="E14" s="22">
        <f t="shared" si="0"/>
        <v>292.21383049230684</v>
      </c>
      <c r="F14" s="22"/>
      <c r="G14" s="22">
        <f t="shared" si="0"/>
        <v>65434.659947060303</v>
      </c>
      <c r="H14" s="22">
        <f t="shared" si="0"/>
        <v>11205.816776598056</v>
      </c>
      <c r="I14" s="22"/>
      <c r="J14" s="22"/>
      <c r="K14" s="22"/>
      <c r="L14" s="22"/>
      <c r="M14" s="22">
        <f t="shared" si="0"/>
        <v>3426.4189815168015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0.19872336320766165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0.36038728882589743</v>
      </c>
      <c r="C18" s="24"/>
      <c r="D18" s="24">
        <f t="shared" ref="D18:M18" si="1">D14*D16</f>
        <v>1.0190485872164166</v>
      </c>
      <c r="E18" s="24">
        <f t="shared" si="1"/>
        <v>66.33253952175366</v>
      </c>
      <c r="F18" s="24"/>
      <c r="G18" s="24">
        <f t="shared" si="1"/>
        <v>17471.054205865101</v>
      </c>
      <c r="H18" s="24">
        <f t="shared" si="1"/>
        <v>2790.2483773729159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4.7451495397155385E-3</v>
      </c>
      <c r="H50" s="323">
        <f t="shared" si="2"/>
        <v>0</v>
      </c>
      <c r="I50" s="323">
        <f t="shared" si="2"/>
        <v>0</v>
      </c>
      <c r="J50" s="323">
        <f t="shared" si="2"/>
        <v>0</v>
      </c>
      <c r="K50" s="323">
        <f t="shared" si="2"/>
        <v>0</v>
      </c>
      <c r="L50" s="323">
        <f t="shared" si="2"/>
        <v>0</v>
      </c>
      <c r="M50" s="323">
        <f t="shared" si="2"/>
        <v>2.0836734390270085E-4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4.7451495397155385E-3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2.0836734390270085E-4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1318.0970943654274</v>
      </c>
      <c r="H54" s="22">
        <f t="shared" si="3"/>
        <v>0</v>
      </c>
      <c r="I54" s="22">
        <f t="shared" si="3"/>
        <v>0</v>
      </c>
      <c r="J54" s="22">
        <f t="shared" si="3"/>
        <v>0</v>
      </c>
      <c r="K54" s="22">
        <f t="shared" si="3"/>
        <v>0</v>
      </c>
      <c r="L54" s="22">
        <f t="shared" si="3"/>
        <v>0</v>
      </c>
      <c r="M54" s="22">
        <f t="shared" si="3"/>
        <v>57.879817750750234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0.19872336320766165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351.93192419556914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5331.4143807244163</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5331.4143807244163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2018-06-27T09:20:58Z</dcterms:modified>
</cp:coreProperties>
</file>