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L12" i="17" l="1"/>
  <c r="M48" i="14" s="1"/>
  <c r="E12" i="17"/>
  <c r="F48" i="14" s="1"/>
  <c r="M14" i="22"/>
  <c r="E7" i="48"/>
  <c r="E24" s="1"/>
  <c r="G14" i="22"/>
  <c r="I7" i="18"/>
  <c r="M7" s="1"/>
  <c r="M9" s="1"/>
  <c r="J78" i="14"/>
  <c r="J81" s="1"/>
  <c r="I19" i="18"/>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F14" s="1"/>
  <c r="Q9"/>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Q8" l="1"/>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<sst xmlns="http://schemas.openxmlformats.org/spreadsheetml/2006/main" count="2018" uniqueCount="877">
  <si>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</si>
  <si>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</si>
  <si>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</si>
  <si>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</si>
  <si>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</si>
  <si>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</si>
  <si>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</si>
  <si>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</si>
  <si>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</si>
  <si>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</si>
  <si>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</si>
  <si>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</si>
  <si>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</si>
  <si>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</si>
  <si>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</si>
  <si>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</si>
  <si>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</si>
  <si>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</si>
  <si>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</si>
  <si>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</si>
  <si>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</si>
  <si>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</si>
  <si>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</si>
  <si>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</si>
  <si>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</si>
  <si>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</si>
  <si>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</si>
  <si>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</si>
  <si>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</si>
  <si>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</si>
  <si>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</si>
  <si>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</si>
  <si>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</si>
  <si>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</si>
  <si>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</si>
  <si>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</si>
  <si>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</si>
  <si>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</si>
  <si>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</si>
  <si>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</si>
  <si>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</si>
  <si>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</si>
  <si>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</si>
  <si>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</si>
  <si>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</si>
  <si>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</si>
  <si>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</si>
  <si>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</si>
  <si>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</si>
  <si>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</si>
  <si>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</si>
  <si>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</si>
  <si>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</si>
  <si>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</si>
  <si>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</si>
  <si>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</si>
  <si>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</si>
  <si>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</si>
  <si>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</si>
  <si>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</si>
  <si>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</si>
  <si>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</si>
  <si>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</si>
  <si>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</si>
  <si>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</si>
  <si>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</si>
  <si>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</si>
  <si>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</si>
  <si>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</si>
  <si>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</si>
  <si>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</si>
  <si>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</si>
  <si>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</si>
  <si>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</si>
  <si>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</si>
  <si>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</si>
  <si>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</si>
  <si>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</si>
  <si>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</si>
  <si>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</si>
  <si>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</si>
  <si>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</si>
  <si>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</si>
  <si>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</si>
  <si>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</si>
  <si>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</si>
  <si>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</si>
  <si>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</si>
  <si>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</si>
  <si>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</si>
  <si>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</si>
  <si>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</si>
  <si>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</si>
  <si>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</si>
  <si>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</si>
  <si>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</si>
  <si>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</si>
  <si>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</si>
  <si>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</si>
  <si>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</si>
  <si>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</si>
  <si>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</si>
  <si>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</si>
  <si>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</si>
  <si>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</si>
  <si>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</si>
  <si>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</si>
  <si>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</si>
  <si>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</si>
  <si>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</si>
  <si>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</si>
  <si>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</si>
  <si>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</si>
  <si>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</si>
  <si>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</si>
  <si>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</si>
  <si>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</si>
  <si>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</si>
  <si>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</si>
  <si>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</si>
  <si>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</si>
  <si>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</si>
  <si>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</si>
  <si>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</si>
  <si>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</si>
  <si>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</si>
  <si>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</si>
  <si>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</si>
  <si>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</si>
  <si>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</si>
  <si>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</si>
  <si>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</si>
  <si>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</si>
  <si>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</si>
  <si>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</si>
  <si>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</si>
  <si>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</si>
  <si>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</si>
  <si>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</si>
  <si>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</si>
  <si>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</si>
  <si>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</si>
  <si>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</si>
  <si>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</si>
  <si>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</si>
  <si>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</si>
  <si>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</si>
  <si>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</si>
  <si>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</si>
  <si>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</si>
  <si>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</si>
  <si>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</si>
  <si>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</si>
  <si>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</si>
  <si>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</si>
  <si>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</si>
  <si>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</si>
  <si>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</si>
  <si>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</si>
  <si>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</si>
  <si>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</si>
  <si>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</si>
  <si>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</si>
  <si>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</si>
  <si>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</si>
  <si>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</si>
  <si>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</si>
  <si>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</si>
  <si>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</si>
  <si>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</si>
  <si>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</si>
  <si>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</si>
  <si>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</si>
  <si>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</si>
  <si>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</si>
  <si>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</si>
  <si>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</si>
  <si>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</si>
  <si>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</si>
  <si>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</si>
  <si>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</si>
  <si>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</si>
  <si>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</si>
  <si>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</si>
  <si>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</si>
  <si>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</si>
  <si>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</si>
  <si>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</si>
  <si>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</si>
  <si>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</si>
  <si>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</si>
  <si>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</si>
  <si>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</si>
  <si>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</si>
  <si>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</si>
  <si>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</si>
  <si>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</si>
  <si>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</si>
  <si>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</si>
  <si>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</si>
  <si>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</si>
  <si>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</si>
  <si>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</si>
  <si>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</si>
  <si>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</si>
  <si>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</si>
  <si>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</si>
  <si>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</si>
  <si>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</si>
  <si>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</si>
  <si>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</si>
  <si>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</si>
  <si>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</si>
  <si>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</si>
  <si>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</si>
  <si>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</si>
  <si>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</si>
  <si>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</si>
  <si>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</si>
  <si>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</si>
  <si>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</si>
  <si>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</si>
  <si>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</si>
  <si>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</si>
  <si>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</si>
  <si>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</si>
  <si>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</si>
  <si>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</si>
  <si>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</si>
  <si>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</si>
  <si>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</si>
  <si>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</si>
  <si>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</si>
  <si>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</si>
  <si>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</si>
  <si>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</si>
  <si>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</si>
  <si>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</si>
  <si>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</si>
  <si>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</si>
  <si>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</si>
  <si>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</si>
  <si>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</si>
  <si>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</si>
  <si>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</si>
  <si>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</si>
  <si>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</si>
  <si>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</si>
  <si>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</si>
  <si>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</si>
  <si>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</si>
  <si>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</si>
  <si>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</si>
  <si>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</si>
  <si>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</si>
  <si>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</si>
  <si>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</si>
  <si>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</si>
  <si>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</si>
  <si>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</si>
  <si>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</si>
  <si>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</si>
  <si>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</si>
  <si>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</si>
  <si>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</si>
  <si>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</si>
  <si>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</si>
  <si>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</si>
  <si>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</si>
  <si>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</si>
  <si>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</si>
  <si>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</si>
  <si>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</si>
  <si>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</si>
  <si>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</si>
  <si>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</si>
  <si>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</si>
  <si>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</si>
  <si>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</si>
  <si>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</si>
  <si>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</si>
  <si>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</si>
  <si>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</si>
  <si>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</si>
  <si>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</si>
  <si>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</si>
  <si>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</si>
  <si>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</si>
  <si>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</si>
  <si>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</si>
  <si>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</si>
  <si>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</si>
  <si>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</si>
  <si>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</si>
  <si>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</si>
  <si>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</si>
  <si>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</si>
  <si>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</si>
  <si>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</si>
  <si>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</si>
  <si>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</si>
  <si>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</si>
  <si>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</si>
  <si>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</si>
  <si>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</si>
  <si>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</si>
  <si>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</si>
  <si>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</si>
  <si>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</si>
  <si>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</si>
  <si>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</si>
  <si>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</si>
  <si>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</si>
  <si>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</si>
  <si>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</si>
  <si>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</si>
  <si>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</si>
  <si>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</si>
  <si>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</si>
  <si>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</si>
  <si>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</si>
  <si>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</si>
  <si>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</si>
  <si>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</si>
  <si>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</si>
  <si>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</si>
  <si>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</si>
  <si>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</si>
  <si>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</si>
  <si>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</si>
  <si>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</si>
  <si>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</si>
  <si>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</si>
  <si>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</si>
  <si>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</si>
  <si>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</si>
  <si>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</si>
  <si>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</si>
  <si>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</si>
  <si>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</si>
  <si>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</si>
  <si>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</si>
  <si>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</si>
  <si>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</si>
  <si>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</si>
  <si>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</si>
  <si>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</si>
  <si>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</si>
  <si>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</si>
  <si>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</si>
  <si>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</si>
  <si>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</si>
  <si>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</si>
  <si>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</si>
  <si>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</si>
  <si>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</si>
  <si>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</si>
  <si>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</si>
  <si>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</si>
  <si>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</si>
  <si>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</si>
  <si>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</si>
  <si>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</si>
  <si>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</si>
  <si>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</si>
  <si>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</si>
  <si>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</si>
  <si>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</si>
  <si>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</si>
  <si>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</si>
  <si>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</si>
  <si>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</si>
  <si>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</si>
  <si>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</si>
  <si>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</si>
  <si>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</si>
  <si>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</si>
  <si>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</si>
  <si>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</si>
  <si>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</si>
  <si>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</si>
  <si>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</si>
  <si>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</si>
  <si>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</si>
  <si>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</si>
  <si>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</si>
  <si>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</si>
  <si>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</si>
  <si>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</si>
  <si>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</si>
  <si>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</si>
  <si>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</si>
  <si>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</si>
  <si>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</si>
  <si>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</si>
  <si>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</si>
  <si>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</si>
  <si>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</si>
  <si>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</si>
  <si>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</si>
  <si>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</si>
  <si>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</si>
  <si>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</si>
  <si>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</si>
  <si>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</si>
  <si>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</si>
  <si>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</si>
  <si>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</si>
  <si>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</si>
  <si>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</si>
  <si>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</si>
  <si>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</si>
  <si>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</si>
  <si>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</si>
  <si>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</si>
  <si>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</si>
  <si>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</si>
  <si>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</si>
  <si>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</si>
  <si>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</si>
  <si>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</si>
  <si>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</si>
  <si>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</si>
  <si>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</si>
  <si>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</si>
  <si>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</si>
  <si>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</si>
  <si>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</si>
  <si>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</si>
  <si>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</si>
  <si>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</si>
  <si>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</si>
  <si>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</si>
  <si>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</si>
  <si>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</si>
  <si>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</si>
  <si>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</si>
  <si>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</si>
  <si>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</si>
  <si>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</si>
  <si>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</si>
  <si>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</si>
  <si>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</si>
  <si>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</si>
  <si>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</si>
  <si>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</si>
  <si>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</si>
  <si>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</si>
  <si>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</si>
  <si>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</si>
  <si>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</si>
  <si>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</si>
  <si>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</si>
  <si>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</si>
  <si>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</si>
  <si>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</si>
  <si>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</si>
  <si>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</si>
  <si>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</si>
  <si>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</si>
  <si>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</si>
  <si>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</si>
  <si>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</si>
  <si>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</si>
  <si>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</si>
  <si>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</si>
  <si>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</si>
  <si>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</si>
  <si>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</si>
  <si>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</si>
  <si>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</si>
  <si>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</si>
  <si>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</si>
  <si>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</si>
  <si>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</si>
  <si>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</si>
  <si>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</si>
  <si>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</si>
  <si>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</si>
  <si>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</si>
  <si>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</si>
  <si>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</si>
  <si>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</si>
  <si>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</si>
  <si>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</si>
  <si>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</si>
  <si>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</si>
  <si>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</si>
  <si>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</si>
  <si>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</si>
  <si>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</si>
  <si>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</si>
  <si>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</si>
  <si>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</si>
  <si>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</si>
  <si>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</si>
  <si>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</si>
  <si>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</si>
  <si>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</si>
  <si>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</si>
  <si>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</si>
  <si>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</si>
  <si>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</si>
  <si>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</si>
  <si>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</si>
  <si>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</si>
  <si>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</si>
  <si>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</si>
  <si>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</si>
  <si>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</si>
  <si>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</si>
  <si>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</si>
  <si>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</si>
  <si>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</si>
  <si>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</si>
  <si>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</si>
  <si>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</si>
  <si>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</si>
  <si>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</si>
  <si>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</si>
  <si>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</si>
  <si>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</si>
  <si>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</si>
  <si>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</si>
  <si>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</si>
  <si>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</si>
  <si>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</si>
  <si>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</si>
  <si>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</si>
  <si>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</si>
  <si>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</si>
  <si>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</si>
  <si>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</si>
  <si>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</si>
  <si>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</si>
  <si>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</si>
  <si>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</si>
  <si>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</si>
  <si>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</si>
  <si>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</si>
  <si>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</si>
  <si>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</si>
  <si>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</si>
  <si>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</si>
  <si>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</si>
  <si>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</si>
  <si>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</si>
  <si>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</si>
  <si>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</si>
  <si>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</si>
  <si>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</si>
  <si>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</si>
  <si>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</si>
  <si>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</si>
  <si>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</si>
  <si>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</si>
  <si>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</si>
  <si>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</si>
  <si>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</si>
  <si>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</si>
  <si>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</si>
  <si>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</si>
  <si>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</si>
  <si>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</si>
  <si>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</si>
  <si>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</si>
  <si>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</si>
  <si>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</si>
  <si>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</si>
  <si>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</si>
  <si>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</si>
  <si>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</si>
  <si>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</si>
  <si>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</si>
  <si>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</si>
  <si>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</si>
  <si>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</si>
  <si>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</si>
  <si>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</si>
  <si>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</si>
  <si>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</si>
  <si>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</si>
  <si>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</si>
  <si>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</si>
  <si>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</si>
  <si>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</si>
  <si>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</si>
  <si>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</si>
  <si>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</si>
  <si>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</si>
  <si>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</si>
  <si>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</si>
  <si>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</si>
  <si>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</si>
  <si>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</si>
  <si>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</si>
  <si>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</si>
  <si>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</si>
  <si>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</si>
  <si>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</si>
  <si>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</si>
  <si>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</si>
  <si>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</si>
  <si>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</si>
  <si>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</si>
  <si>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</si>
  <si>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</si>
  <si>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</si>
  <si>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</si>
  <si>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</si>
  <si>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</si>
  <si>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</si>
  <si>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</si>
  <si>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</si>
  <si>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</si>
  <si>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</si>
  <si>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</si>
  <si>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</si>
  <si>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</si>
  <si>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</si>
  <si>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</si>
  <si>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</si>
  <si>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</si>
  <si>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</si>
  <si>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</si>
  <si>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</si>
  <si>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</si>
  <si>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</si>
  <si>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</si>
  <si>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</si>
  <si>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</si>
  <si>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</si>
  <si>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</si>
  <si>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</si>
  <si>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</si>
  <si>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</si>
  <si>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</si>
  <si>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</si>
  <si>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</si>
  <si>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</si>
  <si>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</si>
  <si>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</si>
  <si>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</si>
  <si>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</si>
  <si>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</si>
  <si>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</si>
  <si>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</si>
  <si>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</si>
  <si>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</si>
  <si>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</si>
  <si>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</si>
  <si>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</si>
  <si>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</si>
  <si>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</si>
  <si>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</si>
  <si>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</si>
  <si>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</si>
  <si>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</si>
  <si>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</si>
  <si>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</si>
  <si>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</si>
  <si>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</si>
  <si>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</si>
  <si>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</si>
  <si>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</si>
  <si>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</si>
  <si>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</si>
  <si>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</si>
  <si>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</si>
  <si>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</si>
  <si>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</si>
  <si>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</si>
  <si>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</si>
  <si>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</si>
  <si>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</si>
  <si>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</si>
  <si>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</si>
  <si>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</si>
  <si>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</si>
  <si>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</si>
  <si>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</si>
  <si>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</si>
  <si>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</si>
  <si>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</si>
  <si>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</si>
  <si>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</si>
  <si>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</si>
  <si>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</si>
  <si>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</si>
  <si>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</si>
  <si>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</si>
  <si>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</si>
  <si>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</si>
  <si>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</si>
  <si>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</si>
  <si>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</si>
  <si>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</si>
  <si>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</si>
  <si>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</si>
  <si>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</si>
  <si>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</si>
  <si>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</si>
  <si>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</si>
  <si>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</si>
  <si>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</si>
  <si>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</si>
  <si>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</si>
  <si>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</si>
  <si>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</si>
  <si>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</si>
  <si>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</si>
  <si>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</si>
  <si>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</si>
  <si>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</si>
  <si>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</si>
  <si>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</si>
  <si>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</si>
  <si>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</si>
  <si>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</si>
  <si>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</si>
  <si>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</si>
  <si>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</si>
  <si>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</si>
  <si>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</si>
  <si>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</si>
  <si>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</si>
  <si>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</si>
  <si>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</si>
  <si>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</si>
  <si>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</si>
  <si>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</si>
  <si>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</si>
  <si>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</si>
  <si>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</si>
  <si>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</si>
  <si>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</si>
  <si>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</si>
  <si>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</si>
  <si>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</si>
  <si>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</si>
  <si>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</si>
  <si>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</si>
  <si>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</si>
  <si>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</si>
  <si>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</si>
  <si>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</si>
  <si>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</si>
  <si>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</si>
  <si>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</si>
  <si>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</si>
  <si>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</si>
  <si>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</si>
  <si>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</si>
  <si>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</si>
  <si>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</si>
  <si>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</si>
  <si>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</si>
  <si>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</si>
  <si>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</si>
  <si>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</si>
  <si>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</si>
  <si>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</si>
  <si>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</si>
  <si>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</si>
  <si>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</si>
  <si>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</si>
  <si>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</si>
  <si>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</si>
  <si>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</si>
  <si>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</si>
  <si>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</si>
  <si>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</si>
  <si>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</si>
  <si>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</si>
  <si>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</si>
  <si>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</si>
  <si>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</si>
  <si>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</si>
  <si>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</si>
  <si>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</si>
  <si>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</si>
  <si>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</si>
  <si>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</si>
  <si>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</si>
  <si>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</si>
  <si>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</si>
  <si>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</si>
  <si>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</si>
  <si>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</si>
  <si>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</si>
  <si>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</si>
  <si>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</si>
  <si>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</si>
  <si>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</si>
  <si>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</si>
  <si>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</si>
  <si>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</si>
  <si>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</si>
  <si>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</si>
  <si>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</si>
  <si>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</si>
  <si>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</si>
  <si>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</si>
  <si>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</si>
  <si>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</si>
  <si>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</si>
  <si>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</si>
  <si>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</si>
  <si>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</si>
  <si>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</si>
  <si>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</si>
  <si>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</si>
  <si>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</si>
  <si>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</si>
  <si>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</si>
  <si>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</si>
  <si>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</si>
  <si>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</si>
  <si>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</si>
  <si>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</si>
  <si>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</si>
  <si>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</si>
  <si>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</si>
  <si>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</si>
  <si>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</si>
  <si>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</si>
  <si>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</si>
  <si>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</si>
  <si>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</si>
  <si>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</si>
  <si>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</si>
  <si>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</si>
  <si>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</si>
  <si>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</si>
  <si>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</si>
  <si>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</si>
  <si>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</si>
  <si>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</si>
  <si>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</si>
  <si>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</si>
  <si>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</si>
  <si>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</si>
  <si>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</si>
  <si>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</si>
  <si>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</si>
  <si>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</si>
  <si>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</si>
  <si>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</si>
  <si>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</si>
  <si>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</si>
  <si>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</si>
  <si>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</si>
  <si>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</si>
  <si>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</si>
  <si>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</si>
  <si>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</si>
  <si>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</si>
  <si>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</si>
  <si>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</si>
  <si>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</si>
  <si>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</si>
  <si>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</si>
  <si>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</si>
  <si>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</si>
  <si>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</si>
  <si>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</si>
  <si>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</si>
  <si>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</si>
  <si>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</si>
  <si>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</si>
  <si>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</si>
  <si>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72040</t>
  </si>
  <si>
    <t>MEEUWEN-GRUITRODE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</si>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</sst>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72040</v>
      </c>
      <c r="B6" s="397"/>
      <c r="C6" s="398"/>
    </row>
    <row r="7" spans="1:7" s="395" customFormat="1" ht="15.75" customHeight="1">
      <c r="A7" s="399" t="str">
        <f>txtMunicipality</f>
        <v>MEEUWEN-GRUITRODE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8291.8950000000004</v>
      </c>
      <c r="D10" s="703">
        <f ca="1">tertiair!C16</f>
        <v>0</v>
      </c>
      <c r="E10" s="703">
        <f ca="1">tertiair!D16</f>
        <v>4740.5638280000003</v>
      </c>
      <c r="F10" s="703">
        <f>tertiair!E16</f>
        <v>85.452503846173613</v>
      </c>
      <c r="G10" s="703">
        <f ca="1">tertiair!F16</f>
        <v>1583.9100970135476</v>
      </c>
      <c r="H10" s="703">
        <f>tertiair!G16</f>
        <v>0</v>
      </c>
      <c r="I10" s="703">
        <f>tertiair!H16</f>
        <v>0</v>
      </c>
      <c r="J10" s="703">
        <f>tertiair!I16</f>
        <v>0</v>
      </c>
      <c r="K10" s="703">
        <f>tertiair!J16</f>
        <v>0</v>
      </c>
      <c r="L10" s="703">
        <f>tertiair!K16</f>
        <v>0</v>
      </c>
      <c r="M10" s="703">
        <f ca="1">tertiair!L16</f>
        <v>0</v>
      </c>
      <c r="N10" s="703">
        <f>tertiair!M16</f>
        <v>0</v>
      </c>
      <c r="O10" s="703">
        <f ca="1">tertiair!N16</f>
        <v>344.47940832610249</v>
      </c>
      <c r="P10" s="703">
        <f>tertiair!O16</f>
        <v>0</v>
      </c>
      <c r="Q10" s="704">
        <f>tertiair!P16</f>
        <v>0</v>
      </c>
      <c r="R10" s="706">
        <f ca="1">SUM(C10:Q10)</f>
        <v>15046.300837185825</v>
      </c>
      <c r="S10" s="68"/>
    </row>
    <row r="11" spans="1:19" s="458" customFormat="1">
      <c r="A11" s="859" t="s">
        <v>225</v>
      </c>
      <c r="B11" s="864"/>
      <c r="C11" s="703">
        <f>huishoudens!B8</f>
        <v>24825.226628810138</v>
      </c>
      <c r="D11" s="703">
        <f>huishoudens!C8</f>
        <v>0</v>
      </c>
      <c r="E11" s="703">
        <f>huishoudens!D8</f>
        <v>21832.920824000001</v>
      </c>
      <c r="F11" s="703">
        <f>huishoudens!E8</f>
        <v>2473.5397986432795</v>
      </c>
      <c r="G11" s="703">
        <f>huishoudens!F8</f>
        <v>49560.927485991822</v>
      </c>
      <c r="H11" s="703">
        <f>huishoudens!G8</f>
        <v>0</v>
      </c>
      <c r="I11" s="703">
        <f>huishoudens!H8</f>
        <v>0</v>
      </c>
      <c r="J11" s="703">
        <f>huishoudens!I8</f>
        <v>0</v>
      </c>
      <c r="K11" s="703">
        <f>huishoudens!J8</f>
        <v>0</v>
      </c>
      <c r="L11" s="703">
        <f>huishoudens!K8</f>
        <v>0</v>
      </c>
      <c r="M11" s="703">
        <f>huishoudens!L8</f>
        <v>0</v>
      </c>
      <c r="N11" s="703">
        <f>huishoudens!M8</f>
        <v>0</v>
      </c>
      <c r="O11" s="703">
        <f>huishoudens!N8</f>
        <v>16342.84834667667</v>
      </c>
      <c r="P11" s="703">
        <f>huishoudens!O8</f>
        <v>182.91000000000003</v>
      </c>
      <c r="Q11" s="704">
        <f>huishoudens!P8</f>
        <v>324.13333333333333</v>
      </c>
      <c r="R11" s="706">
        <f>SUM(C11:Q11)</f>
        <v>115542.50641745524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6650.098</v>
      </c>
      <c r="D13" s="703">
        <f>industrie!C18</f>
        <v>0</v>
      </c>
      <c r="E13" s="703">
        <f>industrie!D18</f>
        <v>2099.0153359999999</v>
      </c>
      <c r="F13" s="703">
        <f>industrie!E18</f>
        <v>54.275252640130162</v>
      </c>
      <c r="G13" s="703">
        <f>industrie!F18</f>
        <v>2381.1427697842291</v>
      </c>
      <c r="H13" s="703">
        <f>industrie!G18</f>
        <v>0</v>
      </c>
      <c r="I13" s="703">
        <f>industrie!H18</f>
        <v>0</v>
      </c>
      <c r="J13" s="703">
        <f>industrie!I18</f>
        <v>0</v>
      </c>
      <c r="K13" s="703">
        <f>industrie!J18</f>
        <v>57.808348612127027</v>
      </c>
      <c r="L13" s="703">
        <f>industrie!K18</f>
        <v>0</v>
      </c>
      <c r="M13" s="703">
        <f>industrie!L18</f>
        <v>0</v>
      </c>
      <c r="N13" s="703">
        <f>industrie!M18</f>
        <v>0</v>
      </c>
      <c r="O13" s="703">
        <f>industrie!N18</f>
        <v>196.8730724326642</v>
      </c>
      <c r="P13" s="703">
        <f>industrie!O18</f>
        <v>0</v>
      </c>
      <c r="Q13" s="704">
        <f>industrie!P18</f>
        <v>0</v>
      </c>
      <c r="R13" s="706">
        <f>SUM(C13:Q13)</f>
        <v>11439.21277946915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39767.21962881014</v>
      </c>
      <c r="D15" s="708">
        <f t="shared" ref="D15:Q15" ca="1" si="0">SUM(D9:D14)</f>
        <v>0</v>
      </c>
      <c r="E15" s="708">
        <f t="shared" ca="1" si="0"/>
        <v>28672.499988</v>
      </c>
      <c r="F15" s="708">
        <f t="shared" si="0"/>
        <v>2613.2675551295833</v>
      </c>
      <c r="G15" s="708">
        <f t="shared" ca="1" si="0"/>
        <v>53525.9803527896</v>
      </c>
      <c r="H15" s="708">
        <f t="shared" si="0"/>
        <v>0</v>
      </c>
      <c r="I15" s="708">
        <f t="shared" si="0"/>
        <v>0</v>
      </c>
      <c r="J15" s="708">
        <f t="shared" si="0"/>
        <v>0</v>
      </c>
      <c r="K15" s="708">
        <f t="shared" si="0"/>
        <v>57.808348612127027</v>
      </c>
      <c r="L15" s="708">
        <f t="shared" si="0"/>
        <v>0</v>
      </c>
      <c r="M15" s="708">
        <f t="shared" ca="1" si="0"/>
        <v>0</v>
      </c>
      <c r="N15" s="708">
        <f t="shared" si="0"/>
        <v>0</v>
      </c>
      <c r="O15" s="708">
        <f t="shared" ca="1" si="0"/>
        <v>16884.200827435438</v>
      </c>
      <c r="P15" s="708">
        <f t="shared" si="0"/>
        <v>182.91000000000003</v>
      </c>
      <c r="Q15" s="709">
        <f t="shared" si="0"/>
        <v>324.13333333333333</v>
      </c>
      <c r="R15" s="710">
        <f ca="1">SUM(R9:R14)</f>
        <v>142028.02003411023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1965.351069027869</v>
      </c>
      <c r="I18" s="703">
        <f>transport!H54</f>
        <v>0</v>
      </c>
      <c r="J18" s="703">
        <f>transport!I54</f>
        <v>0</v>
      </c>
      <c r="K18" s="703">
        <f>transport!J54</f>
        <v>0</v>
      </c>
      <c r="L18" s="703">
        <f>transport!K54</f>
        <v>0</v>
      </c>
      <c r="M18" s="703">
        <f>transport!L54</f>
        <v>0</v>
      </c>
      <c r="N18" s="703">
        <f>transport!M54</f>
        <v>86.301807490395802</v>
      </c>
      <c r="O18" s="703">
        <f>transport!N54</f>
        <v>0</v>
      </c>
      <c r="P18" s="703">
        <f>transport!O54</f>
        <v>0</v>
      </c>
      <c r="Q18" s="704">
        <f>transport!P54</f>
        <v>0</v>
      </c>
      <c r="R18" s="706">
        <f>SUM(C18:Q18)</f>
        <v>2051.6528765182647</v>
      </c>
      <c r="S18" s="68"/>
    </row>
    <row r="19" spans="1:19" s="458" customFormat="1" ht="15" thickBot="1">
      <c r="A19" s="859" t="s">
        <v>307</v>
      </c>
      <c r="B19" s="864"/>
      <c r="C19" s="712">
        <f>transport!B14</f>
        <v>2.390811932254155</v>
      </c>
      <c r="D19" s="712">
        <f>transport!C14</f>
        <v>0</v>
      </c>
      <c r="E19" s="712">
        <f>transport!D14</f>
        <v>6.9636859314848172</v>
      </c>
      <c r="F19" s="712">
        <f>transport!E14</f>
        <v>400.32433972739904</v>
      </c>
      <c r="G19" s="712">
        <f>transport!F14</f>
        <v>0</v>
      </c>
      <c r="H19" s="712">
        <f>transport!G14</f>
        <v>78815.605394097118</v>
      </c>
      <c r="I19" s="712">
        <f>transport!H14</f>
        <v>15404.772679674606</v>
      </c>
      <c r="J19" s="712">
        <f>transport!I14</f>
        <v>0</v>
      </c>
      <c r="K19" s="712">
        <f>transport!J14</f>
        <v>0</v>
      </c>
      <c r="L19" s="712">
        <f>transport!K14</f>
        <v>0</v>
      </c>
      <c r="M19" s="712">
        <f>transport!L14</f>
        <v>0</v>
      </c>
      <c r="N19" s="712">
        <f>transport!M14</f>
        <v>4214.3412474444012</v>
      </c>
      <c r="O19" s="712">
        <f>transport!N14</f>
        <v>0</v>
      </c>
      <c r="P19" s="712">
        <f>transport!O14</f>
        <v>0</v>
      </c>
      <c r="Q19" s="713">
        <f>transport!P14</f>
        <v>0</v>
      </c>
      <c r="R19" s="714">
        <f>SUM(C19:Q19)</f>
        <v>98844.398158807264</v>
      </c>
      <c r="S19" s="68"/>
    </row>
    <row r="20" spans="1:19" s="458" customFormat="1" ht="15.75" thickBot="1">
      <c r="A20" s="715" t="s">
        <v>230</v>
      </c>
      <c r="B20" s="867"/>
      <c r="C20" s="862">
        <f>SUM(C17:C19)</f>
        <v>2.390811932254155</v>
      </c>
      <c r="D20" s="716">
        <f t="shared" ref="D20:R20" si="1">SUM(D17:D19)</f>
        <v>0</v>
      </c>
      <c r="E20" s="716">
        <f t="shared" si="1"/>
        <v>6.9636859314848172</v>
      </c>
      <c r="F20" s="716">
        <f t="shared" si="1"/>
        <v>400.32433972739904</v>
      </c>
      <c r="G20" s="716">
        <f t="shared" si="1"/>
        <v>0</v>
      </c>
      <c r="H20" s="716">
        <f t="shared" si="1"/>
        <v>80780.956463124981</v>
      </c>
      <c r="I20" s="716">
        <f t="shared" si="1"/>
        <v>15404.772679674606</v>
      </c>
      <c r="J20" s="716">
        <f t="shared" si="1"/>
        <v>0</v>
      </c>
      <c r="K20" s="716">
        <f t="shared" si="1"/>
        <v>0</v>
      </c>
      <c r="L20" s="716">
        <f t="shared" si="1"/>
        <v>0</v>
      </c>
      <c r="M20" s="716">
        <f t="shared" si="1"/>
        <v>0</v>
      </c>
      <c r="N20" s="716">
        <f t="shared" si="1"/>
        <v>4300.643054934797</v>
      </c>
      <c r="O20" s="716">
        <f t="shared" si="1"/>
        <v>0</v>
      </c>
      <c r="P20" s="716">
        <f t="shared" si="1"/>
        <v>0</v>
      </c>
      <c r="Q20" s="717">
        <f t="shared" si="1"/>
        <v>0</v>
      </c>
      <c r="R20" s="718">
        <f t="shared" si="1"/>
        <v>100896.05103532552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2979.3</v>
      </c>
      <c r="D22" s="712">
        <f>+landbouw!C8</f>
        <v>0</v>
      </c>
      <c r="E22" s="712">
        <f>+landbouw!D8</f>
        <v>19.929690000000001</v>
      </c>
      <c r="F22" s="712">
        <f>+landbouw!E8</f>
        <v>28.067002196481425</v>
      </c>
      <c r="G22" s="712">
        <f>+landbouw!F8</f>
        <v>9722.4446428353785</v>
      </c>
      <c r="H22" s="712">
        <f>+landbouw!G8</f>
        <v>0</v>
      </c>
      <c r="I22" s="712">
        <f>+landbouw!H8</f>
        <v>0</v>
      </c>
      <c r="J22" s="712">
        <f>+landbouw!I8</f>
        <v>0</v>
      </c>
      <c r="K22" s="712">
        <f>+landbouw!J8</f>
        <v>368.55390131241637</v>
      </c>
      <c r="L22" s="712">
        <f>+landbouw!K8</f>
        <v>0</v>
      </c>
      <c r="M22" s="712">
        <f>+landbouw!L8</f>
        <v>0</v>
      </c>
      <c r="N22" s="712">
        <f>+landbouw!M8</f>
        <v>0</v>
      </c>
      <c r="O22" s="712">
        <f>+landbouw!N8</f>
        <v>0</v>
      </c>
      <c r="P22" s="712">
        <f>+landbouw!O8</f>
        <v>0</v>
      </c>
      <c r="Q22" s="713">
        <f>+landbouw!P8</f>
        <v>0</v>
      </c>
      <c r="R22" s="714">
        <f>SUM(C22:Q22)</f>
        <v>13118.295236344276</v>
      </c>
      <c r="S22" s="68"/>
    </row>
    <row r="23" spans="1:19" s="458" customFormat="1" ht="17.25" thickTop="1" thickBot="1">
      <c r="A23" s="719" t="s">
        <v>116</v>
      </c>
      <c r="B23" s="853"/>
      <c r="C23" s="720">
        <f ca="1">C20+C15+C22</f>
        <v>42748.910440742395</v>
      </c>
      <c r="D23" s="720">
        <f t="shared" ref="D23:Q23" ca="1" si="2">D20+D15+D22</f>
        <v>0</v>
      </c>
      <c r="E23" s="720">
        <f t="shared" ca="1" si="2"/>
        <v>28699.393363931486</v>
      </c>
      <c r="F23" s="720">
        <f t="shared" si="2"/>
        <v>3041.658897053464</v>
      </c>
      <c r="G23" s="720">
        <f t="shared" ca="1" si="2"/>
        <v>63248.424995624977</v>
      </c>
      <c r="H23" s="720">
        <f t="shared" si="2"/>
        <v>80780.956463124981</v>
      </c>
      <c r="I23" s="720">
        <f t="shared" si="2"/>
        <v>15404.772679674606</v>
      </c>
      <c r="J23" s="720">
        <f t="shared" si="2"/>
        <v>0</v>
      </c>
      <c r="K23" s="720">
        <f t="shared" si="2"/>
        <v>426.36224992454339</v>
      </c>
      <c r="L23" s="720">
        <f t="shared" si="2"/>
        <v>0</v>
      </c>
      <c r="M23" s="720">
        <f t="shared" ca="1" si="2"/>
        <v>0</v>
      </c>
      <c r="N23" s="720">
        <f t="shared" si="2"/>
        <v>4300.643054934797</v>
      </c>
      <c r="O23" s="720">
        <f t="shared" ca="1" si="2"/>
        <v>16884.200827435438</v>
      </c>
      <c r="P23" s="720">
        <f t="shared" si="2"/>
        <v>182.91000000000003</v>
      </c>
      <c r="Q23" s="721">
        <f t="shared" si="2"/>
        <v>324.13333333333333</v>
      </c>
      <c r="R23" s="722">
        <f ca="1">R20+R15+R22</f>
        <v>256042.36630578001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1602.6887989280287</v>
      </c>
      <c r="D36" s="703">
        <f ca="1">tertiair!C20</f>
        <v>0</v>
      </c>
      <c r="E36" s="703">
        <f ca="1">tertiair!D20</f>
        <v>957.59389325600011</v>
      </c>
      <c r="F36" s="703">
        <f>tertiair!E20</f>
        <v>19.39771837308141</v>
      </c>
      <c r="G36" s="703">
        <f ca="1">tertiair!F20</f>
        <v>422.90399590261723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3002.5844064597272</v>
      </c>
    </row>
    <row r="37" spans="1:18">
      <c r="A37" s="874" t="s">
        <v>225</v>
      </c>
      <c r="B37" s="881"/>
      <c r="C37" s="703">
        <f ca="1">huishoudens!B12</f>
        <v>4798.3136121289326</v>
      </c>
      <c r="D37" s="703">
        <f ca="1">huishoudens!C12</f>
        <v>0</v>
      </c>
      <c r="E37" s="703">
        <f>huishoudens!D12</f>
        <v>4410.250006448</v>
      </c>
      <c r="F37" s="703">
        <f>huishoudens!E12</f>
        <v>561.49353429202449</v>
      </c>
      <c r="G37" s="703">
        <f>huishoudens!F12</f>
        <v>13232.767638759817</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23002.824791628773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1285.3560707623151</v>
      </c>
      <c r="D39" s="703">
        <f ca="1">industrie!C22</f>
        <v>0</v>
      </c>
      <c r="E39" s="703">
        <f>industrie!D22</f>
        <v>424.001097872</v>
      </c>
      <c r="F39" s="703">
        <f>industrie!E22</f>
        <v>12.320482349309547</v>
      </c>
      <c r="G39" s="703">
        <f>industrie!F22</f>
        <v>635.76511953238924</v>
      </c>
      <c r="H39" s="703">
        <f>industrie!G22</f>
        <v>0</v>
      </c>
      <c r="I39" s="703">
        <f>industrie!H22</f>
        <v>0</v>
      </c>
      <c r="J39" s="703">
        <f>industrie!I22</f>
        <v>0</v>
      </c>
      <c r="K39" s="703">
        <f>industrie!J22</f>
        <v>20.464155408692967</v>
      </c>
      <c r="L39" s="703">
        <f>industrie!K22</f>
        <v>0</v>
      </c>
      <c r="M39" s="703">
        <f>industrie!L22</f>
        <v>0</v>
      </c>
      <c r="N39" s="703">
        <f>industrie!M22</f>
        <v>0</v>
      </c>
      <c r="O39" s="703">
        <f>industrie!N22</f>
        <v>0</v>
      </c>
      <c r="P39" s="703">
        <f>industrie!O22</f>
        <v>0</v>
      </c>
      <c r="Q39" s="813">
        <f>industrie!P22</f>
        <v>0</v>
      </c>
      <c r="R39" s="907">
        <f ca="1">SUM(C39:Q39)</f>
        <v>2377.9069259247067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7686.3584818192758</v>
      </c>
      <c r="D41" s="748">
        <f t="shared" ref="D41:R41" ca="1" si="4">SUM(D35:D40)</f>
        <v>0</v>
      </c>
      <c r="E41" s="748">
        <f t="shared" ca="1" si="4"/>
        <v>5791.8449975760004</v>
      </c>
      <c r="F41" s="748">
        <f t="shared" si="4"/>
        <v>593.21173501441547</v>
      </c>
      <c r="G41" s="748">
        <f t="shared" ca="1" si="4"/>
        <v>14291.436754194823</v>
      </c>
      <c r="H41" s="748">
        <f t="shared" si="4"/>
        <v>0</v>
      </c>
      <c r="I41" s="748">
        <f t="shared" si="4"/>
        <v>0</v>
      </c>
      <c r="J41" s="748">
        <f t="shared" si="4"/>
        <v>0</v>
      </c>
      <c r="K41" s="748">
        <f t="shared" si="4"/>
        <v>20.464155408692967</v>
      </c>
      <c r="L41" s="748">
        <f t="shared" si="4"/>
        <v>0</v>
      </c>
      <c r="M41" s="748">
        <f t="shared" ca="1" si="4"/>
        <v>0</v>
      </c>
      <c r="N41" s="748">
        <f t="shared" si="4"/>
        <v>0</v>
      </c>
      <c r="O41" s="748">
        <f t="shared" ca="1" si="4"/>
        <v>0</v>
      </c>
      <c r="P41" s="748">
        <f t="shared" si="4"/>
        <v>0</v>
      </c>
      <c r="Q41" s="749">
        <f t="shared" si="4"/>
        <v>0</v>
      </c>
      <c r="R41" s="750">
        <f t="shared" ca="1" si="4"/>
        <v>28383.316124013207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524.748735430441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524.748735430441</v>
      </c>
    </row>
    <row r="45" spans="1:18" ht="15" thickBot="1">
      <c r="A45" s="877" t="s">
        <v>307</v>
      </c>
      <c r="B45" s="887"/>
      <c r="C45" s="712">
        <f ca="1">transport!B18</f>
        <v>0.46210516464176299</v>
      </c>
      <c r="D45" s="712">
        <f>transport!C18</f>
        <v>0</v>
      </c>
      <c r="E45" s="712">
        <f>transport!D18</f>
        <v>1.4066645581599331</v>
      </c>
      <c r="F45" s="712">
        <f>transport!E18</f>
        <v>90.873625118119577</v>
      </c>
      <c r="G45" s="712">
        <f>transport!F18</f>
        <v>0</v>
      </c>
      <c r="H45" s="712">
        <f>transport!G18</f>
        <v>21043.76664022393</v>
      </c>
      <c r="I45" s="712">
        <f>transport!H18</f>
        <v>3835.7883972389768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24972.297432303825</v>
      </c>
    </row>
    <row r="46" spans="1:18" ht="15.75" thickBot="1">
      <c r="A46" s="875" t="s">
        <v>230</v>
      </c>
      <c r="B46" s="888"/>
      <c r="C46" s="748">
        <f t="shared" ref="C46:R46" ca="1" si="5">SUM(C43:C45)</f>
        <v>0.46210516464176299</v>
      </c>
      <c r="D46" s="748">
        <f t="shared" ca="1" si="5"/>
        <v>0</v>
      </c>
      <c r="E46" s="748">
        <f t="shared" si="5"/>
        <v>1.4066645581599331</v>
      </c>
      <c r="F46" s="748">
        <f t="shared" si="5"/>
        <v>90.873625118119577</v>
      </c>
      <c r="G46" s="748">
        <f t="shared" si="5"/>
        <v>0</v>
      </c>
      <c r="H46" s="748">
        <f t="shared" si="5"/>
        <v>21568.51537565437</v>
      </c>
      <c r="I46" s="748">
        <f t="shared" si="5"/>
        <v>3835.7883972389768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25497.046167734265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575.85036214837214</v>
      </c>
      <c r="D48" s="703">
        <f ca="1">+landbouw!C12</f>
        <v>0</v>
      </c>
      <c r="E48" s="703">
        <f>+landbouw!D12</f>
        <v>4.0257973800000002</v>
      </c>
      <c r="F48" s="703">
        <f>+landbouw!E12</f>
        <v>6.3712094986012842</v>
      </c>
      <c r="G48" s="703">
        <f>+landbouw!F12</f>
        <v>2595.8927196370464</v>
      </c>
      <c r="H48" s="703">
        <f>+landbouw!G12</f>
        <v>0</v>
      </c>
      <c r="I48" s="703">
        <f>+landbouw!H12</f>
        <v>0</v>
      </c>
      <c r="J48" s="703">
        <f>+landbouw!I12</f>
        <v>0</v>
      </c>
      <c r="K48" s="703">
        <f>+landbouw!J12</f>
        <v>130.4680810645954</v>
      </c>
      <c r="L48" s="703">
        <f>+landbouw!K12</f>
        <v>0</v>
      </c>
      <c r="M48" s="703">
        <f>+landbouw!L12</f>
        <v>0</v>
      </c>
      <c r="N48" s="703">
        <f>+landbouw!M12</f>
        <v>0</v>
      </c>
      <c r="O48" s="703">
        <f>+landbouw!N12</f>
        <v>0</v>
      </c>
      <c r="P48" s="703">
        <f>+landbouw!O12</f>
        <v>0</v>
      </c>
      <c r="Q48" s="704">
        <f>+landbouw!P12</f>
        <v>0</v>
      </c>
      <c r="R48" s="746">
        <f ca="1">SUM(C48:Q48)</f>
        <v>3312.6081697286154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8262.670949132289</v>
      </c>
      <c r="D53" s="758">
        <f t="shared" ref="D53:Q53" ca="1" si="6">D41+D46+D48</f>
        <v>0</v>
      </c>
      <c r="E53" s="758">
        <f t="shared" ca="1" si="6"/>
        <v>5797.27745951416</v>
      </c>
      <c r="F53" s="758">
        <f t="shared" si="6"/>
        <v>690.45656963113629</v>
      </c>
      <c r="G53" s="758">
        <f t="shared" ca="1" si="6"/>
        <v>16887.329473831869</v>
      </c>
      <c r="H53" s="758">
        <f t="shared" si="6"/>
        <v>21568.51537565437</v>
      </c>
      <c r="I53" s="758">
        <f t="shared" si="6"/>
        <v>3835.7883972389768</v>
      </c>
      <c r="J53" s="758">
        <f t="shared" si="6"/>
        <v>0</v>
      </c>
      <c r="K53" s="758">
        <f t="shared" si="6"/>
        <v>150.93223647328836</v>
      </c>
      <c r="L53" s="758">
        <f t="shared" si="6"/>
        <v>0</v>
      </c>
      <c r="M53" s="758">
        <f t="shared" ca="1" si="6"/>
        <v>0</v>
      </c>
      <c r="N53" s="758">
        <f t="shared" si="6"/>
        <v>0</v>
      </c>
      <c r="O53" s="758">
        <f t="shared" ca="1" si="6"/>
        <v>0</v>
      </c>
      <c r="P53" s="758">
        <f>P41+P46+P48</f>
        <v>0</v>
      </c>
      <c r="Q53" s="759">
        <f t="shared" si="6"/>
        <v>0</v>
      </c>
      <c r="R53" s="760">
        <f ca="1">R41+R46+R48</f>
        <v>57192.970461476085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0.19328377878977343</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5361.2590872026176</v>
      </c>
      <c r="C66" s="780">
        <f>'lokale energieproductie'!B6</f>
        <v>5361.2590872026176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5361.2590872026176</v>
      </c>
      <c r="C69" s="788">
        <f>SUM(C64:C68)</f>
        <v>5361.2590872026176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24825.226628810138</v>
      </c>
      <c r="C4" s="462">
        <f>huishoudens!C8</f>
        <v>0</v>
      </c>
      <c r="D4" s="462">
        <f>huishoudens!D8</f>
        <v>21832.920824000001</v>
      </c>
      <c r="E4" s="462">
        <f>huishoudens!E8</f>
        <v>2473.5397986432795</v>
      </c>
      <c r="F4" s="462">
        <f>huishoudens!F8</f>
        <v>49560.927485991822</v>
      </c>
      <c r="G4" s="462">
        <f>huishoudens!G8</f>
        <v>0</v>
      </c>
      <c r="H4" s="462">
        <f>huishoudens!H8</f>
        <v>0</v>
      </c>
      <c r="I4" s="462">
        <f>huishoudens!I8</f>
        <v>0</v>
      </c>
      <c r="J4" s="462">
        <f>huishoudens!J8</f>
        <v>0</v>
      </c>
      <c r="K4" s="462">
        <f>huishoudens!K8</f>
        <v>0</v>
      </c>
      <c r="L4" s="462">
        <f>huishoudens!L8</f>
        <v>0</v>
      </c>
      <c r="M4" s="462">
        <f>huishoudens!M8</f>
        <v>0</v>
      </c>
      <c r="N4" s="462">
        <f>huishoudens!N8</f>
        <v>16342.84834667667</v>
      </c>
      <c r="O4" s="462">
        <f>huishoudens!O8</f>
        <v>182.91000000000003</v>
      </c>
      <c r="P4" s="463">
        <f>huishoudens!P8</f>
        <v>324.13333333333333</v>
      </c>
      <c r="Q4" s="464">
        <f>SUM(B4:P4)</f>
        <v>115542.50641745524</v>
      </c>
    </row>
    <row r="5" spans="1:17">
      <c r="A5" s="461" t="s">
        <v>156</v>
      </c>
      <c r="B5" s="462">
        <f ca="1">tertiair!B16</f>
        <v>7577.2489999999998</v>
      </c>
      <c r="C5" s="462">
        <f ca="1">tertiair!C16</f>
        <v>0</v>
      </c>
      <c r="D5" s="462">
        <f ca="1">tertiair!D16</f>
        <v>4740.5638280000003</v>
      </c>
      <c r="E5" s="462">
        <f>tertiair!E16</f>
        <v>85.452503846173613</v>
      </c>
      <c r="F5" s="462">
        <f ca="1">tertiair!F16</f>
        <v>1583.9100970135476</v>
      </c>
      <c r="G5" s="462">
        <f>tertiair!G16</f>
        <v>0</v>
      </c>
      <c r="H5" s="462">
        <f>tertiair!H16</f>
        <v>0</v>
      </c>
      <c r="I5" s="462">
        <f>tertiair!I16</f>
        <v>0</v>
      </c>
      <c r="J5" s="462">
        <f>tertiair!J16</f>
        <v>0</v>
      </c>
      <c r="K5" s="462">
        <f>tertiair!K16</f>
        <v>0</v>
      </c>
      <c r="L5" s="462">
        <f ca="1">tertiair!L16</f>
        <v>0</v>
      </c>
      <c r="M5" s="462">
        <f>tertiair!M16</f>
        <v>0</v>
      </c>
      <c r="N5" s="462">
        <f ca="1">tertiair!N16</f>
        <v>344.47940832610249</v>
      </c>
      <c r="O5" s="462">
        <f>tertiair!O16</f>
        <v>0</v>
      </c>
      <c r="P5" s="463">
        <f>tertiair!P16</f>
        <v>0</v>
      </c>
      <c r="Q5" s="461">
        <f t="shared" ref="Q5:Q13" ca="1" si="0">SUM(B5:P5)</f>
        <v>14331.654837185824</v>
      </c>
    </row>
    <row r="6" spans="1:17">
      <c r="A6" s="461" t="s">
        <v>194</v>
      </c>
      <c r="B6" s="462">
        <f>'openbare verlichting'!B8</f>
        <v>714.64599999999996</v>
      </c>
      <c r="C6" s="462"/>
      <c r="D6" s="462"/>
      <c r="E6" s="462"/>
      <c r="F6" s="462"/>
      <c r="G6" s="462"/>
      <c r="H6" s="462"/>
      <c r="I6" s="462"/>
      <c r="J6" s="462"/>
      <c r="K6" s="462"/>
      <c r="L6" s="462"/>
      <c r="M6" s="462"/>
      <c r="N6" s="462"/>
      <c r="O6" s="462"/>
      <c r="P6" s="463"/>
      <c r="Q6" s="461">
        <f t="shared" si="0"/>
        <v>714.64599999999996</v>
      </c>
    </row>
    <row r="7" spans="1:17">
      <c r="A7" s="461" t="s">
        <v>112</v>
      </c>
      <c r="B7" s="462">
        <f>landbouw!B8</f>
        <v>2979.3</v>
      </c>
      <c r="C7" s="462">
        <f>landbouw!C8</f>
        <v>0</v>
      </c>
      <c r="D7" s="462">
        <f>landbouw!D8</f>
        <v>19.929690000000001</v>
      </c>
      <c r="E7" s="462">
        <f>landbouw!E8</f>
        <v>28.067002196481425</v>
      </c>
      <c r="F7" s="462">
        <f>landbouw!F8</f>
        <v>9722.4446428353785</v>
      </c>
      <c r="G7" s="462">
        <f>landbouw!G8</f>
        <v>0</v>
      </c>
      <c r="H7" s="462">
        <f>landbouw!H8</f>
        <v>0</v>
      </c>
      <c r="I7" s="462">
        <f>landbouw!I8</f>
        <v>0</v>
      </c>
      <c r="J7" s="462">
        <f>landbouw!J8</f>
        <v>368.55390131241637</v>
      </c>
      <c r="K7" s="462">
        <f>landbouw!K8</f>
        <v>0</v>
      </c>
      <c r="L7" s="462">
        <f>landbouw!L8</f>
        <v>0</v>
      </c>
      <c r="M7" s="462">
        <f>landbouw!M8</f>
        <v>0</v>
      </c>
      <c r="N7" s="462">
        <f>landbouw!N8</f>
        <v>0</v>
      </c>
      <c r="O7" s="462">
        <f>landbouw!O8</f>
        <v>0</v>
      </c>
      <c r="P7" s="463">
        <f>landbouw!P8</f>
        <v>0</v>
      </c>
      <c r="Q7" s="461">
        <f t="shared" si="0"/>
        <v>13118.295236344276</v>
      </c>
    </row>
    <row r="8" spans="1:17">
      <c r="A8" s="461" t="s">
        <v>685</v>
      </c>
      <c r="B8" s="462">
        <f>industrie!B18</f>
        <v>6650.098</v>
      </c>
      <c r="C8" s="462">
        <f>industrie!C18</f>
        <v>0</v>
      </c>
      <c r="D8" s="462">
        <f>industrie!D18</f>
        <v>2099.0153359999999</v>
      </c>
      <c r="E8" s="462">
        <f>industrie!E18</f>
        <v>54.275252640130162</v>
      </c>
      <c r="F8" s="462">
        <f>industrie!F18</f>
        <v>2381.1427697842291</v>
      </c>
      <c r="G8" s="462">
        <f>industrie!G18</f>
        <v>0</v>
      </c>
      <c r="H8" s="462">
        <f>industrie!H18</f>
        <v>0</v>
      </c>
      <c r="I8" s="462">
        <f>industrie!I18</f>
        <v>0</v>
      </c>
      <c r="J8" s="462">
        <f>industrie!J18</f>
        <v>57.808348612127027</v>
      </c>
      <c r="K8" s="462">
        <f>industrie!K18</f>
        <v>0</v>
      </c>
      <c r="L8" s="462">
        <f>industrie!L18</f>
        <v>0</v>
      </c>
      <c r="M8" s="462">
        <f>industrie!M18</f>
        <v>0</v>
      </c>
      <c r="N8" s="462">
        <f>industrie!N18</f>
        <v>196.8730724326642</v>
      </c>
      <c r="O8" s="462">
        <f>industrie!O18</f>
        <v>0</v>
      </c>
      <c r="P8" s="463">
        <f>industrie!P18</f>
        <v>0</v>
      </c>
      <c r="Q8" s="461">
        <f t="shared" si="0"/>
        <v>11439.21277946915</v>
      </c>
    </row>
    <row r="9" spans="1:17" s="467" customFormat="1">
      <c r="A9" s="465" t="s">
        <v>579</v>
      </c>
      <c r="B9" s="466">
        <f>transport!B14</f>
        <v>2.390811932254155</v>
      </c>
      <c r="C9" s="466">
        <f>transport!C14</f>
        <v>0</v>
      </c>
      <c r="D9" s="466">
        <f>transport!D14</f>
        <v>6.9636859314848172</v>
      </c>
      <c r="E9" s="466">
        <f>transport!E14</f>
        <v>400.32433972739904</v>
      </c>
      <c r="F9" s="466">
        <f>transport!F14</f>
        <v>0</v>
      </c>
      <c r="G9" s="466">
        <f>transport!G14</f>
        <v>78815.605394097118</v>
      </c>
      <c r="H9" s="466">
        <f>transport!H14</f>
        <v>15404.772679674606</v>
      </c>
      <c r="I9" s="466">
        <f>transport!I14</f>
        <v>0</v>
      </c>
      <c r="J9" s="466">
        <f>transport!J14</f>
        <v>0</v>
      </c>
      <c r="K9" s="466">
        <f>transport!K14</f>
        <v>0</v>
      </c>
      <c r="L9" s="466">
        <f>transport!L14</f>
        <v>0</v>
      </c>
      <c r="M9" s="466">
        <f>transport!M14</f>
        <v>4214.3412474444012</v>
      </c>
      <c r="N9" s="466">
        <f>transport!N14</f>
        <v>0</v>
      </c>
      <c r="O9" s="466">
        <f>transport!O14</f>
        <v>0</v>
      </c>
      <c r="P9" s="466">
        <f>transport!P14</f>
        <v>0</v>
      </c>
      <c r="Q9" s="465">
        <f>SUM(B9:P9)</f>
        <v>98844.398158807264</v>
      </c>
    </row>
    <row r="10" spans="1:17">
      <c r="A10" s="461" t="s">
        <v>569</v>
      </c>
      <c r="B10" s="462">
        <f>transport!B54</f>
        <v>0</v>
      </c>
      <c r="C10" s="462">
        <f>transport!C54</f>
        <v>0</v>
      </c>
      <c r="D10" s="462">
        <f>transport!D54</f>
        <v>0</v>
      </c>
      <c r="E10" s="462">
        <f>transport!E54</f>
        <v>0</v>
      </c>
      <c r="F10" s="462">
        <f>transport!F54</f>
        <v>0</v>
      </c>
      <c r="G10" s="462">
        <f>transport!G54</f>
        <v>1965.351069027869</v>
      </c>
      <c r="H10" s="462">
        <f>transport!H54</f>
        <v>0</v>
      </c>
      <c r="I10" s="462">
        <f>transport!I54</f>
        <v>0</v>
      </c>
      <c r="J10" s="462">
        <f>transport!J54</f>
        <v>0</v>
      </c>
      <c r="K10" s="462">
        <f>transport!K54</f>
        <v>0</v>
      </c>
      <c r="L10" s="462">
        <f>transport!L54</f>
        <v>0</v>
      </c>
      <c r="M10" s="462">
        <f>transport!M54</f>
        <v>86.301807490395802</v>
      </c>
      <c r="N10" s="462">
        <f>transport!N54</f>
        <v>0</v>
      </c>
      <c r="O10" s="462">
        <f>transport!O54</f>
        <v>0</v>
      </c>
      <c r="P10" s="463">
        <f>transport!P54</f>
        <v>0</v>
      </c>
      <c r="Q10" s="461">
        <f t="shared" si="0"/>
        <v>2051.6528765182647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42748.910440742387</v>
      </c>
      <c r="C14" s="472">
        <f t="shared" ref="C14:Q14" ca="1" si="1">SUM(C4:C13)</f>
        <v>0</v>
      </c>
      <c r="D14" s="472">
        <f t="shared" ca="1" si="1"/>
        <v>28699.393363931486</v>
      </c>
      <c r="E14" s="472">
        <f t="shared" si="1"/>
        <v>3041.658897053464</v>
      </c>
      <c r="F14" s="472">
        <f t="shared" ca="1" si="1"/>
        <v>63248.424995624977</v>
      </c>
      <c r="G14" s="472">
        <f t="shared" si="1"/>
        <v>80780.956463124981</v>
      </c>
      <c r="H14" s="472">
        <f t="shared" si="1"/>
        <v>15404.772679674606</v>
      </c>
      <c r="I14" s="472">
        <f t="shared" si="1"/>
        <v>0</v>
      </c>
      <c r="J14" s="472">
        <f t="shared" si="1"/>
        <v>426.36224992454339</v>
      </c>
      <c r="K14" s="472">
        <f t="shared" si="1"/>
        <v>0</v>
      </c>
      <c r="L14" s="472">
        <f t="shared" ca="1" si="1"/>
        <v>0</v>
      </c>
      <c r="M14" s="472">
        <f t="shared" si="1"/>
        <v>4300.643054934797</v>
      </c>
      <c r="N14" s="472">
        <f t="shared" ca="1" si="1"/>
        <v>16884.200827435438</v>
      </c>
      <c r="O14" s="472">
        <f t="shared" si="1"/>
        <v>182.91000000000003</v>
      </c>
      <c r="P14" s="473">
        <f t="shared" si="1"/>
        <v>324.13333333333333</v>
      </c>
      <c r="Q14" s="473">
        <f t="shared" ca="1" si="1"/>
        <v>256042.36630578001</v>
      </c>
    </row>
    <row r="16" spans="1:17">
      <c r="A16" s="475" t="s">
        <v>574</v>
      </c>
      <c r="B16" s="829">
        <f ca="1">huishoudens!B10</f>
        <v>0.19328377878977349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4798.3136121289326</v>
      </c>
      <c r="C21" s="462">
        <f t="shared" ref="C21:C30" ca="1" si="3">C4*$C$16</f>
        <v>0</v>
      </c>
      <c r="D21" s="462">
        <f t="shared" ref="D21:D30" si="4">D4*$D$16</f>
        <v>4410.250006448</v>
      </c>
      <c r="E21" s="462">
        <f t="shared" ref="E21:E30" si="5">E4*$E$16</f>
        <v>561.49353429202449</v>
      </c>
      <c r="F21" s="462">
        <f t="shared" ref="F21:F30" si="6">F4*$F$16</f>
        <v>13232.767638759817</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23002.824791628773</v>
      </c>
    </row>
    <row r="22" spans="1:17">
      <c r="A22" s="461" t="s">
        <v>156</v>
      </c>
      <c r="B22" s="462">
        <f t="shared" ca="1" si="2"/>
        <v>1464.5593195510323</v>
      </c>
      <c r="C22" s="462">
        <f t="shared" ca="1" si="3"/>
        <v>0</v>
      </c>
      <c r="D22" s="462">
        <f t="shared" ca="1" si="4"/>
        <v>957.59389325600011</v>
      </c>
      <c r="E22" s="462">
        <f t="shared" si="5"/>
        <v>19.39771837308141</v>
      </c>
      <c r="F22" s="462">
        <f t="shared" ca="1" si="6"/>
        <v>422.90399590261723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2864.454927082731</v>
      </c>
    </row>
    <row r="23" spans="1:17">
      <c r="A23" s="461" t="s">
        <v>194</v>
      </c>
      <c r="B23" s="462">
        <f t="shared" ca="1" si="2"/>
        <v>138.12947937699644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138.12947937699644</v>
      </c>
    </row>
    <row r="24" spans="1:17">
      <c r="A24" s="461" t="s">
        <v>112</v>
      </c>
      <c r="B24" s="462">
        <f t="shared" ca="1" si="2"/>
        <v>575.85036214837214</v>
      </c>
      <c r="C24" s="462">
        <f t="shared" ca="1" si="3"/>
        <v>0</v>
      </c>
      <c r="D24" s="462">
        <f t="shared" si="4"/>
        <v>4.0257973800000002</v>
      </c>
      <c r="E24" s="462">
        <f t="shared" si="5"/>
        <v>6.3712094986012842</v>
      </c>
      <c r="F24" s="462">
        <f t="shared" si="6"/>
        <v>2595.8927196370464</v>
      </c>
      <c r="G24" s="462">
        <f t="shared" si="7"/>
        <v>0</v>
      </c>
      <c r="H24" s="462">
        <f t="shared" si="8"/>
        <v>0</v>
      </c>
      <c r="I24" s="462">
        <f t="shared" si="9"/>
        <v>0</v>
      </c>
      <c r="J24" s="462">
        <f t="shared" si="10"/>
        <v>130.4680810645954</v>
      </c>
      <c r="K24" s="462">
        <f t="shared" si="11"/>
        <v>0</v>
      </c>
      <c r="L24" s="462">
        <f t="shared" si="12"/>
        <v>0</v>
      </c>
      <c r="M24" s="462">
        <f t="shared" si="13"/>
        <v>0</v>
      </c>
      <c r="N24" s="462">
        <f t="shared" si="14"/>
        <v>0</v>
      </c>
      <c r="O24" s="462">
        <f t="shared" si="15"/>
        <v>0</v>
      </c>
      <c r="P24" s="463">
        <f t="shared" si="16"/>
        <v>0</v>
      </c>
      <c r="Q24" s="461">
        <f t="shared" ca="1" si="17"/>
        <v>3312.6081697286154</v>
      </c>
    </row>
    <row r="25" spans="1:17">
      <c r="A25" s="461" t="s">
        <v>685</v>
      </c>
      <c r="B25" s="462">
        <f t="shared" ca="1" si="2"/>
        <v>1285.3560707623151</v>
      </c>
      <c r="C25" s="462">
        <f t="shared" ca="1" si="3"/>
        <v>0</v>
      </c>
      <c r="D25" s="462">
        <f t="shared" si="4"/>
        <v>424.001097872</v>
      </c>
      <c r="E25" s="462">
        <f t="shared" si="5"/>
        <v>12.320482349309547</v>
      </c>
      <c r="F25" s="462">
        <f t="shared" si="6"/>
        <v>635.76511953238924</v>
      </c>
      <c r="G25" s="462">
        <f t="shared" si="7"/>
        <v>0</v>
      </c>
      <c r="H25" s="462">
        <f t="shared" si="8"/>
        <v>0</v>
      </c>
      <c r="I25" s="462">
        <f t="shared" si="9"/>
        <v>0</v>
      </c>
      <c r="J25" s="462">
        <f t="shared" si="10"/>
        <v>20.464155408692967</v>
      </c>
      <c r="K25" s="462">
        <f t="shared" si="11"/>
        <v>0</v>
      </c>
      <c r="L25" s="462">
        <f t="shared" si="12"/>
        <v>0</v>
      </c>
      <c r="M25" s="462">
        <f t="shared" si="13"/>
        <v>0</v>
      </c>
      <c r="N25" s="462">
        <f t="shared" si="14"/>
        <v>0</v>
      </c>
      <c r="O25" s="462">
        <f t="shared" si="15"/>
        <v>0</v>
      </c>
      <c r="P25" s="463">
        <f t="shared" si="16"/>
        <v>0</v>
      </c>
      <c r="Q25" s="461">
        <f t="shared" ca="1" si="17"/>
        <v>2377.9069259247067</v>
      </c>
    </row>
    <row r="26" spans="1:17" s="467" customFormat="1">
      <c r="A26" s="465" t="s">
        <v>579</v>
      </c>
      <c r="B26" s="823">
        <f t="shared" ca="1" si="2"/>
        <v>0.46210516464176299</v>
      </c>
      <c r="C26" s="466">
        <f t="shared" ca="1" si="3"/>
        <v>0</v>
      </c>
      <c r="D26" s="466">
        <f t="shared" si="4"/>
        <v>1.4066645581599331</v>
      </c>
      <c r="E26" s="466">
        <f t="shared" si="5"/>
        <v>90.873625118119577</v>
      </c>
      <c r="F26" s="466">
        <f t="shared" si="6"/>
        <v>0</v>
      </c>
      <c r="G26" s="466">
        <f t="shared" si="7"/>
        <v>21043.76664022393</v>
      </c>
      <c r="H26" s="466">
        <f t="shared" si="8"/>
        <v>3835.7883972389768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24972.297432303825</v>
      </c>
    </row>
    <row r="27" spans="1:17">
      <c r="A27" s="461" t="s">
        <v>569</v>
      </c>
      <c r="B27" s="462">
        <f t="shared" ca="1" si="2"/>
        <v>0</v>
      </c>
      <c r="C27" s="462">
        <f t="shared" ca="1" si="3"/>
        <v>0</v>
      </c>
      <c r="D27" s="462">
        <f t="shared" si="4"/>
        <v>0</v>
      </c>
      <c r="E27" s="462">
        <f t="shared" si="5"/>
        <v>0</v>
      </c>
      <c r="F27" s="462">
        <f t="shared" si="6"/>
        <v>0</v>
      </c>
      <c r="G27" s="462">
        <f t="shared" si="7"/>
        <v>524.748735430441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524.748735430441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8262.6709491322908</v>
      </c>
      <c r="C31" s="472">
        <f t="shared" ca="1" si="18"/>
        <v>0</v>
      </c>
      <c r="D31" s="472">
        <f t="shared" ca="1" si="18"/>
        <v>5797.27745951416</v>
      </c>
      <c r="E31" s="472">
        <f t="shared" si="18"/>
        <v>690.45656963113629</v>
      </c>
      <c r="F31" s="472">
        <f t="shared" ca="1" si="18"/>
        <v>16887.329473831869</v>
      </c>
      <c r="G31" s="472">
        <f t="shared" si="18"/>
        <v>21568.51537565437</v>
      </c>
      <c r="H31" s="472">
        <f t="shared" si="18"/>
        <v>3835.7883972389768</v>
      </c>
      <c r="I31" s="472">
        <f t="shared" si="18"/>
        <v>0</v>
      </c>
      <c r="J31" s="472">
        <f t="shared" si="18"/>
        <v>150.93223647328836</v>
      </c>
      <c r="K31" s="472">
        <f t="shared" si="18"/>
        <v>0</v>
      </c>
      <c r="L31" s="472">
        <f t="shared" ca="1" si="18"/>
        <v>0</v>
      </c>
      <c r="M31" s="472">
        <f t="shared" si="18"/>
        <v>0</v>
      </c>
      <c r="N31" s="472">
        <f t="shared" ca="1" si="18"/>
        <v>0</v>
      </c>
      <c r="O31" s="472">
        <f t="shared" si="18"/>
        <v>0</v>
      </c>
      <c r="P31" s="473">
        <f t="shared" si="18"/>
        <v>0</v>
      </c>
      <c r="Q31" s="473">
        <f t="shared" ca="1" si="18"/>
        <v>57192.970461476085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0.19328377878977349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0.19328377878977349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0.19328377878977349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72040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4975</v>
      </c>
      <c r="C9" s="338">
        <v>5045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3591</v>
      </c>
    </row>
    <row r="15" spans="1:6">
      <c r="A15" s="1205" t="s">
        <v>184</v>
      </c>
      <c r="B15" s="335">
        <v>2202</v>
      </c>
    </row>
    <row r="16" spans="1:6">
      <c r="A16" s="1205" t="s">
        <v>6</v>
      </c>
      <c r="B16" s="335">
        <v>1572</v>
      </c>
    </row>
    <row r="17" spans="1:6">
      <c r="A17" s="1205" t="s">
        <v>7</v>
      </c>
      <c r="B17" s="335">
        <v>556</v>
      </c>
    </row>
    <row r="18" spans="1:6">
      <c r="A18" s="1205" t="s">
        <v>8</v>
      </c>
      <c r="B18" s="335">
        <v>1415</v>
      </c>
    </row>
    <row r="19" spans="1:6">
      <c r="A19" s="1205" t="s">
        <v>9</v>
      </c>
      <c r="B19" s="335">
        <v>1194</v>
      </c>
    </row>
    <row r="20" spans="1:6">
      <c r="A20" s="1205" t="s">
        <v>10</v>
      </c>
      <c r="B20" s="335">
        <v>878</v>
      </c>
    </row>
    <row r="21" spans="1:6">
      <c r="A21" s="1205" t="s">
        <v>11</v>
      </c>
      <c r="B21" s="335">
        <v>13740</v>
      </c>
    </row>
    <row r="22" spans="1:6">
      <c r="A22" s="1205" t="s">
        <v>12</v>
      </c>
      <c r="B22" s="335">
        <v>20381</v>
      </c>
    </row>
    <row r="23" spans="1:6">
      <c r="A23" s="1205" t="s">
        <v>13</v>
      </c>
      <c r="B23" s="335">
        <v>239</v>
      </c>
    </row>
    <row r="24" spans="1:6">
      <c r="A24" s="1205" t="s">
        <v>14</v>
      </c>
      <c r="B24" s="335">
        <v>22</v>
      </c>
    </row>
    <row r="25" spans="1:6">
      <c r="A25" s="1205" t="s">
        <v>15</v>
      </c>
      <c r="B25" s="335">
        <v>1999</v>
      </c>
    </row>
    <row r="26" spans="1:6">
      <c r="A26" s="1205" t="s">
        <v>16</v>
      </c>
      <c r="B26" s="335">
        <v>44</v>
      </c>
    </row>
    <row r="27" spans="1:6">
      <c r="A27" s="1205" t="s">
        <v>17</v>
      </c>
      <c r="B27" s="335">
        <v>0</v>
      </c>
    </row>
    <row r="28" spans="1:6" s="341" customFormat="1">
      <c r="A28" s="1206" t="s">
        <v>18</v>
      </c>
      <c r="B28" s="1206">
        <v>116625</v>
      </c>
    </row>
    <row r="29" spans="1:6">
      <c r="A29" s="1206" t="s">
        <v>873</v>
      </c>
      <c r="B29" s="1206">
        <v>383</v>
      </c>
      <c r="C29" s="341"/>
      <c r="D29" s="341"/>
      <c r="E29" s="341"/>
      <c r="F29" s="341"/>
    </row>
    <row r="30" spans="1:6">
      <c r="A30" s="1201" t="s">
        <v>874</v>
      </c>
      <c r="B30" s="1201">
        <v>44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15</v>
      </c>
      <c r="F36" s="335">
        <v>18883</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1499</v>
      </c>
      <c r="D39" s="335">
        <v>24205012</v>
      </c>
      <c r="E39" s="335">
        <v>4984</v>
      </c>
      <c r="F39" s="335">
        <v>20646462</v>
      </c>
    </row>
    <row r="40" spans="1:6">
      <c r="A40" s="1205" t="s">
        <v>30</v>
      </c>
      <c r="B40" s="1205" t="s">
        <v>29</v>
      </c>
      <c r="C40" s="335">
        <v>0</v>
      </c>
      <c r="D40" s="335">
        <v>0</v>
      </c>
      <c r="E40" s="335">
        <v>0</v>
      </c>
      <c r="F40" s="335">
        <v>0</v>
      </c>
    </row>
    <row r="41" spans="1:6">
      <c r="A41" s="1205" t="s">
        <v>32</v>
      </c>
      <c r="B41" s="1205" t="s">
        <v>33</v>
      </c>
      <c r="C41" s="335">
        <v>24</v>
      </c>
      <c r="D41" s="335">
        <v>1681973</v>
      </c>
      <c r="E41" s="335">
        <v>95</v>
      </c>
      <c r="F41" s="335">
        <v>2282830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160064</v>
      </c>
      <c r="E44" s="335">
        <v>20</v>
      </c>
      <c r="F44" s="335">
        <v>3486415</v>
      </c>
    </row>
    <row r="45" spans="1:6">
      <c r="A45" s="1205" t="s">
        <v>32</v>
      </c>
      <c r="B45" s="1205" t="s">
        <v>37</v>
      </c>
      <c r="C45" s="335">
        <v>0</v>
      </c>
      <c r="D45" s="335">
        <v>0</v>
      </c>
      <c r="E45" s="335">
        <v>3</v>
      </c>
      <c r="F45" s="335">
        <v>63173</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v>
      </c>
      <c r="D48" s="335">
        <v>485031</v>
      </c>
      <c r="E48" s="335">
        <v>0</v>
      </c>
      <c r="F48" s="335">
        <v>0</v>
      </c>
    </row>
    <row r="49" spans="1:6">
      <c r="A49" s="1205" t="s">
        <v>32</v>
      </c>
      <c r="B49" s="1205" t="s">
        <v>40</v>
      </c>
      <c r="C49" s="335">
        <v>0</v>
      </c>
      <c r="D49" s="335">
        <v>0</v>
      </c>
      <c r="E49" s="335">
        <v>3</v>
      </c>
      <c r="F49" s="335">
        <v>39501</v>
      </c>
    </row>
    <row r="50" spans="1:6">
      <c r="A50" s="1205" t="s">
        <v>32</v>
      </c>
      <c r="B50" s="1205" t="s">
        <v>41</v>
      </c>
      <c r="C50" s="335">
        <v>0</v>
      </c>
      <c r="D50" s="335">
        <v>0</v>
      </c>
      <c r="E50" s="335">
        <v>7</v>
      </c>
      <c r="F50" s="335">
        <v>778179</v>
      </c>
    </row>
    <row r="51" spans="1:6">
      <c r="A51" s="1205" t="s">
        <v>42</v>
      </c>
      <c r="B51" s="1205" t="s">
        <v>43</v>
      </c>
      <c r="C51" s="335">
        <v>3</v>
      </c>
      <c r="D51" s="335">
        <v>22095</v>
      </c>
      <c r="E51" s="335">
        <v>120</v>
      </c>
      <c r="F51" s="335">
        <v>2979300</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90</v>
      </c>
      <c r="F54" s="335">
        <v>714646</v>
      </c>
    </row>
    <row r="55" spans="1:6">
      <c r="A55" s="1205" t="s">
        <v>46</v>
      </c>
      <c r="B55" s="1205" t="s">
        <v>29</v>
      </c>
      <c r="C55" s="335">
        <v>0</v>
      </c>
      <c r="D55" s="335">
        <v>0</v>
      </c>
      <c r="E55" s="335">
        <v>0</v>
      </c>
      <c r="F55" s="335">
        <v>0</v>
      </c>
    </row>
    <row r="56" spans="1:6">
      <c r="A56" s="1205" t="s">
        <v>48</v>
      </c>
      <c r="B56" s="1205" t="s">
        <v>29</v>
      </c>
      <c r="C56" s="335">
        <v>33</v>
      </c>
      <c r="D56" s="335">
        <v>869152</v>
      </c>
      <c r="E56" s="335">
        <v>62</v>
      </c>
      <c r="F56" s="335">
        <v>333467</v>
      </c>
    </row>
    <row r="57" spans="1:6">
      <c r="A57" s="1205" t="s">
        <v>49</v>
      </c>
      <c r="B57" s="1205" t="s">
        <v>50</v>
      </c>
      <c r="C57" s="335">
        <v>11</v>
      </c>
      <c r="D57" s="335">
        <v>350818</v>
      </c>
      <c r="E57" s="335">
        <v>57</v>
      </c>
      <c r="F57" s="335">
        <v>559249</v>
      </c>
    </row>
    <row r="58" spans="1:6">
      <c r="A58" s="1205" t="s">
        <v>49</v>
      </c>
      <c r="B58" s="1205" t="s">
        <v>51</v>
      </c>
      <c r="C58" s="335">
        <v>6</v>
      </c>
      <c r="D58" s="335">
        <v>872633</v>
      </c>
      <c r="E58" s="335">
        <v>17</v>
      </c>
      <c r="F58" s="335">
        <v>522223</v>
      </c>
    </row>
    <row r="59" spans="1:6">
      <c r="A59" s="1205" t="s">
        <v>49</v>
      </c>
      <c r="B59" s="1205" t="s">
        <v>52</v>
      </c>
      <c r="C59" s="335">
        <v>40</v>
      </c>
      <c r="D59" s="335">
        <v>1656012</v>
      </c>
      <c r="E59" s="335">
        <v>133</v>
      </c>
      <c r="F59" s="335">
        <v>3224491</v>
      </c>
    </row>
    <row r="60" spans="1:6">
      <c r="A60" s="1205" t="s">
        <v>49</v>
      </c>
      <c r="B60" s="1205" t="s">
        <v>53</v>
      </c>
      <c r="C60" s="335">
        <v>17</v>
      </c>
      <c r="D60" s="335">
        <v>920303</v>
      </c>
      <c r="E60" s="335">
        <v>42</v>
      </c>
      <c r="F60" s="335">
        <v>1151995</v>
      </c>
    </row>
    <row r="61" spans="1:6">
      <c r="A61" s="1205" t="s">
        <v>49</v>
      </c>
      <c r="B61" s="1205" t="s">
        <v>54</v>
      </c>
      <c r="C61" s="335">
        <v>46</v>
      </c>
      <c r="D61" s="335">
        <v>1341642</v>
      </c>
      <c r="E61" s="335">
        <v>187</v>
      </c>
      <c r="F61" s="335">
        <v>1862753</v>
      </c>
    </row>
    <row r="62" spans="1:6">
      <c r="A62" s="1205" t="s">
        <v>49</v>
      </c>
      <c r="B62" s="1205" t="s">
        <v>55</v>
      </c>
      <c r="C62" s="335">
        <v>3</v>
      </c>
      <c r="D62" s="335">
        <v>114206</v>
      </c>
      <c r="E62" s="335">
        <v>23</v>
      </c>
      <c r="F62" s="335">
        <v>256538</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1</v>
      </c>
      <c r="D65" s="335">
        <v>4019</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28876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86054184</v>
      </c>
      <c r="E73" s="335">
        <v>89293371.992151275</v>
      </c>
    </row>
    <row r="74" spans="1:6">
      <c r="A74" s="1205" t="s">
        <v>64</v>
      </c>
      <c r="B74" s="1205" t="s">
        <v>772</v>
      </c>
      <c r="C74" s="1216" t="s">
        <v>766</v>
      </c>
      <c r="D74" s="335">
        <v>7871053.5117055243</v>
      </c>
      <c r="E74" s="335">
        <v>8420638.8313384764</v>
      </c>
    </row>
    <row r="75" spans="1:6">
      <c r="A75" s="1205" t="s">
        <v>65</v>
      </c>
      <c r="B75" s="1205" t="s">
        <v>771</v>
      </c>
      <c r="C75" s="1216" t="s">
        <v>767</v>
      </c>
      <c r="D75" s="335">
        <v>27577407</v>
      </c>
      <c r="E75" s="335">
        <v>28688130.910375301</v>
      </c>
    </row>
    <row r="76" spans="1:6">
      <c r="A76" s="1205" t="s">
        <v>65</v>
      </c>
      <c r="B76" s="1205" t="s">
        <v>772</v>
      </c>
      <c r="C76" s="1216" t="s">
        <v>768</v>
      </c>
      <c r="D76" s="335">
        <v>480730.51170552464</v>
      </c>
      <c r="E76" s="335">
        <v>548855.50198795914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539796.97658895073</v>
      </c>
      <c r="C83" s="335">
        <v>510466.7578821858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4178.7646288101378</v>
      </c>
    </row>
    <row r="92" spans="1:6">
      <c r="A92" s="1201" t="s">
        <v>69</v>
      </c>
      <c r="B92" s="338">
        <v>1182.4944583924796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252</v>
      </c>
    </row>
    <row r="98" spans="1:6">
      <c r="A98" s="1205" t="s">
        <v>72</v>
      </c>
      <c r="B98" s="335">
        <v>2</v>
      </c>
    </row>
    <row r="99" spans="1:6">
      <c r="A99" s="1205" t="s">
        <v>73</v>
      </c>
      <c r="B99" s="335">
        <v>29</v>
      </c>
    </row>
    <row r="100" spans="1:6">
      <c r="A100" s="1205" t="s">
        <v>74</v>
      </c>
      <c r="B100" s="335">
        <v>157</v>
      </c>
    </row>
    <row r="101" spans="1:6">
      <c r="A101" s="1205" t="s">
        <v>75</v>
      </c>
      <c r="B101" s="335">
        <v>59</v>
      </c>
    </row>
    <row r="102" spans="1:6">
      <c r="A102" s="1205" t="s">
        <v>76</v>
      </c>
      <c r="B102" s="335">
        <v>51</v>
      </c>
    </row>
    <row r="103" spans="1:6">
      <c r="A103" s="1205" t="s">
        <v>77</v>
      </c>
      <c r="B103" s="335">
        <v>84</v>
      </c>
    </row>
    <row r="104" spans="1:6">
      <c r="A104" s="1205" t="s">
        <v>78</v>
      </c>
      <c r="B104" s="335">
        <v>3633</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25</v>
      </c>
    </row>
    <row r="124" spans="1:6">
      <c r="A124" s="1201" t="s">
        <v>89</v>
      </c>
      <c r="B124" s="335">
        <v>0</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90</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42748.910440742395</v>
      </c>
      <c r="C3" s="44" t="s">
        <v>170</v>
      </c>
      <c r="D3" s="44"/>
      <c r="E3" s="157"/>
      <c r="F3" s="44"/>
      <c r="G3" s="44"/>
      <c r="H3" s="44"/>
      <c r="I3" s="44"/>
      <c r="J3" s="44"/>
      <c r="K3" s="97"/>
    </row>
    <row r="4" spans="1:11">
      <c r="A4" s="365" t="s">
        <v>171</v>
      </c>
      <c r="B4" s="50">
        <f>IF(ISERROR('SEAP template'!B69),0,'SEAP template'!B69)</f>
        <v>5361.2590872026176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0.19328377878977349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714.64599999999996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714.64599999999996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0.19328377878977349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138.12947937699644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20646.462</v>
      </c>
      <c r="C5" s="18">
        <f>IF(ISERROR('Eigen informatie GS &amp; warmtenet'!B57),0,'Eigen informatie GS &amp; warmtenet'!B57)</f>
        <v>0</v>
      </c>
      <c r="D5" s="31">
        <f>(SUM(HH_hh_gas_kWh,HH_rest_gas_kWh)/1000)*0.902</f>
        <v>21832.920824000001</v>
      </c>
      <c r="E5" s="18">
        <f>B46*B57</f>
        <v>2473.5397986432795</v>
      </c>
      <c r="F5" s="18">
        <f>B51*B62</f>
        <v>49560.927485991822</v>
      </c>
      <c r="G5" s="19"/>
      <c r="H5" s="18"/>
      <c r="I5" s="18"/>
      <c r="J5" s="18">
        <f>B50*B61+C50*C61</f>
        <v>0</v>
      </c>
      <c r="K5" s="18"/>
      <c r="L5" s="18"/>
      <c r="M5" s="18"/>
      <c r="N5" s="18">
        <f>B48*B59+C48*C59</f>
        <v>16342.84834667667</v>
      </c>
      <c r="O5" s="18">
        <f>B69*B70*B71</f>
        <v>182.91000000000003</v>
      </c>
      <c r="P5" s="18">
        <f>B77*B78*B79/1000-B77*B78*B79/1000/B80</f>
        <v>324.13333333333333</v>
      </c>
    </row>
    <row r="6" spans="1:16">
      <c r="A6" s="17" t="s">
        <v>639</v>
      </c>
      <c r="B6" s="831">
        <f>kWh_PV_kleiner_dan_10kW</f>
        <v>4178.7646288101378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24825.226628810138</v>
      </c>
      <c r="C8" s="22">
        <f>C5</f>
        <v>0</v>
      </c>
      <c r="D8" s="22">
        <f>D5</f>
        <v>21832.920824000001</v>
      </c>
      <c r="E8" s="22">
        <f>E5</f>
        <v>2473.5397986432795</v>
      </c>
      <c r="F8" s="22">
        <f>F5</f>
        <v>49560.927485991822</v>
      </c>
      <c r="G8" s="22"/>
      <c r="H8" s="22"/>
      <c r="I8" s="22"/>
      <c r="J8" s="22">
        <f>J5</f>
        <v>0</v>
      </c>
      <c r="K8" s="22"/>
      <c r="L8" s="22">
        <f>L5</f>
        <v>0</v>
      </c>
      <c r="M8" s="22">
        <f>M5</f>
        <v>0</v>
      </c>
      <c r="N8" s="22">
        <f>N5</f>
        <v>16342.84834667667</v>
      </c>
      <c r="O8" s="22">
        <f>O5</f>
        <v>182.91000000000003</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0.19328377878977349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4798.3136121289326</v>
      </c>
      <c r="C12" s="24">
        <f ca="1">C10*C8</f>
        <v>0</v>
      </c>
      <c r="D12" s="24">
        <f>D8*D10</f>
        <v>4410.250006448</v>
      </c>
      <c r="E12" s="24">
        <f>E10*E8</f>
        <v>561.49353429202449</v>
      </c>
      <c r="F12" s="24">
        <f>F10*F8</f>
        <v>13232.767638759817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252</v>
      </c>
      <c r="C18" s="169" t="s">
        <v>111</v>
      </c>
      <c r="D18" s="231"/>
      <c r="E18" s="16"/>
    </row>
    <row r="19" spans="1:7">
      <c r="A19" s="174" t="s">
        <v>72</v>
      </c>
      <c r="B19" s="38">
        <f>aantalw2001_ander</f>
        <v>2</v>
      </c>
      <c r="C19" s="169" t="s">
        <v>111</v>
      </c>
      <c r="D19" s="232"/>
      <c r="E19" s="16"/>
    </row>
    <row r="20" spans="1:7">
      <c r="A20" s="174" t="s">
        <v>73</v>
      </c>
      <c r="B20" s="38">
        <f>aantalw2001_propaan</f>
        <v>29</v>
      </c>
      <c r="C20" s="170">
        <f>IF(ISERROR(B20/SUM($B$20,$B$21,$B$22)*100),0,B20/SUM($B$20,$B$21,$B$22)*100)</f>
        <v>11.836734693877551</v>
      </c>
      <c r="D20" s="232"/>
      <c r="E20" s="16"/>
    </row>
    <row r="21" spans="1:7">
      <c r="A21" s="174" t="s">
        <v>74</v>
      </c>
      <c r="B21" s="38">
        <f>aantalw2001_elektriciteit</f>
        <v>157</v>
      </c>
      <c r="C21" s="170">
        <f>IF(ISERROR(B21/SUM($B$20,$B$21,$B$22)*100),0,B21/SUM($B$20,$B$21,$B$22)*100)</f>
        <v>64.08163265306122</v>
      </c>
      <c r="D21" s="232"/>
      <c r="E21" s="16"/>
    </row>
    <row r="22" spans="1:7">
      <c r="A22" s="174" t="s">
        <v>75</v>
      </c>
      <c r="B22" s="38">
        <f>aantalw2001_hout</f>
        <v>59</v>
      </c>
      <c r="C22" s="170">
        <f>IF(ISERROR(B22/SUM($B$20,$B$21,$B$22)*100),0,B22/SUM($B$20,$B$21,$B$22)*100)</f>
        <v>24.081632653061224</v>
      </c>
      <c r="D22" s="232"/>
      <c r="E22" s="16"/>
    </row>
    <row r="23" spans="1:7">
      <c r="A23" s="174" t="s">
        <v>76</v>
      </c>
      <c r="B23" s="38">
        <f>aantalw2001_niet_gespec</f>
        <v>51</v>
      </c>
      <c r="C23" s="169" t="s">
        <v>111</v>
      </c>
      <c r="D23" s="231"/>
      <c r="E23" s="16"/>
    </row>
    <row r="24" spans="1:7">
      <c r="A24" s="174" t="s">
        <v>77</v>
      </c>
      <c r="B24" s="38">
        <f>aantalw2001_steenkool</f>
        <v>84</v>
      </c>
      <c r="C24" s="169" t="s">
        <v>111</v>
      </c>
      <c r="D24" s="232"/>
      <c r="E24" s="16"/>
    </row>
    <row r="25" spans="1:7">
      <c r="A25" s="174" t="s">
        <v>78</v>
      </c>
      <c r="B25" s="38">
        <f>aantalw2001_stookolie</f>
        <v>3633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1499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1499</v>
      </c>
      <c r="C32" s="170">
        <f>IF(ISERROR(B32/SUM($B$32,$B$34,$B$35,$B$36,$B$38,$B$39)*100),0,B32/SUM($B$32,$B$34,$B$35,$B$36,$B$38,$B$39)*100)</f>
        <v>30.233965308592175</v>
      </c>
      <c r="D32" s="236"/>
      <c r="G32" s="16"/>
    </row>
    <row r="33" spans="1:7">
      <c r="A33" s="174" t="s">
        <v>72</v>
      </c>
      <c r="B33" s="35" t="s">
        <v>111</v>
      </c>
      <c r="C33" s="170"/>
      <c r="D33" s="236"/>
      <c r="G33" s="16"/>
    </row>
    <row r="34" spans="1:7">
      <c r="A34" s="174" t="s">
        <v>73</v>
      </c>
      <c r="B34" s="34">
        <f>IF((($B$28-$B$32-$B$39-$B$77-$B$38)*C20/100)&lt;0,0,($B$28-$B$32-$B$39-$B$77-$B$38)*C20/100)</f>
        <v>112.24775510204083</v>
      </c>
      <c r="C34" s="170">
        <f>IF(ISERROR(B34/SUM($B$32,$B$34,$B$35,$B$36,$B$38,$B$39)*100),0,B34/SUM($B$32,$B$34,$B$35,$B$36,$B$38,$B$39)*100)</f>
        <v>2.2639724707954985</v>
      </c>
      <c r="D34" s="236"/>
      <c r="G34" s="16"/>
    </row>
    <row r="35" spans="1:7">
      <c r="A35" s="174" t="s">
        <v>74</v>
      </c>
      <c r="B35" s="34">
        <f>IF((($B$28-$B$32-$B$39-$B$77-$B$38)*C21/100)&lt;0,0,($B$28-$B$32-$B$39-$B$77-$B$38)*C21/100)</f>
        <v>607.68612244897963</v>
      </c>
      <c r="C35" s="170">
        <f>IF(ISERROR(B35/SUM($B$32,$B$34,$B$35,$B$36,$B$38,$B$39)*100),0,B35/SUM($B$32,$B$34,$B$35,$B$36,$B$38,$B$39)*100)</f>
        <v>12.256678548789424</v>
      </c>
      <c r="D35" s="236"/>
      <c r="G35" s="16"/>
    </row>
    <row r="36" spans="1:7">
      <c r="A36" s="174" t="s">
        <v>75</v>
      </c>
      <c r="B36" s="34">
        <f>IF((($B$28-$B$32-$B$39-$B$77-$B$38)*C22/100)&lt;0,0,($B$28-$B$32-$B$39-$B$77-$B$38)*C22/100)</f>
        <v>228.36612244897961</v>
      </c>
      <c r="C36" s="170">
        <f>IF(ISERROR(B36/SUM($B$32,$B$34,$B$35,$B$36,$B$38,$B$39)*100),0,B36/SUM($B$32,$B$34,$B$35,$B$36,$B$38,$B$39)*100)</f>
        <v>4.6060129578253246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2510.6999999999998</v>
      </c>
      <c r="C39" s="170">
        <f>IF(ISERROR(B39/SUM($B$32,$B$34,$B$35,$B$36,$B$38,$B$39)*100),0,B39/SUM($B$32,$B$34,$B$35,$B$36,$B$38,$B$39)*100)</f>
        <v>50.639370713997579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1499</v>
      </c>
      <c r="C44" s="35" t="s">
        <v>111</v>
      </c>
      <c r="D44" s="177"/>
    </row>
    <row r="45" spans="1:7">
      <c r="A45" s="174" t="s">
        <v>72</v>
      </c>
      <c r="B45" s="34" t="str">
        <f t="shared" si="0"/>
        <v>-</v>
      </c>
      <c r="C45" s="35" t="s">
        <v>111</v>
      </c>
      <c r="D45" s="177"/>
    </row>
    <row r="46" spans="1:7">
      <c r="A46" s="174" t="s">
        <v>73</v>
      </c>
      <c r="B46" s="34">
        <f t="shared" si="0"/>
        <v>112.24775510204083</v>
      </c>
      <c r="C46" s="35" t="s">
        <v>111</v>
      </c>
      <c r="D46" s="177"/>
    </row>
    <row r="47" spans="1:7">
      <c r="A47" s="174" t="s">
        <v>74</v>
      </c>
      <c r="B47" s="34">
        <f t="shared" si="0"/>
        <v>607.68612244897963</v>
      </c>
      <c r="C47" s="35" t="s">
        <v>111</v>
      </c>
      <c r="D47" s="177"/>
    </row>
    <row r="48" spans="1:7">
      <c r="A48" s="174" t="s">
        <v>75</v>
      </c>
      <c r="B48" s="34">
        <f t="shared" si="0"/>
        <v>228.36612244897961</v>
      </c>
      <c r="C48" s="34">
        <f>B48*10</f>
        <v>2283.661224489796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2510.6999999999998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7577.2489999999998</v>
      </c>
      <c r="C5" s="18">
        <f>IF(ISERROR('Eigen informatie GS &amp; warmtenet'!B58),0,'Eigen informatie GS &amp; warmtenet'!B58)</f>
        <v>0</v>
      </c>
      <c r="D5" s="31">
        <f>SUM(D6:D12)</f>
        <v>4740.5638280000003</v>
      </c>
      <c r="E5" s="18">
        <f>SUM(E6:E12)</f>
        <v>85.452503846173613</v>
      </c>
      <c r="F5" s="18">
        <f>SUM(F6:F12)</f>
        <v>1583.9100970135476</v>
      </c>
      <c r="G5" s="19"/>
      <c r="H5" s="18"/>
      <c r="I5" s="18"/>
      <c r="J5" s="18">
        <f>SUM(J6:J12)</f>
        <v>0</v>
      </c>
      <c r="K5" s="18"/>
      <c r="L5" s="18"/>
      <c r="M5" s="18"/>
      <c r="N5" s="18">
        <f>SUM(N6:N12)</f>
        <v>344.47940832610249</v>
      </c>
      <c r="O5" s="18">
        <f>B38*B39*B40</f>
        <v>0</v>
      </c>
      <c r="P5" s="18">
        <f>B46*B47*B48/1000-B46*B47*B48/1000/B49</f>
        <v>0</v>
      </c>
      <c r="R5" s="33"/>
    </row>
    <row r="6" spans="1:18">
      <c r="A6" s="33" t="s">
        <v>54</v>
      </c>
      <c r="B6" s="38">
        <f>B26</f>
        <v>1862.7529999999999</v>
      </c>
      <c r="C6" s="34"/>
      <c r="D6" s="38">
        <f>IF(ISERROR(TER_kantoor_gas_kWh/1000),0,TER_kantoor_gas_kWh/1000)*0.902</f>
        <v>1210.1610840000001</v>
      </c>
      <c r="E6" s="34">
        <f>$C$26*'E Balans VL '!I12/100/3.6*1000000</f>
        <v>3.0571552080457129</v>
      </c>
      <c r="F6" s="34">
        <f>$C$26*('E Balans VL '!L12+'E Balans VL '!N12)/100/3.6*1000000</f>
        <v>219.57475050198028</v>
      </c>
      <c r="G6" s="35"/>
      <c r="H6" s="34"/>
      <c r="I6" s="34"/>
      <c r="J6" s="34">
        <f>$C$26*('E Balans VL '!D12+'E Balans VL '!E12)/100/3.6*1000000</f>
        <v>0</v>
      </c>
      <c r="K6" s="34"/>
      <c r="L6" s="34"/>
      <c r="M6" s="34"/>
      <c r="N6" s="34">
        <f>$C$26*'E Balans VL '!Y12/100/3.6*1000000</f>
        <v>0.37636042279240423</v>
      </c>
      <c r="O6" s="34"/>
      <c r="P6" s="34"/>
      <c r="R6" s="33"/>
    </row>
    <row r="7" spans="1:18">
      <c r="A7" s="33" t="s">
        <v>53</v>
      </c>
      <c r="B7" s="38">
        <f t="shared" ref="B7:B12" si="0">B27</f>
        <v>1151.9949999999999</v>
      </c>
      <c r="C7" s="34"/>
      <c r="D7" s="38">
        <f>IF(ISERROR(TER_horeca_gas_kWh/1000),0,TER_horeca_gas_kWh/1000)*0.902</f>
        <v>830.11330599999997</v>
      </c>
      <c r="E7" s="34">
        <f>$C$27*'E Balans VL '!I9/100/3.6*1000000</f>
        <v>59.780204485795942</v>
      </c>
      <c r="F7" s="34">
        <f>$C$27*('E Balans VL '!L9+'E Balans VL '!N9)/100/3.6*1000000</f>
        <v>262.88609489171489</v>
      </c>
      <c r="G7" s="35"/>
      <c r="H7" s="34"/>
      <c r="I7" s="34"/>
      <c r="J7" s="34">
        <f>$C$27*('E Balans VL '!D9+'E Balans VL '!E9)/100/3.6*1000000</f>
        <v>0</v>
      </c>
      <c r="K7" s="34"/>
      <c r="L7" s="34"/>
      <c r="M7" s="34"/>
      <c r="N7" s="34">
        <f>$C$27*'E Balans VL '!Y9/100/3.6*1000000</f>
        <v>0.12165014407525927</v>
      </c>
      <c r="O7" s="34"/>
      <c r="P7" s="34"/>
      <c r="R7" s="33"/>
    </row>
    <row r="8" spans="1:18">
      <c r="A8" s="6" t="s">
        <v>52</v>
      </c>
      <c r="B8" s="38">
        <f t="shared" si="0"/>
        <v>3224.491</v>
      </c>
      <c r="C8" s="34"/>
      <c r="D8" s="38">
        <f>IF(ISERROR(TER_handel_gas_kWh/1000),0,TER_handel_gas_kWh/1000)*0.902</f>
        <v>1493.7228239999999</v>
      </c>
      <c r="E8" s="34">
        <f>$C$28*'E Balans VL '!I13/100/3.6*1000000</f>
        <v>17.364280272279711</v>
      </c>
      <c r="F8" s="34">
        <f>$C$28*('E Balans VL '!L13+'E Balans VL '!N13)/100/3.6*1000000</f>
        <v>657.56953814203086</v>
      </c>
      <c r="G8" s="35"/>
      <c r="H8" s="34"/>
      <c r="I8" s="34"/>
      <c r="J8" s="34">
        <f>$C$28*('E Balans VL '!D13+'E Balans VL '!E13)/100/3.6*1000000</f>
        <v>0</v>
      </c>
      <c r="K8" s="34"/>
      <c r="L8" s="34"/>
      <c r="M8" s="34"/>
      <c r="N8" s="34">
        <f>$C$28*'E Balans VL '!Y13/100/3.6*1000000</f>
        <v>16.033690938089251</v>
      </c>
      <c r="O8" s="34"/>
      <c r="P8" s="34"/>
      <c r="R8" s="33"/>
    </row>
    <row r="9" spans="1:18">
      <c r="A9" s="33" t="s">
        <v>51</v>
      </c>
      <c r="B9" s="38">
        <f t="shared" si="0"/>
        <v>522.22299999999996</v>
      </c>
      <c r="C9" s="34"/>
      <c r="D9" s="38">
        <f>IF(ISERROR(TER_gezond_gas_kWh/1000),0,TER_gezond_gas_kWh/1000)*0.902</f>
        <v>787.11496600000009</v>
      </c>
      <c r="E9" s="34">
        <f>$C$29*'E Balans VL '!I10/100/3.6*1000000</f>
        <v>0.51752893169537795</v>
      </c>
      <c r="F9" s="34">
        <f>$C$29*('E Balans VL '!L10+'E Balans VL '!N10)/100/3.6*1000000</f>
        <v>181.19632849950449</v>
      </c>
      <c r="G9" s="35"/>
      <c r="H9" s="34"/>
      <c r="I9" s="34"/>
      <c r="J9" s="34">
        <f>$C$29*('E Balans VL '!D10+'E Balans VL '!E10)/100/3.6*1000000</f>
        <v>0</v>
      </c>
      <c r="K9" s="34"/>
      <c r="L9" s="34"/>
      <c r="M9" s="34"/>
      <c r="N9" s="34">
        <f>$C$29*'E Balans VL '!Y10/100/3.6*1000000</f>
        <v>4.4999503510384038</v>
      </c>
      <c r="O9" s="34"/>
      <c r="P9" s="34"/>
      <c r="R9" s="33"/>
    </row>
    <row r="10" spans="1:18">
      <c r="A10" s="33" t="s">
        <v>50</v>
      </c>
      <c r="B10" s="38">
        <f t="shared" si="0"/>
        <v>559.24900000000002</v>
      </c>
      <c r="C10" s="34"/>
      <c r="D10" s="38">
        <f>IF(ISERROR(TER_ander_gas_kWh/1000),0,TER_ander_gas_kWh/1000)*0.902</f>
        <v>316.437836</v>
      </c>
      <c r="E10" s="34">
        <f>$C$30*'E Balans VL '!I14/100/3.6*1000000</f>
        <v>4.5752157495697441</v>
      </c>
      <c r="F10" s="34">
        <f>$C$30*('E Balans VL '!L14+'E Balans VL '!N14)/100/3.6*1000000</f>
        <v>163.50163963024039</v>
      </c>
      <c r="G10" s="35"/>
      <c r="H10" s="34"/>
      <c r="I10" s="34"/>
      <c r="J10" s="34">
        <f>$C$30*('E Balans VL '!D14+'E Balans VL '!E14)/100/3.6*1000000</f>
        <v>0</v>
      </c>
      <c r="K10" s="34"/>
      <c r="L10" s="34"/>
      <c r="M10" s="34"/>
      <c r="N10" s="34">
        <f>$C$30*'E Balans VL '!Y14/100/3.6*1000000</f>
        <v>322.61329333102674</v>
      </c>
      <c r="O10" s="34"/>
      <c r="P10" s="34"/>
      <c r="R10" s="33"/>
    </row>
    <row r="11" spans="1:18">
      <c r="A11" s="33" t="s">
        <v>55</v>
      </c>
      <c r="B11" s="38">
        <f t="shared" si="0"/>
        <v>256.53800000000001</v>
      </c>
      <c r="C11" s="34"/>
      <c r="D11" s="38">
        <f>IF(ISERROR(TER_onderwijs_gas_kWh/1000),0,TER_onderwijs_gas_kWh/1000)*0.902</f>
        <v>103.013812</v>
      </c>
      <c r="E11" s="34">
        <f>$C$31*'E Balans VL '!I11/100/3.6*1000000</f>
        <v>0.15811919878711259</v>
      </c>
      <c r="F11" s="34">
        <f>$C$31*('E Balans VL '!L11+'E Balans VL '!N11)/100/3.6*1000000</f>
        <v>99.181745348076674</v>
      </c>
      <c r="G11" s="35"/>
      <c r="H11" s="34"/>
      <c r="I11" s="34"/>
      <c r="J11" s="34">
        <f>$C$31*('E Balans VL '!D11+'E Balans VL '!E11)/100/3.6*1000000</f>
        <v>0</v>
      </c>
      <c r="K11" s="34"/>
      <c r="L11" s="34"/>
      <c r="M11" s="34"/>
      <c r="N11" s="34">
        <f>$C$31*'E Balans VL '!Y11/100/3.6*1000000</f>
        <v>0.8344631390803936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7577.2489999999998</v>
      </c>
      <c r="C16" s="22">
        <f t="shared" ca="1" si="1"/>
        <v>0</v>
      </c>
      <c r="D16" s="22">
        <f t="shared" ca="1" si="1"/>
        <v>4740.5638280000003</v>
      </c>
      <c r="E16" s="22">
        <f t="shared" si="1"/>
        <v>85.452503846173613</v>
      </c>
      <c r="F16" s="22">
        <f t="shared" ca="1" si="1"/>
        <v>1583.9100970135476</v>
      </c>
      <c r="G16" s="22">
        <f t="shared" si="1"/>
        <v>0</v>
      </c>
      <c r="H16" s="22">
        <f t="shared" si="1"/>
        <v>0</v>
      </c>
      <c r="I16" s="22">
        <f t="shared" si="1"/>
        <v>0</v>
      </c>
      <c r="J16" s="22">
        <f t="shared" si="1"/>
        <v>0</v>
      </c>
      <c r="K16" s="22">
        <f t="shared" si="1"/>
        <v>0</v>
      </c>
      <c r="L16" s="22">
        <f t="shared" ca="1" si="1"/>
        <v>0</v>
      </c>
      <c r="M16" s="22">
        <f t="shared" si="1"/>
        <v>0</v>
      </c>
      <c r="N16" s="22">
        <f t="shared" ca="1" si="1"/>
        <v>344.47940832610249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0.19328377878977349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1464.5593195510323</v>
      </c>
      <c r="C20" s="24">
        <f t="shared" ref="C20:P20" ca="1" si="2">C16*C18</f>
        <v>0</v>
      </c>
      <c r="D20" s="24">
        <f t="shared" ca="1" si="2"/>
        <v>957.59389325600011</v>
      </c>
      <c r="E20" s="24">
        <f t="shared" si="2"/>
        <v>19.39771837308141</v>
      </c>
      <c r="F20" s="24">
        <f t="shared" ca="1" si="2"/>
        <v>422.90399590261723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1862.7529999999999</v>
      </c>
      <c r="C26" s="40">
        <f>IF(ISERROR(B26*3.6/1000000/'E Balans VL '!Z12*100),0,B26*3.6/1000000/'E Balans VL '!Z12*100)</f>
        <v>3.9582165411996946E-2</v>
      </c>
      <c r="D26" s="240" t="s">
        <v>707</v>
      </c>
      <c r="F26" s="6"/>
    </row>
    <row r="27" spans="1:18">
      <c r="A27" s="234" t="s">
        <v>53</v>
      </c>
      <c r="B27" s="34">
        <f>IF(ISERROR(TER_horeca_ele_kWh/1000),0,TER_horeca_ele_kWh/1000)</f>
        <v>1151.9949999999999</v>
      </c>
      <c r="C27" s="40">
        <f>IF(ISERROR(B27*3.6/1000000/'E Balans VL '!Z9*100),0,B27*3.6/1000000/'E Balans VL '!Z9*100)</f>
        <v>9.0670914838702571E-2</v>
      </c>
      <c r="D27" s="240" t="s">
        <v>707</v>
      </c>
      <c r="F27" s="6"/>
    </row>
    <row r="28" spans="1:18">
      <c r="A28" s="174" t="s">
        <v>52</v>
      </c>
      <c r="B28" s="34">
        <f>IF(ISERROR(TER_handel_ele_kWh/1000),0,TER_handel_ele_kWh/1000)</f>
        <v>3224.491</v>
      </c>
      <c r="C28" s="40">
        <f>IF(ISERROR(B28*3.6/1000000/'E Balans VL '!Z13*100),0,B28*3.6/1000000/'E Balans VL '!Z13*100)</f>
        <v>9.0319718589453882E-2</v>
      </c>
      <c r="D28" s="240" t="s">
        <v>707</v>
      </c>
      <c r="F28" s="6"/>
    </row>
    <row r="29" spans="1:18">
      <c r="A29" s="234" t="s">
        <v>51</v>
      </c>
      <c r="B29" s="34">
        <f>IF(ISERROR(TER_gezond_ele_kWh/1000),0,TER_gezond_ele_kWh/1000)</f>
        <v>522.22299999999996</v>
      </c>
      <c r="C29" s="40">
        <f>IF(ISERROR(B29*3.6/1000000/'E Balans VL '!Z10*100),0,B29*3.6/1000000/'E Balans VL '!Z10*100)</f>
        <v>6.680811308753147E-2</v>
      </c>
      <c r="D29" s="240" t="s">
        <v>707</v>
      </c>
      <c r="F29" s="6"/>
    </row>
    <row r="30" spans="1:18">
      <c r="A30" s="234" t="s">
        <v>50</v>
      </c>
      <c r="B30" s="34">
        <f>IF(ISERROR(TER_ander_ele_kWh/1000),0,TER_ander_ele_kWh/1000)</f>
        <v>559.24900000000002</v>
      </c>
      <c r="C30" s="40">
        <f>IF(ISERROR(B30*3.6/1000000/'E Balans VL '!Z14*100),0,B30*3.6/1000000/'E Balans VL '!Z14*100)</f>
        <v>4.1827112885607046E-2</v>
      </c>
      <c r="D30" s="240" t="s">
        <v>707</v>
      </c>
      <c r="F30" s="6"/>
    </row>
    <row r="31" spans="1:18">
      <c r="A31" s="234" t="s">
        <v>55</v>
      </c>
      <c r="B31" s="34">
        <f>IF(ISERROR(TER_onderwijs_ele_kWh/1000),0,TER_onderwijs_ele_kWh/1000)</f>
        <v>256.53800000000001</v>
      </c>
      <c r="C31" s="40">
        <f>IF(ISERROR(B31*3.6/1000000/'E Balans VL '!Z11*100),0,B31*3.6/1000000/'E Balans VL '!Z11*100)</f>
        <v>5.4168331001648411E-2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6650.098</v>
      </c>
      <c r="C5" s="18">
        <f>IF(ISERROR('Eigen informatie GS &amp; warmtenet'!B59),0,'Eigen informatie GS &amp; warmtenet'!B59)</f>
        <v>0</v>
      </c>
      <c r="D5" s="31">
        <f>SUM(D6:D15)</f>
        <v>2099.0153359999999</v>
      </c>
      <c r="E5" s="18">
        <f>SUM(E6:E15)</f>
        <v>54.275252640130162</v>
      </c>
      <c r="F5" s="18">
        <f>SUM(F6:F15)</f>
        <v>2381.1427697842291</v>
      </c>
      <c r="G5" s="19"/>
      <c r="H5" s="18"/>
      <c r="I5" s="18"/>
      <c r="J5" s="18">
        <f>SUM(J6:J15)</f>
        <v>57.808348612127027</v>
      </c>
      <c r="K5" s="18"/>
      <c r="L5" s="18"/>
      <c r="M5" s="18"/>
      <c r="N5" s="18">
        <f>SUM(N6:N15)</f>
        <v>196.8730724326642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3486.415</v>
      </c>
      <c r="C8" s="34"/>
      <c r="D8" s="38">
        <f>IF( ISERROR(IND_metaal_Gas_kWH/1000),0,IND_metaal_Gas_kWH/1000)*0.902</f>
        <v>144.37772799999999</v>
      </c>
      <c r="E8" s="34">
        <f>C30*'E Balans VL '!I18/100/3.6*1000000</f>
        <v>31.750153109944318</v>
      </c>
      <c r="F8" s="34">
        <f>C30*'E Balans VL '!L18/100/3.6*1000000+C30*'E Balans VL '!N18/100/3.6*1000000</f>
        <v>459.83166220974539</v>
      </c>
      <c r="G8" s="35"/>
      <c r="H8" s="34"/>
      <c r="I8" s="34"/>
      <c r="J8" s="41">
        <f>C30*'E Balans VL '!D18/100/3.6*1000000+C30*'E Balans VL '!E18/100/3.6*1000000</f>
        <v>57.172143907700487</v>
      </c>
      <c r="K8" s="34"/>
      <c r="L8" s="34"/>
      <c r="M8" s="34"/>
      <c r="N8" s="34">
        <f>C30*'E Balans VL '!Y18/100/3.6*1000000</f>
        <v>11.981423380193975</v>
      </c>
      <c r="O8" s="34"/>
      <c r="P8" s="34"/>
      <c r="R8" s="33"/>
    </row>
    <row r="9" spans="1:18">
      <c r="A9" s="6" t="s">
        <v>33</v>
      </c>
      <c r="B9" s="38">
        <f t="shared" si="0"/>
        <v>2282.83</v>
      </c>
      <c r="C9" s="34"/>
      <c r="D9" s="38">
        <f>IF( ISERROR(IND_andere_gas_kWh/1000),0,IND_andere_gas_kWh/1000)*0.902</f>
        <v>1517.1396460000001</v>
      </c>
      <c r="E9" s="34">
        <f>C31*'E Balans VL '!I19/100/3.6*1000000</f>
        <v>13.195098540726732</v>
      </c>
      <c r="F9" s="34">
        <f>C31*'E Balans VL '!L19/100/3.6*1000000+C31*'E Balans VL '!N19/100/3.6*1000000</f>
        <v>1816.1011104328566</v>
      </c>
      <c r="G9" s="35"/>
      <c r="H9" s="34"/>
      <c r="I9" s="34"/>
      <c r="J9" s="41">
        <f>C31*'E Balans VL '!D19/100/3.6*1000000+C31*'E Balans VL '!E19/100/3.6*1000000</f>
        <v>0.2159303610425653</v>
      </c>
      <c r="K9" s="34"/>
      <c r="L9" s="34"/>
      <c r="M9" s="34"/>
      <c r="N9" s="34">
        <f>C31*'E Balans VL '!Y19/100/3.6*1000000</f>
        <v>172.95891926779063</v>
      </c>
      <c r="O9" s="34"/>
      <c r="P9" s="34"/>
      <c r="R9" s="33"/>
    </row>
    <row r="10" spans="1:18">
      <c r="A10" s="6" t="s">
        <v>41</v>
      </c>
      <c r="B10" s="38">
        <f t="shared" si="0"/>
        <v>778.17899999999997</v>
      </c>
      <c r="C10" s="34"/>
      <c r="D10" s="38">
        <f>IF( ISERROR(IND_voed_gas_kWh/1000),0,IND_voed_gas_kWh/1000)*0.902</f>
        <v>0</v>
      </c>
      <c r="E10" s="34">
        <f>C32*'E Balans VL '!I20/100/3.6*1000000</f>
        <v>7.6515354040139281</v>
      </c>
      <c r="F10" s="34">
        <f>C32*'E Balans VL '!L20/100/3.6*1000000+C32*'E Balans VL '!N20/100/3.6*1000000</f>
        <v>86.426935243759971</v>
      </c>
      <c r="G10" s="35"/>
      <c r="H10" s="34"/>
      <c r="I10" s="34"/>
      <c r="J10" s="41">
        <f>C32*'E Balans VL '!D20/100/3.6*1000000+C32*'E Balans VL '!E20/100/3.6*1000000</f>
        <v>3.0671567110088088E-3</v>
      </c>
      <c r="K10" s="34"/>
      <c r="L10" s="34"/>
      <c r="M10" s="34"/>
      <c r="N10" s="34">
        <f>C32*'E Balans VL '!Y20/100/3.6*1000000</f>
        <v>11.523000520046322</v>
      </c>
      <c r="O10" s="34"/>
      <c r="P10" s="34"/>
      <c r="R10" s="33"/>
    </row>
    <row r="11" spans="1:18">
      <c r="A11" s="6" t="s">
        <v>40</v>
      </c>
      <c r="B11" s="38">
        <f t="shared" si="0"/>
        <v>39.500999999999998</v>
      </c>
      <c r="C11" s="34"/>
      <c r="D11" s="38">
        <f>IF( ISERROR(IND_textiel_gas_kWh/1000),0,IND_textiel_gas_kWh/1000)*0.902</f>
        <v>0</v>
      </c>
      <c r="E11" s="34">
        <f>C33*'E Balans VL '!I21/100/3.6*1000000</f>
        <v>7.6917619402625245E-2</v>
      </c>
      <c r="F11" s="34">
        <f>C33*'E Balans VL '!L21/100/3.6*1000000+C33*'E Balans VL '!N21/100/3.6*1000000</f>
        <v>1.3028726026730053</v>
      </c>
      <c r="G11" s="35"/>
      <c r="H11" s="34"/>
      <c r="I11" s="34"/>
      <c r="J11" s="41">
        <f>C33*'E Balans VL '!D21/100/3.6*1000000+C33*'E Balans VL '!E21/100/3.6*1000000</f>
        <v>0</v>
      </c>
      <c r="K11" s="34"/>
      <c r="L11" s="34"/>
      <c r="M11" s="34"/>
      <c r="N11" s="34">
        <f>C33*'E Balans VL '!Y21/100/3.6*1000000</f>
        <v>0.40972926463327997</v>
      </c>
      <c r="O11" s="34"/>
      <c r="P11" s="34"/>
      <c r="R11" s="33"/>
    </row>
    <row r="12" spans="1:18">
      <c r="A12" s="6" t="s">
        <v>37</v>
      </c>
      <c r="B12" s="38">
        <f t="shared" si="0"/>
        <v>63.173000000000002</v>
      </c>
      <c r="C12" s="34"/>
      <c r="D12" s="38">
        <f>IF( ISERROR(IND_min_gas_kWh/1000),0,IND_min_gas_kWh/1000)*0.902</f>
        <v>0</v>
      </c>
      <c r="E12" s="34">
        <f>C34*'E Balans VL '!I22/100/3.6*1000000</f>
        <v>1.6015479660425547</v>
      </c>
      <c r="F12" s="34">
        <f>C34*'E Balans VL '!L22/100/3.6*1000000+C34*'E Balans VL '!N22/100/3.6*1000000</f>
        <v>17.480189295194553</v>
      </c>
      <c r="G12" s="35"/>
      <c r="H12" s="34"/>
      <c r="I12" s="34"/>
      <c r="J12" s="41">
        <f>C34*'E Balans VL '!D22/100/3.6*1000000+C34*'E Balans VL '!E22/100/3.6*1000000</f>
        <v>0.41720718667296408</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437.49796200000003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6650.098</v>
      </c>
      <c r="C18" s="22">
        <f>C5+C16</f>
        <v>0</v>
      </c>
      <c r="D18" s="22">
        <f>MAX((D5+D16),0)</f>
        <v>2099.0153359999999</v>
      </c>
      <c r="E18" s="22">
        <f>MAX((E5+E16),0)</f>
        <v>54.275252640130162</v>
      </c>
      <c r="F18" s="22">
        <f>MAX((F5+F16),0)</f>
        <v>2381.1427697842291</v>
      </c>
      <c r="G18" s="22"/>
      <c r="H18" s="22"/>
      <c r="I18" s="22"/>
      <c r="J18" s="22">
        <f>MAX((J5+J16),0)</f>
        <v>57.808348612127027</v>
      </c>
      <c r="K18" s="22"/>
      <c r="L18" s="22">
        <f>MAX((L5+L16),0)</f>
        <v>0</v>
      </c>
      <c r="M18" s="22"/>
      <c r="N18" s="22">
        <f>MAX((N5+N16),0)</f>
        <v>196.8730724326642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0.19328377878977349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1285.3560707623151</v>
      </c>
      <c r="C22" s="24">
        <f ca="1">C18*C20</f>
        <v>0</v>
      </c>
      <c r="D22" s="24">
        <f>D18*D20</f>
        <v>424.001097872</v>
      </c>
      <c r="E22" s="24">
        <f>E18*E20</f>
        <v>12.320482349309547</v>
      </c>
      <c r="F22" s="24">
        <f>F18*F20</f>
        <v>635.76511953238924</v>
      </c>
      <c r="G22" s="24"/>
      <c r="H22" s="24"/>
      <c r="I22" s="24"/>
      <c r="J22" s="24">
        <f>J18*J20</f>
        <v>20.464155408692967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3486.415</v>
      </c>
      <c r="C30" s="40">
        <f>IF(ISERROR(B30*3.6/1000000/'E Balans VL '!Z18*100),0,B30*3.6/1000000/'E Balans VL '!Z18*100)</f>
        <v>0.19399568129291839</v>
      </c>
      <c r="D30" s="240" t="s">
        <v>707</v>
      </c>
    </row>
    <row r="31" spans="1:18">
      <c r="A31" s="6" t="s">
        <v>33</v>
      </c>
      <c r="B31" s="38">
        <f>IF( ISERROR(IND_ander_ele_kWh/1000),0,IND_ander_ele_kWh/1000)</f>
        <v>2282.83</v>
      </c>
      <c r="C31" s="40">
        <f>IF(ISERROR(B31*3.6/1000000/'E Balans VL '!Z19*100),0,B31*3.6/1000000/'E Balans VL '!Z19*100)</f>
        <v>0.10612277129736999</v>
      </c>
      <c r="D31" s="240" t="s">
        <v>707</v>
      </c>
    </row>
    <row r="32" spans="1:18">
      <c r="A32" s="174" t="s">
        <v>41</v>
      </c>
      <c r="B32" s="38">
        <f>IF( ISERROR(IND_voed_ele_kWh/1000),0,IND_voed_ele_kWh/1000)</f>
        <v>778.17899999999997</v>
      </c>
      <c r="C32" s="40">
        <f>IF(ISERROR(B32*3.6/1000000/'E Balans VL '!Z20*100),0,B32*3.6/1000000/'E Balans VL '!Z20*100)</f>
        <v>2.7507056050951589E-2</v>
      </c>
      <c r="D32" s="240" t="s">
        <v>707</v>
      </c>
    </row>
    <row r="33" spans="1:5">
      <c r="A33" s="174" t="s">
        <v>40</v>
      </c>
      <c r="B33" s="38">
        <f>IF( ISERROR(IND_textiel_ele_kWh/1000),0,IND_textiel_ele_kWh/1000)</f>
        <v>39.500999999999998</v>
      </c>
      <c r="C33" s="40">
        <f>IF(ISERROR(B33*3.6/1000000/'E Balans VL '!Z21*100),0,B33*3.6/1000000/'E Balans VL '!Z21*100)</f>
        <v>5.3352094356704446E-3</v>
      </c>
      <c r="D33" s="240" t="s">
        <v>707</v>
      </c>
    </row>
    <row r="34" spans="1:5">
      <c r="A34" s="174" t="s">
        <v>37</v>
      </c>
      <c r="B34" s="38">
        <f>IF( ISERROR(IND_min_ele_kWh/1000),0,IND_min_ele_kWh/1000)</f>
        <v>63.173000000000002</v>
      </c>
      <c r="C34" s="40">
        <f>IF(ISERROR(B34*3.6/1000000/'E Balans VL '!Z22*100),0,B34*3.6/1000000/'E Balans VL '!Z22*100)</f>
        <v>1.269599158158362E-2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2979.3</v>
      </c>
      <c r="C5" s="18">
        <f>'Eigen informatie GS &amp; warmtenet'!B60</f>
        <v>0</v>
      </c>
      <c r="D5" s="31">
        <f>IF(ISERROR(SUM(LB_lb_gas_kWh,LB_rest_gas_kWh,onbekend_gas_kWh)/1000),0,SUM(LB_lb_gas_kWh,LB_rest_gas_kWh,onbekend_gas_kWh)/1000)*0.902</f>
        <v>19.929690000000001</v>
      </c>
      <c r="E5" s="18">
        <f>B17*'E Balans VL '!I25/3.6*1000000/100</f>
        <v>28.067002196481425</v>
      </c>
      <c r="F5" s="18">
        <f>B17*('E Balans VL '!L25/3.6*1000000+'E Balans VL '!N25/3.6*1000000)/100</f>
        <v>9722.4446428353785</v>
      </c>
      <c r="G5" s="19"/>
      <c r="H5" s="18"/>
      <c r="I5" s="18"/>
      <c r="J5" s="18">
        <f>('E Balans VL '!D25+'E Balans VL '!E25)/3.6*1000000*landbouw!B17/100</f>
        <v>368.55390131241637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2979.3</v>
      </c>
      <c r="C8" s="22">
        <f>C5+C6</f>
        <v>0</v>
      </c>
      <c r="D8" s="22">
        <f>MAX((D5+D6),0)</f>
        <v>19.929690000000001</v>
      </c>
      <c r="E8" s="22">
        <f>MAX((E5+E6),0)</f>
        <v>28.067002196481425</v>
      </c>
      <c r="F8" s="22">
        <f>MAX((F5+F6),0)</f>
        <v>9722.4446428353785</v>
      </c>
      <c r="G8" s="22"/>
      <c r="H8" s="22"/>
      <c r="I8" s="22"/>
      <c r="J8" s="22">
        <f>MAX((J5+J6),0)</f>
        <v>368.55390131241637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0.19328377878977349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575.85036214837214</v>
      </c>
      <c r="C12" s="24">
        <f ca="1">C8*C10</f>
        <v>0</v>
      </c>
      <c r="D12" s="24">
        <f>D8*D10</f>
        <v>4.0257973800000002</v>
      </c>
      <c r="E12" s="24">
        <f>E8*E10</f>
        <v>6.3712094986012842</v>
      </c>
      <c r="F12" s="24">
        <f>F8*F10</f>
        <v>2595.8927196370464</v>
      </c>
      <c r="G12" s="24"/>
      <c r="H12" s="24"/>
      <c r="I12" s="24"/>
      <c r="J12" s="24">
        <f>J8*J10</f>
        <v>130.4680810645954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0.40334961230787364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492.55696318127411</v>
      </c>
      <c r="C26" s="250">
        <f>B26*'GWP N2O_CH4'!B5</f>
        <v>10343.696226806756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234.89462452690807</v>
      </c>
      <c r="C27" s="250">
        <f>B27*'GWP N2O_CH4'!B5</f>
        <v>4932.7871150650699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8.5209551514954001</v>
      </c>
      <c r="C28" s="250">
        <f>B28*'GWP N2O_CH4'!B4</f>
        <v>2641.496096963574</v>
      </c>
      <c r="D28" s="51"/>
    </row>
    <row r="29" spans="1:4">
      <c r="A29" s="42" t="s">
        <v>277</v>
      </c>
      <c r="B29" s="250">
        <f>B34*'ha_N2O bodem landbouw'!B4</f>
        <v>19.805675191218416</v>
      </c>
      <c r="C29" s="250">
        <f>B29*'GWP N2O_CH4'!B4</f>
        <v>6139.7593092777088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5.3469088136890398E-3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8.6069229561149589E-6</v>
      </c>
      <c r="C5" s="447" t="s">
        <v>211</v>
      </c>
      <c r="D5" s="432">
        <f>SUM(D6:D11)</f>
        <v>2.5069269353345343E-5</v>
      </c>
      <c r="E5" s="432">
        <f>SUM(E6:E11)</f>
        <v>1.4411676230186366E-3</v>
      </c>
      <c r="F5" s="445" t="s">
        <v>211</v>
      </c>
      <c r="G5" s="432">
        <f>SUM(G6:G11)</f>
        <v>0.28373617941874962</v>
      </c>
      <c r="H5" s="432">
        <f>SUM(H6:H11)</f>
        <v>5.5457181646828585E-2</v>
      </c>
      <c r="I5" s="447" t="s">
        <v>211</v>
      </c>
      <c r="J5" s="447" t="s">
        <v>211</v>
      </c>
      <c r="K5" s="447" t="s">
        <v>211</v>
      </c>
      <c r="L5" s="447" t="s">
        <v>211</v>
      </c>
      <c r="M5" s="432">
        <f>SUM(M6:M11)</f>
        <v>1.5171628490799845E-2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6.5180969941654749E-6</v>
      </c>
      <c r="C6" s="433"/>
      <c r="D6" s="433">
        <f>vkm_2011_GW_PW*SUMIFS(TableVerdeelsleutelVkm[CNG],TableVerdeelsleutelVkm[Voertuigtype],"Lichte voertuigen")*SUMIFS(TableECFTransport[EnergieConsumptieFactor (PJ per km)],TableECFTransport[Index],CONCATENATE($A6,"_CNG_CNG"))</f>
        <v>1.5917302019016289E-5</v>
      </c>
      <c r="E6" s="435">
        <f>vkm_2011_GW_PW*SUMIFS(TableVerdeelsleutelVkm[LPG],TableVerdeelsleutelVkm[Voertuigtype],"Lichte voertuigen")*SUMIFS(TableECFTransport[EnergieConsumptieFactor (PJ per km)],TableECFTransport[Index],CONCATENATE($A6,"_LPG_LPG"))</f>
        <v>9.4349540528260417E-4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0.13639335961952223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3.5744781047641193E-2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7.7086629509052276E-3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7.3181438443594621E-2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2.9525857307520767E-5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3.2602104404836265E-3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2.0888259619494844E-6</v>
      </c>
      <c r="C8" s="433"/>
      <c r="D8" s="435">
        <f>vkm_2011_NGW_PW*SUMIFS(TableVerdeelsleutelVkm[CNG],TableVerdeelsleutelVkm[Voertuigtype],"Lichte voertuigen")*SUMIFS(TableECFTransport[EnergieConsumptieFactor (PJ per km)],TableECFTransport[Index],CONCATENATE($A8,"_CNG_CNG"))</f>
        <v>9.1519673343290538E-6</v>
      </c>
      <c r="E8" s="435">
        <f>vkm_2011_NGW_PW*SUMIFS(TableVerdeelsleutelVkm[LPG],TableVerdeelsleutelVkm[Voertuigtype],"Lichte voertuigen")*SUMIFS(TableECFTransport[EnergieConsumptieFactor (PJ per km)],TableECFTransport[Index],CONCATENATE($A8,"_LPG_LPG"))</f>
        <v>4.9767221773603244E-4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6.7964767398522738E-2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1.9680697922654897E-2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3.9267126507257881E-3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6.1966139571100146E-3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2.1768192249693732E-6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2.7604244868520308E-4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2.390811932254155</v>
      </c>
      <c r="C14" s="22"/>
      <c r="D14" s="22">
        <f t="shared" ref="D14:M14" si="0">((D5)*10^9/3600)+D12</f>
        <v>6.9636859314848172</v>
      </c>
      <c r="E14" s="22">
        <f t="shared" si="0"/>
        <v>400.32433972739904</v>
      </c>
      <c r="F14" s="22"/>
      <c r="G14" s="22">
        <f t="shared" si="0"/>
        <v>78815.605394097118</v>
      </c>
      <c r="H14" s="22">
        <f t="shared" si="0"/>
        <v>15404.772679674606</v>
      </c>
      <c r="I14" s="22"/>
      <c r="J14" s="22"/>
      <c r="K14" s="22"/>
      <c r="L14" s="22"/>
      <c r="M14" s="22">
        <f t="shared" si="0"/>
        <v>4214.3412474444012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0.19328377878977349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0.46210516464176299</v>
      </c>
      <c r="C18" s="24"/>
      <c r="D18" s="24">
        <f t="shared" ref="D18:M18" si="1">D14*D16</f>
        <v>1.4066645581599331</v>
      </c>
      <c r="E18" s="24">
        <f t="shared" si="1"/>
        <v>90.873625118119577</v>
      </c>
      <c r="F18" s="24"/>
      <c r="G18" s="24">
        <f t="shared" si="1"/>
        <v>21043.76664022393</v>
      </c>
      <c r="H18" s="24">
        <f t="shared" si="1"/>
        <v>3835.7883972389768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7.0752638485003282E-3</v>
      </c>
      <c r="H50" s="323">
        <f t="shared" si="2"/>
        <v>0</v>
      </c>
      <c r="I50" s="323">
        <f t="shared" si="2"/>
        <v>0</v>
      </c>
      <c r="J50" s="323">
        <f t="shared" si="2"/>
        <v>0</v>
      </c>
      <c r="K50" s="323">
        <f t="shared" si="2"/>
        <v>0</v>
      </c>
      <c r="L50" s="323">
        <f t="shared" si="2"/>
        <v>0</v>
      </c>
      <c r="M50" s="323">
        <f t="shared" si="2"/>
        <v>3.1068650696542489E-4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7.0752638485003282E-3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3.1068650696542489E-4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1965.351069027869</v>
      </c>
      <c r="H54" s="22">
        <f t="shared" si="3"/>
        <v>0</v>
      </c>
      <c r="I54" s="22">
        <f t="shared" si="3"/>
        <v>0</v>
      </c>
      <c r="J54" s="22">
        <f t="shared" si="3"/>
        <v>0</v>
      </c>
      <c r="K54" s="22">
        <f t="shared" si="3"/>
        <v>0</v>
      </c>
      <c r="L54" s="22">
        <f t="shared" si="3"/>
        <v>0</v>
      </c>
      <c r="M54" s="22">
        <f t="shared" si="3"/>
        <v>86.301807490395802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0.19328377878977349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524.748735430441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5361.2590872026176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5361.2590872026176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2018-06-27T09:20:54Z</dcterms:modified>
</cp:coreProperties>
</file>