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L12" i="17" l="1"/>
  <c r="M48" i="14" s="1"/>
  <c r="E12" i="17"/>
  <c r="F48" i="14" s="1"/>
  <c r="M14" i="22"/>
  <c r="J78" i="14"/>
  <c r="J81" s="1"/>
  <c r="I19" i="18"/>
  <c r="G14" i="22"/>
  <c r="G18" s="1"/>
  <c r="H45" i="14" s="1"/>
  <c r="I7" i="18"/>
  <c r="J67" i="14" s="1"/>
  <c r="E7" i="48"/>
  <c r="E24" s="1"/>
  <c r="J7" i="18"/>
  <c r="M7" s="1"/>
  <c r="M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9" i="18" l="1"/>
  <c r="K67" i="14"/>
  <c r="K69" s="1"/>
  <c r="D14" i="48"/>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14"/>
  <c r="R10" i="14"/>
  <c r="C67" l="1"/>
  <c r="C69" s="1"/>
  <c r="J31" i="48"/>
  <c r="E25"/>
  <c r="E31" s="1"/>
  <c r="E14"/>
  <c r="N25"/>
  <c r="N14"/>
  <c r="E22" i="16"/>
  <c r="F39" i="14" s="1"/>
  <c r="F41" s="1"/>
  <c r="F53" s="1"/>
  <c r="J22" i="16"/>
  <c r="K39" i="14" s="1"/>
  <c r="K41" s="1"/>
  <c r="K53" s="1"/>
  <c r="Q8" i="48"/>
  <c r="Q14" s="1"/>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<sst xmlns="http://schemas.openxmlformats.org/spreadsheetml/2006/main" count="2036" uniqueCount="886">
  <si>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</si>
  <si>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</si>
  <si>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</si>
  <si>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</si>
  <si>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</si>
  <si>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</si>
  <si>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</si>
  <si>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</si>
  <si>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</si>
  <si>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</si>
  <si>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</si>
  <si>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</si>
  <si>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</si>
  <si>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</si>
  <si>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</si>
  <si>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</si>
  <si>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</si>
  <si>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</si>
  <si>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</si>
  <si>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</si>
  <si>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</si>
  <si>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</si>
  <si>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</si>
  <si>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</si>
  <si>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</si>
  <si>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</si>
  <si>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</si>
  <si>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</si>
  <si>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</si>
  <si>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</si>
  <si>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</si>
  <si>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</si>
  <si>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</si>
  <si>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</si>
  <si>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</si>
  <si>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</si>
  <si>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</si>
  <si>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</si>
  <si>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</si>
  <si>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</si>
  <si>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</si>
  <si>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</si>
  <si>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</si>
  <si>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</si>
  <si>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</si>
  <si>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</si>
  <si>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</si>
  <si>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</si>
  <si>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</si>
  <si>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</si>
  <si>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</si>
  <si>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</si>
  <si>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</si>
  <si>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</si>
  <si>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</si>
  <si>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</si>
  <si>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</si>
  <si>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</si>
  <si>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</si>
  <si>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</si>
  <si>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</si>
  <si>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</si>
  <si>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</si>
  <si>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</si>
  <si>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</si>
  <si>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</si>
  <si>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</si>
  <si>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</si>
  <si>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</si>
  <si>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</si>
  <si>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</si>
  <si>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</si>
  <si>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</si>
  <si>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</si>
  <si>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</si>
  <si>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</si>
  <si>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</si>
  <si>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</si>
  <si>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</si>
  <si>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</si>
  <si>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</si>
  <si>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</si>
  <si>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</si>
  <si>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</si>
  <si>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</si>
  <si>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</si>
  <si>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</si>
  <si>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</si>
  <si>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</si>
  <si>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</si>
  <si>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</si>
  <si>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</si>
  <si>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</si>
  <si>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</si>
  <si>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</si>
  <si>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</si>
  <si>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</si>
  <si>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</si>
  <si>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</si>
  <si>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</si>
  <si>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</si>
  <si>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</si>
  <si>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</si>
  <si>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</si>
  <si>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</si>
  <si>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</si>
  <si>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</si>
  <si>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</si>
  <si>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</si>
  <si>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</si>
  <si>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</si>
  <si>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</si>
  <si>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</si>
  <si>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</si>
  <si>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</si>
  <si>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</si>
  <si>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</si>
  <si>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</si>
  <si>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</si>
  <si>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</si>
  <si>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</si>
  <si>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</si>
  <si>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</si>
  <si>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</si>
  <si>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</si>
  <si>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</si>
  <si>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</si>
  <si>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</si>
  <si>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</si>
  <si>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</si>
  <si>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</si>
  <si>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</si>
  <si>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</si>
  <si>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</si>
  <si>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</si>
  <si>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</si>
  <si>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</si>
  <si>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</si>
  <si>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</si>
  <si>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</si>
  <si>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</si>
  <si>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</si>
  <si>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</si>
  <si>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</si>
  <si>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</si>
  <si>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</si>
  <si>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</si>
  <si>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</si>
  <si>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</si>
  <si>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</si>
  <si>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</si>
  <si>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</si>
  <si>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</si>
  <si>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</si>
  <si>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</si>
  <si>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</si>
  <si>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</si>
  <si>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</si>
  <si>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</si>
  <si>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</si>
  <si>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</si>
  <si>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</si>
  <si>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</si>
  <si>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</si>
  <si>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</si>
  <si>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</si>
  <si>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</si>
  <si>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</si>
  <si>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</si>
  <si>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</si>
  <si>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</si>
  <si>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</si>
  <si>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</si>
  <si>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</si>
  <si>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</si>
  <si>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</si>
  <si>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</si>
  <si>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</si>
  <si>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</si>
  <si>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</si>
  <si>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</si>
  <si>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</si>
  <si>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</si>
  <si>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</si>
  <si>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</si>
  <si>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</si>
  <si>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</si>
  <si>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</si>
  <si>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</si>
  <si>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</si>
  <si>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</si>
  <si>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</si>
  <si>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</si>
  <si>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</si>
  <si>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</si>
  <si>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</si>
  <si>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</si>
  <si>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</si>
  <si>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</si>
  <si>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</si>
  <si>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</si>
  <si>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</si>
  <si>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</si>
  <si>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</si>
  <si>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</si>
  <si>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</si>
  <si>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</si>
  <si>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</si>
  <si>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</si>
  <si>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</si>
  <si>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</si>
  <si>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</si>
  <si>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</si>
  <si>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</si>
  <si>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</si>
  <si>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</si>
  <si>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</si>
  <si>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</si>
  <si>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</si>
  <si>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</si>
  <si>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</si>
  <si>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</si>
  <si>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</si>
  <si>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</si>
  <si>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</si>
  <si>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</si>
  <si>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</si>
  <si>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</si>
  <si>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</si>
  <si>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</si>
  <si>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</si>
  <si>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</si>
  <si>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</si>
  <si>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</si>
  <si>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</si>
  <si>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</si>
  <si>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</si>
  <si>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</si>
  <si>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</si>
  <si>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</si>
  <si>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</si>
  <si>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</si>
  <si>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</si>
  <si>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</si>
  <si>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</si>
  <si>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</si>
  <si>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</si>
  <si>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</si>
  <si>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</si>
  <si>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</si>
  <si>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</si>
  <si>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</si>
  <si>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</si>
  <si>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</si>
  <si>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</si>
  <si>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</si>
  <si>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</si>
  <si>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</si>
  <si>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</si>
  <si>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</si>
  <si>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</si>
  <si>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</si>
  <si>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</si>
  <si>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</si>
  <si>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</si>
  <si>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</si>
  <si>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</si>
  <si>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</si>
  <si>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</si>
  <si>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</si>
  <si>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</si>
  <si>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</si>
  <si>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</si>
  <si>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</si>
  <si>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</si>
  <si>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</si>
  <si>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</si>
  <si>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</si>
  <si>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</si>
  <si>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</si>
  <si>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</si>
  <si>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</si>
  <si>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</si>
  <si>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</si>
  <si>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</si>
  <si>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</si>
  <si>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</si>
  <si>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</si>
  <si>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</si>
  <si>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</si>
  <si>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</si>
  <si>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</si>
  <si>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</si>
  <si>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</si>
  <si>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</si>
  <si>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</si>
  <si>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</si>
  <si>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</si>
  <si>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</si>
  <si>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</si>
  <si>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</si>
  <si>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</si>
  <si>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</si>
  <si>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</si>
  <si>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</si>
  <si>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</si>
  <si>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</si>
  <si>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</si>
  <si>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</si>
  <si>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</si>
  <si>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</si>
  <si>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</si>
  <si>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</si>
  <si>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</si>
  <si>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</si>
  <si>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</si>
  <si>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</si>
  <si>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</si>
  <si>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</si>
  <si>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</si>
  <si>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</si>
  <si>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</si>
  <si>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</si>
  <si>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</si>
  <si>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</si>
  <si>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</si>
  <si>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</si>
  <si>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</si>
  <si>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</si>
  <si>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</si>
  <si>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</si>
  <si>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</si>
  <si>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</si>
  <si>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</si>
  <si>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</si>
  <si>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</si>
  <si>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</si>
  <si>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</si>
  <si>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</si>
  <si>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</si>
  <si>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</si>
  <si>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</si>
  <si>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</si>
  <si>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</si>
  <si>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</si>
  <si>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</si>
  <si>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</si>
  <si>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</si>
  <si>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</si>
  <si>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</si>
  <si>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</si>
  <si>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</si>
  <si>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</si>
  <si>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</si>
  <si>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</si>
  <si>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</si>
  <si>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</si>
  <si>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</si>
  <si>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</si>
  <si>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</si>
  <si>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</si>
  <si>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</si>
  <si>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</si>
  <si>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</si>
  <si>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</si>
  <si>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</si>
  <si>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</si>
  <si>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</si>
  <si>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</si>
  <si>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</si>
  <si>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</si>
  <si>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</si>
  <si>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</si>
  <si>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</si>
  <si>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</si>
  <si>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</si>
  <si>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</si>
  <si>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</si>
  <si>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</si>
  <si>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</si>
  <si>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</si>
  <si>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</si>
  <si>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</si>
  <si>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</si>
  <si>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</si>
  <si>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</si>
  <si>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</si>
  <si>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</si>
  <si>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</si>
  <si>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</si>
  <si>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</si>
  <si>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</si>
  <si>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</si>
  <si>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</si>
  <si>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</si>
  <si>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</si>
  <si>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</si>
  <si>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</si>
  <si>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</si>
  <si>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</si>
  <si>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</si>
  <si>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</si>
  <si>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</si>
  <si>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</si>
  <si>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</si>
  <si>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</si>
  <si>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</si>
  <si>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</si>
  <si>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</si>
  <si>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</si>
  <si>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</si>
  <si>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</si>
  <si>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</si>
  <si>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</si>
  <si>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</si>
  <si>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</si>
  <si>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</si>
  <si>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</si>
  <si>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</si>
  <si>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</si>
  <si>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</si>
  <si>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</si>
  <si>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</si>
  <si>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</si>
  <si>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</si>
  <si>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</si>
  <si>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</si>
  <si>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</si>
  <si>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</si>
  <si>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</si>
  <si>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</si>
  <si>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</si>
  <si>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</si>
  <si>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</si>
  <si>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</si>
  <si>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</si>
  <si>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</si>
  <si>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</si>
  <si>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</si>
  <si>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</si>
  <si>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</si>
  <si>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</si>
  <si>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</si>
  <si>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</si>
  <si>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</si>
  <si>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</si>
  <si>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</si>
  <si>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</si>
  <si>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</si>
  <si>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</si>
  <si>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</si>
  <si>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</si>
  <si>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</si>
  <si>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</si>
  <si>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</si>
  <si>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</si>
  <si>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</si>
  <si>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</si>
  <si>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</si>
  <si>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</si>
  <si>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</si>
  <si>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</si>
  <si>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</si>
  <si>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</si>
  <si>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</si>
  <si>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</si>
  <si>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</si>
  <si>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</si>
  <si>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</si>
  <si>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</si>
  <si>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</si>
  <si>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</si>
  <si>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</si>
  <si>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</si>
  <si>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</si>
  <si>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</si>
  <si>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</si>
  <si>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</si>
  <si>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</si>
  <si>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</si>
  <si>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</si>
  <si>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</si>
  <si>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</si>
  <si>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</si>
  <si>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</si>
  <si>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</si>
  <si>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</si>
  <si>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</si>
  <si>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</si>
  <si>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</si>
  <si>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</si>
  <si>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</si>
  <si>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</si>
  <si>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</si>
  <si>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</si>
  <si>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</si>
  <si>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</si>
  <si>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</si>
  <si>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</si>
  <si>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</si>
  <si>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</si>
  <si>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</si>
  <si>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</si>
  <si>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</si>
  <si>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</si>
  <si>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</si>
  <si>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</si>
  <si>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</si>
  <si>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</si>
  <si>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</si>
  <si>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</si>
  <si>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</si>
  <si>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</si>
  <si>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</si>
  <si>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</si>
  <si>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</si>
  <si>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</si>
  <si>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</si>
  <si>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</si>
  <si>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</si>
  <si>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</si>
  <si>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</si>
  <si>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</si>
  <si>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</si>
  <si>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</si>
  <si>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</si>
  <si>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</si>
  <si>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</si>
  <si>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</si>
  <si>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</si>
  <si>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</si>
  <si>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</si>
  <si>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</si>
  <si>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</si>
  <si>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</si>
  <si>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</si>
  <si>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</si>
  <si>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</si>
  <si>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</si>
  <si>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</si>
  <si>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</si>
  <si>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</si>
  <si>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</si>
  <si>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</si>
  <si>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</si>
  <si>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</si>
  <si>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</si>
  <si>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</si>
  <si>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</si>
  <si>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</si>
  <si>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</si>
  <si>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</si>
  <si>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</si>
  <si>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</si>
  <si>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</si>
  <si>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</si>
  <si>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</si>
  <si>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</si>
  <si>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</si>
  <si>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</si>
  <si>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</si>
  <si>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</si>
  <si>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</si>
  <si>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</si>
  <si>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</si>
  <si>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</si>
  <si>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</si>
  <si>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</si>
  <si>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</si>
  <si>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</si>
  <si>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</si>
  <si>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</si>
  <si>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</si>
  <si>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</si>
  <si>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</si>
  <si>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</si>
  <si>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</si>
  <si>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</si>
  <si>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</si>
  <si>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</si>
  <si>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</si>
  <si>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</si>
  <si>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</si>
  <si>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</si>
  <si>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</si>
  <si>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</si>
  <si>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</si>
  <si>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</si>
  <si>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</si>
  <si>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</si>
  <si>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</si>
  <si>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</si>
  <si>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</si>
  <si>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</si>
  <si>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</si>
  <si>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</si>
  <si>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</si>
  <si>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</si>
  <si>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</si>
  <si>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</si>
  <si>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</si>
  <si>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</si>
  <si>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</si>
  <si>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</si>
  <si>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</si>
  <si>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</si>
  <si>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</si>
  <si>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</si>
  <si>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</si>
  <si>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</si>
  <si>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</si>
  <si>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</si>
  <si>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</si>
  <si>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</si>
  <si>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</si>
  <si>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</si>
  <si>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</si>
  <si>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</si>
  <si>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</si>
  <si>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</si>
  <si>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</si>
  <si>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</si>
  <si>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</si>
  <si>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</si>
  <si>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</si>
  <si>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</si>
  <si>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</si>
  <si>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</si>
  <si>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</si>
  <si>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</si>
  <si>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</si>
  <si>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</si>
  <si>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</si>
  <si>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</si>
  <si>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</si>
  <si>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</si>
  <si>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</si>
  <si>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</si>
  <si>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</si>
  <si>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</si>
  <si>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</si>
  <si>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</si>
  <si>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</si>
  <si>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</si>
  <si>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</si>
  <si>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</si>
  <si>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</si>
  <si>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</si>
  <si>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</si>
  <si>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</si>
  <si>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</si>
  <si>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</si>
  <si>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</si>
  <si>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</si>
  <si>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</si>
  <si>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</si>
  <si>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</si>
  <si>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</si>
  <si>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</si>
  <si>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</si>
  <si>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</si>
  <si>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</si>
  <si>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</si>
  <si>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</si>
  <si>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</si>
  <si>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</si>
  <si>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</si>
  <si>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</si>
  <si>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</si>
  <si>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</si>
  <si>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</si>
  <si>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</si>
  <si>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</si>
  <si>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</si>
  <si>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</si>
  <si>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</si>
  <si>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</si>
  <si>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</si>
  <si>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</si>
  <si>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</si>
  <si>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</si>
  <si>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</si>
  <si>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</si>
  <si>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</si>
  <si>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</si>
  <si>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</si>
  <si>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</si>
  <si>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</si>
  <si>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</si>
  <si>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</si>
  <si>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</si>
  <si>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</si>
  <si>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</si>
  <si>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</si>
  <si>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</si>
  <si>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</si>
  <si>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</si>
  <si>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</si>
  <si>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</si>
  <si>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</si>
  <si>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</si>
  <si>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</si>
  <si>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</si>
  <si>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</si>
  <si>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</si>
  <si>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</si>
  <si>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</si>
  <si>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</si>
  <si>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</si>
  <si>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</si>
  <si>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</si>
  <si>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</si>
  <si>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</si>
  <si>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</si>
  <si>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</si>
  <si>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</si>
  <si>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</si>
  <si>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</si>
  <si>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</si>
  <si>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</si>
  <si>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</si>
  <si>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</si>
  <si>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</si>
  <si>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</si>
  <si>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</si>
  <si>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</si>
  <si>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</si>
  <si>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</si>
  <si>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</si>
  <si>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</si>
  <si>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</si>
  <si>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</si>
  <si>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</si>
  <si>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</si>
  <si>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</si>
  <si>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</si>
  <si>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</si>
  <si>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</si>
  <si>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</si>
  <si>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</si>
  <si>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</si>
  <si>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</si>
  <si>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</si>
  <si>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</si>
  <si>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</si>
  <si>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</si>
  <si>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</si>
  <si>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</si>
  <si>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</si>
  <si>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</si>
  <si>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</si>
  <si>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</si>
  <si>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</si>
  <si>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</si>
  <si>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</si>
  <si>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</si>
  <si>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</si>
  <si>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</si>
  <si>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</si>
  <si>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</si>
  <si>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</si>
  <si>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</si>
  <si>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</si>
  <si>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</si>
  <si>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</si>
  <si>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</si>
  <si>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</si>
  <si>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</si>
  <si>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</si>
  <si>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</si>
  <si>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</si>
  <si>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</si>
  <si>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</si>
  <si>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</si>
  <si>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</si>
  <si>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</si>
  <si>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</si>
  <si>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</si>
  <si>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</si>
  <si>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</si>
  <si>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</si>
  <si>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</si>
  <si>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</si>
  <si>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</si>
  <si>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</si>
  <si>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</si>
  <si>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</si>
  <si>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</si>
  <si>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</si>
  <si>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</si>
  <si>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</si>
  <si>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</si>
  <si>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</si>
  <si>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</si>
  <si>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</si>
  <si>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</si>
  <si>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</si>
  <si>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</si>
  <si>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</si>
  <si>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</si>
  <si>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</si>
  <si>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</si>
  <si>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</si>
  <si>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</si>
  <si>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</si>
  <si>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</si>
  <si>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</si>
  <si>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</si>
  <si>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</si>
  <si>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</si>
  <si>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</si>
  <si>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</si>
  <si>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</si>
  <si>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</si>
  <si>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</si>
  <si>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</si>
  <si>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</si>
  <si>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</si>
  <si>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</si>
  <si>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</si>
  <si>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</si>
  <si>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</si>
  <si>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</si>
  <si>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</si>
  <si>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</si>
  <si>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</si>
  <si>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</si>
  <si>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</si>
  <si>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</si>
  <si>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</si>
  <si>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</si>
  <si>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</si>
  <si>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</si>
  <si>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</si>
  <si>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</si>
  <si>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</si>
  <si>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</si>
  <si>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</si>
  <si>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</si>
  <si>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</si>
  <si>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</si>
  <si>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</si>
  <si>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</si>
  <si>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</si>
  <si>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</si>
  <si>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</si>
  <si>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</si>
  <si>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</si>
  <si>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</si>
  <si>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</si>
  <si>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</si>
  <si>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</si>
  <si>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</si>
  <si>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</si>
  <si>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</si>
  <si>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</si>
  <si>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</si>
  <si>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</si>
  <si>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</si>
  <si>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</si>
  <si>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</si>
  <si>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</si>
  <si>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</si>
  <si>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</si>
  <si>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</si>
  <si>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</si>
  <si>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</si>
  <si>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</si>
  <si>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</si>
  <si>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</si>
  <si>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</si>
  <si>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72003</t>
  </si>
  <si>
    <t>BOCHOLT</t>
  </si>
  <si>
    <t>Paarden&amp;pony's 200 - 600 kg</t>
  </si>
  <si>
    <t>Paarden&amp;pony's &lt; 200 kg</t>
  </si>
  <si>
    <t>op basis van VEA (maart 2018) en Inventaris Hernieuwbare Energiebronnen (juni 2018)</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</si>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</sst>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72003</v>
      </c>
      <c r="B6" s="397"/>
      <c r="C6" s="398"/>
    </row>
    <row r="7" spans="1:7" s="395" customFormat="1" ht="15.75" customHeight="1">
      <c r="A7" s="399" t="str">
        <f>txtMunicipality</f>
        <v>BOCHOLT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72003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5015</v>
      </c>
      <c r="C9" s="338">
        <v>5383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3168</v>
      </c>
    </row>
    <row r="15" spans="1:6">
      <c r="A15" s="1205" t="s">
        <v>184</v>
      </c>
      <c r="B15" s="335">
        <v>71</v>
      </c>
    </row>
    <row r="16" spans="1:6">
      <c r="A16" s="1205" t="s">
        <v>6</v>
      </c>
      <c r="B16" s="335">
        <v>3303</v>
      </c>
    </row>
    <row r="17" spans="1:6">
      <c r="A17" s="1205" t="s">
        <v>7</v>
      </c>
      <c r="B17" s="335">
        <v>382</v>
      </c>
    </row>
    <row r="18" spans="1:6">
      <c r="A18" s="1205" t="s">
        <v>8</v>
      </c>
      <c r="B18" s="335">
        <v>1746</v>
      </c>
    </row>
    <row r="19" spans="1:6">
      <c r="A19" s="1205" t="s">
        <v>9</v>
      </c>
      <c r="B19" s="335">
        <v>1750</v>
      </c>
    </row>
    <row r="20" spans="1:6">
      <c r="A20" s="1205" t="s">
        <v>10</v>
      </c>
      <c r="B20" s="335">
        <v>1135</v>
      </c>
    </row>
    <row r="21" spans="1:6">
      <c r="A21" s="1205" t="s">
        <v>11</v>
      </c>
      <c r="B21" s="335">
        <v>12983</v>
      </c>
    </row>
    <row r="22" spans="1:6">
      <c r="A22" s="1205" t="s">
        <v>12</v>
      </c>
      <c r="B22" s="335">
        <v>25467</v>
      </c>
    </row>
    <row r="23" spans="1:6">
      <c r="A23" s="1205" t="s">
        <v>13</v>
      </c>
      <c r="B23" s="335">
        <v>655</v>
      </c>
    </row>
    <row r="24" spans="1:6">
      <c r="A24" s="1205" t="s">
        <v>14</v>
      </c>
      <c r="B24" s="335">
        <v>115</v>
      </c>
    </row>
    <row r="25" spans="1:6">
      <c r="A25" s="1205" t="s">
        <v>15</v>
      </c>
      <c r="B25" s="335">
        <v>3179</v>
      </c>
    </row>
    <row r="26" spans="1:6">
      <c r="A26" s="1205" t="s">
        <v>16</v>
      </c>
      <c r="B26" s="335">
        <v>23</v>
      </c>
    </row>
    <row r="27" spans="1:6">
      <c r="A27" s="1205" t="s">
        <v>17</v>
      </c>
      <c r="B27" s="335">
        <v>10</v>
      </c>
    </row>
    <row r="28" spans="1:6" s="341" customFormat="1">
      <c r="A28" s="1206" t="s">
        <v>18</v>
      </c>
      <c r="B28" s="1206">
        <v>157632</v>
      </c>
    </row>
    <row r="29" spans="1:6">
      <c r="A29" s="1206" t="s">
        <v>873</v>
      </c>
      <c r="B29" s="1206">
        <v>381</v>
      </c>
      <c r="C29" s="341"/>
      <c r="D29" s="341"/>
      <c r="E29" s="341"/>
      <c r="F29" s="341"/>
    </row>
    <row r="30" spans="1:6">
      <c r="A30" s="1201" t="s">
        <v>874</v>
      </c>
      <c r="B30" s="1201">
        <v>54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8</v>
      </c>
      <c r="F36" s="335">
        <v>27655</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1916</v>
      </c>
      <c r="D39" s="335">
        <v>31195203</v>
      </c>
      <c r="E39" s="335">
        <v>5002</v>
      </c>
      <c r="F39" s="335">
        <v>21495154</v>
      </c>
    </row>
    <row r="40" spans="1:6">
      <c r="A40" s="1205" t="s">
        <v>30</v>
      </c>
      <c r="B40" s="1205" t="s">
        <v>29</v>
      </c>
      <c r="C40" s="335">
        <v>0</v>
      </c>
      <c r="D40" s="335">
        <v>0</v>
      </c>
      <c r="E40" s="335">
        <v>0</v>
      </c>
      <c r="F40" s="335">
        <v>0</v>
      </c>
    </row>
    <row r="41" spans="1:6">
      <c r="A41" s="1205" t="s">
        <v>32</v>
      </c>
      <c r="B41" s="1205" t="s">
        <v>33</v>
      </c>
      <c r="C41" s="335">
        <v>19</v>
      </c>
      <c r="D41" s="335">
        <v>571445</v>
      </c>
      <c r="E41" s="335">
        <v>87</v>
      </c>
      <c r="F41" s="335">
        <v>5393290</v>
      </c>
    </row>
    <row r="42" spans="1:6">
      <c r="A42" s="1205" t="s">
        <v>32</v>
      </c>
      <c r="B42" s="1205" t="s">
        <v>34</v>
      </c>
      <c r="C42" s="335">
        <v>0</v>
      </c>
      <c r="D42" s="335">
        <v>0</v>
      </c>
      <c r="E42" s="335">
        <v>0</v>
      </c>
      <c r="F42" s="335">
        <v>0</v>
      </c>
    </row>
    <row r="43" spans="1:6">
      <c r="A43" s="1205" t="s">
        <v>32</v>
      </c>
      <c r="B43" s="1205" t="s">
        <v>35</v>
      </c>
      <c r="C43" s="335">
        <v>0</v>
      </c>
      <c r="D43" s="335">
        <v>0</v>
      </c>
      <c r="E43" s="335">
        <v>3</v>
      </c>
      <c r="F43" s="335">
        <v>1775574</v>
      </c>
    </row>
    <row r="44" spans="1:6">
      <c r="A44" s="1205" t="s">
        <v>32</v>
      </c>
      <c r="B44" s="1205" t="s">
        <v>36</v>
      </c>
      <c r="C44" s="335">
        <v>6</v>
      </c>
      <c r="D44" s="335">
        <v>152284</v>
      </c>
      <c r="E44" s="335">
        <v>12</v>
      </c>
      <c r="F44" s="335">
        <v>352561</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4</v>
      </c>
      <c r="D47" s="335">
        <v>813661</v>
      </c>
      <c r="E47" s="335">
        <v>0</v>
      </c>
      <c r="F47" s="335">
        <v>0</v>
      </c>
    </row>
    <row r="48" spans="1:6">
      <c r="A48" s="1205" t="s">
        <v>32</v>
      </c>
      <c r="B48" s="1205" t="s">
        <v>29</v>
      </c>
      <c r="C48" s="335">
        <v>2</v>
      </c>
      <c r="D48" s="335">
        <v>105946</v>
      </c>
      <c r="E48" s="335">
        <v>1</v>
      </c>
      <c r="F48" s="335">
        <v>56185</v>
      </c>
    </row>
    <row r="49" spans="1:6">
      <c r="A49" s="1205" t="s">
        <v>32</v>
      </c>
      <c r="B49" s="1205" t="s">
        <v>40</v>
      </c>
      <c r="C49" s="335">
        <v>0</v>
      </c>
      <c r="D49" s="335">
        <v>0</v>
      </c>
      <c r="E49" s="335">
        <v>6</v>
      </c>
      <c r="F49" s="335">
        <v>106157</v>
      </c>
    </row>
    <row r="50" spans="1:6">
      <c r="A50" s="1205" t="s">
        <v>32</v>
      </c>
      <c r="B50" s="1205" t="s">
        <v>41</v>
      </c>
      <c r="C50" s="335">
        <v>8</v>
      </c>
      <c r="D50" s="335">
        <v>43562664</v>
      </c>
      <c r="E50" s="335">
        <v>12</v>
      </c>
      <c r="F50" s="335">
        <v>22827954</v>
      </c>
    </row>
    <row r="51" spans="1:6">
      <c r="A51" s="1205" t="s">
        <v>42</v>
      </c>
      <c r="B51" s="1205" t="s">
        <v>43</v>
      </c>
      <c r="C51" s="335">
        <v>0</v>
      </c>
      <c r="D51" s="335">
        <v>0</v>
      </c>
      <c r="E51" s="335">
        <v>122</v>
      </c>
      <c r="F51" s="335">
        <v>3500579</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79</v>
      </c>
      <c r="F54" s="335">
        <v>868968</v>
      </c>
    </row>
    <row r="55" spans="1:6">
      <c r="A55" s="1205" t="s">
        <v>46</v>
      </c>
      <c r="B55" s="1205" t="s">
        <v>29</v>
      </c>
      <c r="C55" s="335">
        <v>0</v>
      </c>
      <c r="D55" s="335">
        <v>0</v>
      </c>
      <c r="E55" s="335">
        <v>0</v>
      </c>
      <c r="F55" s="335">
        <v>0</v>
      </c>
    </row>
    <row r="56" spans="1:6">
      <c r="A56" s="1205" t="s">
        <v>48</v>
      </c>
      <c r="B56" s="1205" t="s">
        <v>29</v>
      </c>
      <c r="C56" s="335">
        <v>12</v>
      </c>
      <c r="D56" s="335">
        <v>490282</v>
      </c>
      <c r="E56" s="335">
        <v>47</v>
      </c>
      <c r="F56" s="335">
        <v>260758</v>
      </c>
    </row>
    <row r="57" spans="1:6">
      <c r="A57" s="1205" t="s">
        <v>49</v>
      </c>
      <c r="B57" s="1205" t="s">
        <v>50</v>
      </c>
      <c r="C57" s="335">
        <v>12</v>
      </c>
      <c r="D57" s="335">
        <v>4136495</v>
      </c>
      <c r="E57" s="335">
        <v>54</v>
      </c>
      <c r="F57" s="335">
        <v>1545423</v>
      </c>
    </row>
    <row r="58" spans="1:6">
      <c r="A58" s="1205" t="s">
        <v>49</v>
      </c>
      <c r="B58" s="1205" t="s">
        <v>51</v>
      </c>
      <c r="C58" s="335">
        <v>8</v>
      </c>
      <c r="D58" s="335">
        <v>1304377</v>
      </c>
      <c r="E58" s="335">
        <v>17</v>
      </c>
      <c r="F58" s="335">
        <v>542178</v>
      </c>
    </row>
    <row r="59" spans="1:6">
      <c r="A59" s="1205" t="s">
        <v>49</v>
      </c>
      <c r="B59" s="1205" t="s">
        <v>52</v>
      </c>
      <c r="C59" s="335">
        <v>41</v>
      </c>
      <c r="D59" s="335">
        <v>1100006</v>
      </c>
      <c r="E59" s="335">
        <v>113</v>
      </c>
      <c r="F59" s="335">
        <v>3362626</v>
      </c>
    </row>
    <row r="60" spans="1:6">
      <c r="A60" s="1205" t="s">
        <v>49</v>
      </c>
      <c r="B60" s="1205" t="s">
        <v>53</v>
      </c>
      <c r="C60" s="335">
        <v>24</v>
      </c>
      <c r="D60" s="335">
        <v>939337</v>
      </c>
      <c r="E60" s="335">
        <v>59</v>
      </c>
      <c r="F60" s="335">
        <v>1970764</v>
      </c>
    </row>
    <row r="61" spans="1:6">
      <c r="A61" s="1205" t="s">
        <v>49</v>
      </c>
      <c r="B61" s="1205" t="s">
        <v>54</v>
      </c>
      <c r="C61" s="335">
        <v>39</v>
      </c>
      <c r="D61" s="335">
        <v>22713544</v>
      </c>
      <c r="E61" s="335">
        <v>180</v>
      </c>
      <c r="F61" s="335">
        <v>24313962</v>
      </c>
    </row>
    <row r="62" spans="1:6">
      <c r="A62" s="1205" t="s">
        <v>49</v>
      </c>
      <c r="B62" s="1205" t="s">
        <v>55</v>
      </c>
      <c r="C62" s="335">
        <v>7</v>
      </c>
      <c r="D62" s="335">
        <v>604827</v>
      </c>
      <c r="E62" s="335">
        <v>15</v>
      </c>
      <c r="F62" s="335">
        <v>225635</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4</v>
      </c>
      <c r="F68" s="335">
        <v>60459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42573475</v>
      </c>
      <c r="E73" s="335">
        <v>44282030.61318443</v>
      </c>
    </row>
    <row r="74" spans="1:6">
      <c r="A74" s="1205" t="s">
        <v>64</v>
      </c>
      <c r="B74" s="1205" t="s">
        <v>772</v>
      </c>
      <c r="C74" s="1216" t="s">
        <v>766</v>
      </c>
      <c r="D74" s="335">
        <v>5111090.4523829902</v>
      </c>
      <c r="E74" s="335">
        <v>5516243.3945420822</v>
      </c>
    </row>
    <row r="75" spans="1:6">
      <c r="A75" s="1205" t="s">
        <v>65</v>
      </c>
      <c r="B75" s="1205" t="s">
        <v>771</v>
      </c>
      <c r="C75" s="1216" t="s">
        <v>767</v>
      </c>
      <c r="D75" s="335">
        <v>19863296</v>
      </c>
      <c r="E75" s="335">
        <v>20569186.875624638</v>
      </c>
    </row>
    <row r="76" spans="1:6">
      <c r="A76" s="1205" t="s">
        <v>65</v>
      </c>
      <c r="B76" s="1205" t="s">
        <v>772</v>
      </c>
      <c r="C76" s="1216" t="s">
        <v>768</v>
      </c>
      <c r="D76" s="335">
        <v>202634.45238299013</v>
      </c>
      <c r="E76" s="335">
        <v>235304.68103909897</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296487.09523401974</v>
      </c>
      <c r="C83" s="335">
        <v>280377.27668353688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726</v>
      </c>
    </row>
    <row r="90" spans="1:6">
      <c r="A90" s="1205" t="s">
        <v>567</v>
      </c>
      <c r="B90" s="1220">
        <v>0</v>
      </c>
    </row>
    <row r="91" spans="1:6">
      <c r="A91" s="1205" t="s">
        <v>68</v>
      </c>
      <c r="B91" s="335">
        <v>4206.3436106671606</v>
      </c>
    </row>
    <row r="92" spans="1:6">
      <c r="A92" s="1201" t="s">
        <v>69</v>
      </c>
      <c r="B92" s="338">
        <v>2843.9368648730983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538</v>
      </c>
    </row>
    <row r="98" spans="1:6">
      <c r="A98" s="1205" t="s">
        <v>72</v>
      </c>
      <c r="B98" s="335">
        <v>6</v>
      </c>
    </row>
    <row r="99" spans="1:6">
      <c r="A99" s="1205" t="s">
        <v>73</v>
      </c>
      <c r="B99" s="335">
        <v>56</v>
      </c>
    </row>
    <row r="100" spans="1:6">
      <c r="A100" s="1205" t="s">
        <v>74</v>
      </c>
      <c r="B100" s="335">
        <v>172</v>
      </c>
    </row>
    <row r="101" spans="1:6">
      <c r="A101" s="1205" t="s">
        <v>75</v>
      </c>
      <c r="B101" s="335">
        <v>69</v>
      </c>
    </row>
    <row r="102" spans="1:6">
      <c r="A102" s="1205" t="s">
        <v>76</v>
      </c>
      <c r="B102" s="335">
        <v>50</v>
      </c>
    </row>
    <row r="103" spans="1:6">
      <c r="A103" s="1205" t="s">
        <v>77</v>
      </c>
      <c r="B103" s="335">
        <v>73</v>
      </c>
    </row>
    <row r="104" spans="1:6">
      <c r="A104" s="1205" t="s">
        <v>78</v>
      </c>
      <c r="B104" s="335">
        <v>3316</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22</v>
      </c>
    </row>
    <row r="124" spans="1:6">
      <c r="A124" s="1201" t="s">
        <v>89</v>
      </c>
      <c r="B124" s="335">
        <v>0</v>
      </c>
      <c r="C124" s="335">
        <v>2</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50</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92544.667282118942</v>
      </c>
      <c r="C3" s="44" t="s">
        <v>170</v>
      </c>
      <c r="D3" s="44"/>
      <c r="E3" s="157"/>
      <c r="F3" s="44"/>
      <c r="G3" s="44"/>
      <c r="H3" s="44"/>
      <c r="I3" s="44"/>
      <c r="J3" s="44"/>
      <c r="K3" s="97"/>
    </row>
    <row r="4" spans="1:11">
      <c r="A4" s="365" t="s">
        <v>171</v>
      </c>
      <c r="B4" s="50">
        <f>IF(ISERROR('SEAP template'!B69),0,'SEAP template'!B69)</f>
        <v>7823.5679755402598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0.20231703777891841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67.553571428571416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868.96799999999996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868.96799999999996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0.20231703777891841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175.80703168467116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21495.153999999999</v>
      </c>
      <c r="C5" s="18">
        <f>IF(ISERROR('Eigen informatie GS &amp; warmtenet'!B57),0,'Eigen informatie GS &amp; warmtenet'!B57)</f>
        <v>0</v>
      </c>
      <c r="D5" s="31">
        <f>(SUM(HH_hh_gas_kWh,HH_rest_gas_kWh)/1000)*0.902</f>
        <v>28138.073106000003</v>
      </c>
      <c r="E5" s="18">
        <f>B46*B57</f>
        <v>4197.3982799956784</v>
      </c>
      <c r="F5" s="18">
        <f>B51*B62</f>
        <v>40976.05180842866</v>
      </c>
      <c r="G5" s="19"/>
      <c r="H5" s="18"/>
      <c r="I5" s="18"/>
      <c r="J5" s="18">
        <f>B50*B61+C50*C61</f>
        <v>0</v>
      </c>
      <c r="K5" s="18"/>
      <c r="L5" s="18"/>
      <c r="M5" s="18"/>
      <c r="N5" s="18">
        <f>B48*B59+C48*C59</f>
        <v>16795.621479839123</v>
      </c>
      <c r="O5" s="18">
        <f>B69*B70*B71</f>
        <v>115.68666666666667</v>
      </c>
      <c r="P5" s="18">
        <f>B77*B78*B79/1000-B77*B78*B79/1000/B80</f>
        <v>247.86666666666667</v>
      </c>
    </row>
    <row r="6" spans="1:16">
      <c r="A6" s="17" t="s">
        <v>639</v>
      </c>
      <c r="B6" s="831">
        <f>kWh_PV_kleiner_dan_10kW</f>
        <v>4206.3436106671606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25701.49761066716</v>
      </c>
      <c r="C8" s="22">
        <f>C5</f>
        <v>0</v>
      </c>
      <c r="D8" s="22">
        <f>D5</f>
        <v>28138.073106000003</v>
      </c>
      <c r="E8" s="22">
        <f>E5</f>
        <v>4197.3982799956784</v>
      </c>
      <c r="F8" s="22">
        <f>F5</f>
        <v>40976.05180842866</v>
      </c>
      <c r="G8" s="22"/>
      <c r="H8" s="22"/>
      <c r="I8" s="22"/>
      <c r="J8" s="22">
        <f>J5</f>
        <v>0</v>
      </c>
      <c r="K8" s="22"/>
      <c r="L8" s="22">
        <f>L5</f>
        <v>0</v>
      </c>
      <c r="M8" s="22">
        <f>M5</f>
        <v>0</v>
      </c>
      <c r="N8" s="22">
        <f>N5</f>
        <v>16795.621479839123</v>
      </c>
      <c r="O8" s="22">
        <f>O5</f>
        <v>115.68666666666667</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0.20231703777891841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5199.850863072129</v>
      </c>
      <c r="C12" s="24">
        <f ca="1">C10*C8</f>
        <v>0</v>
      </c>
      <c r="D12" s="24">
        <f>D8*D10</f>
        <v>5683.890767412001</v>
      </c>
      <c r="E12" s="24">
        <f>E10*E8</f>
        <v>952.80940955901906</v>
      </c>
      <c r="F12" s="24">
        <f>F10*F8</f>
        <v>10940.605832850453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538</v>
      </c>
      <c r="C18" s="169" t="s">
        <v>111</v>
      </c>
      <c r="D18" s="231"/>
      <c r="E18" s="16"/>
    </row>
    <row r="19" spans="1:7">
      <c r="A19" s="174" t="s">
        <v>72</v>
      </c>
      <c r="B19" s="38">
        <f>aantalw2001_ander</f>
        <v>6</v>
      </c>
      <c r="C19" s="169" t="s">
        <v>111</v>
      </c>
      <c r="D19" s="232"/>
      <c r="E19" s="16"/>
    </row>
    <row r="20" spans="1:7">
      <c r="A20" s="174" t="s">
        <v>73</v>
      </c>
      <c r="B20" s="38">
        <f>aantalw2001_propaan</f>
        <v>56</v>
      </c>
      <c r="C20" s="170">
        <f>IF(ISERROR(B20/SUM($B$20,$B$21,$B$22)*100),0,B20/SUM($B$20,$B$21,$B$22)*100)</f>
        <v>18.855218855218855</v>
      </c>
      <c r="D20" s="232"/>
      <c r="E20" s="16"/>
    </row>
    <row r="21" spans="1:7">
      <c r="A21" s="174" t="s">
        <v>74</v>
      </c>
      <c r="B21" s="38">
        <f>aantalw2001_elektriciteit</f>
        <v>172</v>
      </c>
      <c r="C21" s="170">
        <f>IF(ISERROR(B21/SUM($B$20,$B$21,$B$22)*100),0,B21/SUM($B$20,$B$21,$B$22)*100)</f>
        <v>57.912457912457917</v>
      </c>
      <c r="D21" s="232"/>
      <c r="E21" s="16"/>
    </row>
    <row r="22" spans="1:7">
      <c r="A22" s="174" t="s">
        <v>75</v>
      </c>
      <c r="B22" s="38">
        <f>aantalw2001_hout</f>
        <v>69</v>
      </c>
      <c r="C22" s="170">
        <f>IF(ISERROR(B22/SUM($B$20,$B$21,$B$22)*100),0,B22/SUM($B$20,$B$21,$B$22)*100)</f>
        <v>23.232323232323232</v>
      </c>
      <c r="D22" s="232"/>
      <c r="E22" s="16"/>
    </row>
    <row r="23" spans="1:7">
      <c r="A23" s="174" t="s">
        <v>76</v>
      </c>
      <c r="B23" s="38">
        <f>aantalw2001_niet_gespec</f>
        <v>50</v>
      </c>
      <c r="C23" s="169" t="s">
        <v>111</v>
      </c>
      <c r="D23" s="231"/>
      <c r="E23" s="16"/>
    </row>
    <row r="24" spans="1:7">
      <c r="A24" s="174" t="s">
        <v>77</v>
      </c>
      <c r="B24" s="38">
        <f>aantalw2001_steenkool</f>
        <v>73</v>
      </c>
      <c r="C24" s="169" t="s">
        <v>111</v>
      </c>
      <c r="D24" s="232"/>
      <c r="E24" s="16"/>
    </row>
    <row r="25" spans="1:7">
      <c r="A25" s="174" t="s">
        <v>78</v>
      </c>
      <c r="B25" s="38">
        <f>aantalw2001_stookolie</f>
        <v>3316</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5015</v>
      </c>
      <c r="C28" s="37"/>
      <c r="D28" s="231"/>
    </row>
    <row r="29" spans="1:7" s="16" customFormat="1">
      <c r="A29" s="233" t="s">
        <v>666</v>
      </c>
      <c r="B29" s="38">
        <f>SUM(HH_hh_gas_aantal,HH_rest_gas_aantal)</f>
        <v>1916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1916</v>
      </c>
      <c r="C32" s="170">
        <f>IF(ISERROR(B32/SUM($B$32,$B$34,$B$35,$B$36,$B$38,$B$39)*100),0,B32/SUM($B$32,$B$34,$B$35,$B$36,$B$38,$B$39)*100)</f>
        <v>38.304678128748499</v>
      </c>
      <c r="D32" s="236"/>
      <c r="G32" s="16"/>
    </row>
    <row r="33" spans="1:7">
      <c r="A33" s="174" t="s">
        <v>72</v>
      </c>
      <c r="B33" s="35" t="s">
        <v>111</v>
      </c>
      <c r="C33" s="170"/>
      <c r="D33" s="236"/>
      <c r="G33" s="16"/>
    </row>
    <row r="34" spans="1:7">
      <c r="A34" s="174" t="s">
        <v>73</v>
      </c>
      <c r="B34" s="34">
        <f>IF((($B$28-$B$32-$B$39-$B$77-$B$38)*C20/100)&lt;0,0,($B$28-$B$32-$B$39-$B$77-$B$38)*C20/100)</f>
        <v>190.47542087542081</v>
      </c>
      <c r="C34" s="170">
        <f>IF(ISERROR(B34/SUM($B$32,$B$34,$B$35,$B$36,$B$38,$B$39)*100),0,B34/SUM($B$32,$B$34,$B$35,$B$36,$B$38,$B$39)*100)</f>
        <v>3.8079852234190485</v>
      </c>
      <c r="D34" s="236"/>
      <c r="G34" s="16"/>
    </row>
    <row r="35" spans="1:7">
      <c r="A35" s="174" t="s">
        <v>74</v>
      </c>
      <c r="B35" s="34">
        <f>IF((($B$28-$B$32-$B$39-$B$77-$B$38)*C21/100)&lt;0,0,($B$28-$B$32-$B$39-$B$77-$B$38)*C21/100)</f>
        <v>585.03164983164982</v>
      </c>
      <c r="C35" s="170">
        <f>IF(ISERROR(B35/SUM($B$32,$B$34,$B$35,$B$36,$B$38,$B$39)*100),0,B35/SUM($B$32,$B$34,$B$35,$B$36,$B$38,$B$39)*100)</f>
        <v>11.69595461478708</v>
      </c>
      <c r="D35" s="236"/>
      <c r="G35" s="16"/>
    </row>
    <row r="36" spans="1:7">
      <c r="A36" s="174" t="s">
        <v>75</v>
      </c>
      <c r="B36" s="34">
        <f>IF((($B$28-$B$32-$B$39-$B$77-$B$38)*C22/100)&lt;0,0,($B$28-$B$32-$B$39-$B$77-$B$38)*C22/100)</f>
        <v>234.69292929292925</v>
      </c>
      <c r="C36" s="170">
        <f>IF(ISERROR(B36/SUM($B$32,$B$34,$B$35,$B$36,$B$38,$B$39)*100),0,B36/SUM($B$32,$B$34,$B$35,$B$36,$B$38,$B$39)*100)</f>
        <v>4.6919817931413279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2075.8000000000002</v>
      </c>
      <c r="C39" s="170">
        <f>IF(ISERROR(B39/SUM($B$32,$B$34,$B$35,$B$36,$B$38,$B$39)*100),0,B39/SUM($B$32,$B$34,$B$35,$B$36,$B$38,$B$39)*100)</f>
        <v>41.499400239904041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1916</v>
      </c>
      <c r="C44" s="35" t="s">
        <v>111</v>
      </c>
      <c r="D44" s="177"/>
    </row>
    <row r="45" spans="1:7">
      <c r="A45" s="174" t="s">
        <v>72</v>
      </c>
      <c r="B45" s="34" t="str">
        <f t="shared" si="0"/>
        <v>-</v>
      </c>
      <c r="C45" s="35" t="s">
        <v>111</v>
      </c>
      <c r="D45" s="177"/>
    </row>
    <row r="46" spans="1:7">
      <c r="A46" s="174" t="s">
        <v>73</v>
      </c>
      <c r="B46" s="34">
        <f t="shared" si="0"/>
        <v>190.47542087542081</v>
      </c>
      <c r="C46" s="35" t="s">
        <v>111</v>
      </c>
      <c r="D46" s="177"/>
    </row>
    <row r="47" spans="1:7">
      <c r="A47" s="174" t="s">
        <v>74</v>
      </c>
      <c r="B47" s="34">
        <f t="shared" si="0"/>
        <v>585.03164983164982</v>
      </c>
      <c r="C47" s="35" t="s">
        <v>111</v>
      </c>
      <c r="D47" s="177"/>
    </row>
    <row r="48" spans="1:7">
      <c r="A48" s="174" t="s">
        <v>75</v>
      </c>
      <c r="B48" s="34">
        <f t="shared" si="0"/>
        <v>234.69292929292925</v>
      </c>
      <c r="C48" s="34">
        <f>B48*10</f>
        <v>2346.9292929292924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2075.8000000000002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31960.587999999996</v>
      </c>
      <c r="C5" s="18">
        <f>IF(ISERROR('Eigen informatie GS &amp; warmtenet'!B58),0,'Eigen informatie GS &amp; warmtenet'!B58)</f>
        <v>0</v>
      </c>
      <c r="D5" s="31">
        <f>SUM(D6:D12)</f>
        <v>27780.324572000001</v>
      </c>
      <c r="E5" s="18">
        <f>SUM(E6:E12)</f>
        <v>173.60016570065926</v>
      </c>
      <c r="F5" s="18">
        <f>SUM(F6:F12)</f>
        <v>4728.6862396052265</v>
      </c>
      <c r="G5" s="19"/>
      <c r="H5" s="18"/>
      <c r="I5" s="18"/>
      <c r="J5" s="18">
        <f>SUM(J6:J12)</f>
        <v>0</v>
      </c>
      <c r="K5" s="18"/>
      <c r="L5" s="18"/>
      <c r="M5" s="18"/>
      <c r="N5" s="18">
        <f>SUM(N6:N12)</f>
        <v>918.75333353610881</v>
      </c>
      <c r="O5" s="18">
        <f>B38*B39*B40</f>
        <v>0</v>
      </c>
      <c r="P5" s="18">
        <f>B46*B47*B48/1000-B46*B47*B48/1000/B49</f>
        <v>0</v>
      </c>
      <c r="R5" s="33"/>
    </row>
    <row r="6" spans="1:18">
      <c r="A6" s="33" t="s">
        <v>54</v>
      </c>
      <c r="B6" s="38">
        <f>B26</f>
        <v>24313.962</v>
      </c>
      <c r="C6" s="34"/>
      <c r="D6" s="38">
        <f>IF(ISERROR(TER_kantoor_gas_kWh/1000),0,TER_kantoor_gas_kWh/1000)*0.902</f>
        <v>20487.616688000002</v>
      </c>
      <c r="E6" s="34">
        <f>$C$26*'E Balans VL '!I12/100/3.6*1000000</f>
        <v>39.904139494890401</v>
      </c>
      <c r="F6" s="34">
        <f>$C$26*('E Balans VL '!L12+'E Balans VL '!N12)/100/3.6*1000000</f>
        <v>2866.0440433404906</v>
      </c>
      <c r="G6" s="35"/>
      <c r="H6" s="34"/>
      <c r="I6" s="34"/>
      <c r="J6" s="34">
        <f>$C$26*('E Balans VL '!D12+'E Balans VL '!E12)/100/3.6*1000000</f>
        <v>0</v>
      </c>
      <c r="K6" s="34"/>
      <c r="L6" s="34"/>
      <c r="M6" s="34"/>
      <c r="N6" s="34">
        <f>$C$26*'E Balans VL '!Y12/100/3.6*1000000</f>
        <v>4.9125208860640415</v>
      </c>
      <c r="O6" s="34"/>
      <c r="P6" s="34"/>
      <c r="R6" s="33"/>
    </row>
    <row r="7" spans="1:18">
      <c r="A7" s="33" t="s">
        <v>53</v>
      </c>
      <c r="B7" s="38">
        <f t="shared" ref="B7:B12" si="0">B27</f>
        <v>1970.7639999999999</v>
      </c>
      <c r="C7" s="34"/>
      <c r="D7" s="38">
        <f>IF(ISERROR(TER_horeca_gas_kWh/1000),0,TER_horeca_gas_kWh/1000)*0.902</f>
        <v>847.28197399999999</v>
      </c>
      <c r="E7" s="34">
        <f>$C$27*'E Balans VL '!I9/100/3.6*1000000</f>
        <v>102.26839084652723</v>
      </c>
      <c r="F7" s="34">
        <f>$C$27*('E Balans VL '!L9+'E Balans VL '!N9)/100/3.6*1000000</f>
        <v>449.72977479344564</v>
      </c>
      <c r="G7" s="35"/>
      <c r="H7" s="34"/>
      <c r="I7" s="34"/>
      <c r="J7" s="34">
        <f>$C$27*('E Balans VL '!D9+'E Balans VL '!E9)/100/3.6*1000000</f>
        <v>0</v>
      </c>
      <c r="K7" s="34"/>
      <c r="L7" s="34"/>
      <c r="M7" s="34"/>
      <c r="N7" s="34">
        <f>$C$27*'E Balans VL '!Y9/100/3.6*1000000</f>
        <v>0.20811177525799524</v>
      </c>
      <c r="O7" s="34"/>
      <c r="P7" s="34"/>
      <c r="R7" s="33"/>
    </row>
    <row r="8" spans="1:18">
      <c r="A8" s="6" t="s">
        <v>52</v>
      </c>
      <c r="B8" s="38">
        <f t="shared" si="0"/>
        <v>3362.6260000000002</v>
      </c>
      <c r="C8" s="34"/>
      <c r="D8" s="38">
        <f>IF(ISERROR(TER_handel_gas_kWh/1000),0,TER_handel_gas_kWh/1000)*0.902</f>
        <v>992.20541200000014</v>
      </c>
      <c r="E8" s="34">
        <f>$C$28*'E Balans VL '!I13/100/3.6*1000000</f>
        <v>18.108154221815113</v>
      </c>
      <c r="F8" s="34">
        <f>$C$28*('E Balans VL '!L13+'E Balans VL '!N13)/100/3.6*1000000</f>
        <v>685.7393696445065</v>
      </c>
      <c r="G8" s="35"/>
      <c r="H8" s="34"/>
      <c r="I8" s="34"/>
      <c r="J8" s="34">
        <f>$C$28*('E Balans VL '!D13+'E Balans VL '!E13)/100/3.6*1000000</f>
        <v>0</v>
      </c>
      <c r="K8" s="34"/>
      <c r="L8" s="34"/>
      <c r="M8" s="34"/>
      <c r="N8" s="34">
        <f>$C$28*'E Balans VL '!Y13/100/3.6*1000000</f>
        <v>16.720563346085726</v>
      </c>
      <c r="O8" s="34"/>
      <c r="P8" s="34"/>
      <c r="R8" s="33"/>
    </row>
    <row r="9" spans="1:18">
      <c r="A9" s="33" t="s">
        <v>51</v>
      </c>
      <c r="B9" s="38">
        <f t="shared" si="0"/>
        <v>542.178</v>
      </c>
      <c r="C9" s="34"/>
      <c r="D9" s="38">
        <f>IF(ISERROR(TER_gezond_gas_kWh/1000),0,TER_gezond_gas_kWh/1000)*0.902</f>
        <v>1176.5480540000001</v>
      </c>
      <c r="E9" s="34">
        <f>$C$29*'E Balans VL '!I10/100/3.6*1000000</f>
        <v>0.53730456362269896</v>
      </c>
      <c r="F9" s="34">
        <f>$C$29*('E Balans VL '!L10+'E Balans VL '!N10)/100/3.6*1000000</f>
        <v>188.12013831869592</v>
      </c>
      <c r="G9" s="35"/>
      <c r="H9" s="34"/>
      <c r="I9" s="34"/>
      <c r="J9" s="34">
        <f>$C$29*('E Balans VL '!D10+'E Balans VL '!E10)/100/3.6*1000000</f>
        <v>0</v>
      </c>
      <c r="K9" s="34"/>
      <c r="L9" s="34"/>
      <c r="M9" s="34"/>
      <c r="N9" s="34">
        <f>$C$29*'E Balans VL '!Y10/100/3.6*1000000</f>
        <v>4.671900857345042</v>
      </c>
      <c r="O9" s="34"/>
      <c r="P9" s="34"/>
      <c r="R9" s="33"/>
    </row>
    <row r="10" spans="1:18">
      <c r="A10" s="33" t="s">
        <v>50</v>
      </c>
      <c r="B10" s="38">
        <f t="shared" si="0"/>
        <v>1545.423</v>
      </c>
      <c r="C10" s="34"/>
      <c r="D10" s="38">
        <f>IF(ISERROR(TER_ander_gas_kWh/1000),0,TER_ander_gas_kWh/1000)*0.902</f>
        <v>3731.1184899999998</v>
      </c>
      <c r="E10" s="34">
        <f>$C$30*'E Balans VL '!I14/100/3.6*1000000</f>
        <v>12.64310468028968</v>
      </c>
      <c r="F10" s="34">
        <f>$C$30*('E Balans VL '!L14+'E Balans VL '!N14)/100/3.6*1000000</f>
        <v>451.81876842387737</v>
      </c>
      <c r="G10" s="35"/>
      <c r="H10" s="34"/>
      <c r="I10" s="34"/>
      <c r="J10" s="34">
        <f>$C$30*('E Balans VL '!D14+'E Balans VL '!E14)/100/3.6*1000000</f>
        <v>0</v>
      </c>
      <c r="K10" s="34"/>
      <c r="L10" s="34"/>
      <c r="M10" s="34"/>
      <c r="N10" s="34">
        <f>$C$30*'E Balans VL '!Y14/100/3.6*1000000</f>
        <v>891.50629436890415</v>
      </c>
      <c r="O10" s="34"/>
      <c r="P10" s="34"/>
      <c r="R10" s="33"/>
    </row>
    <row r="11" spans="1:18">
      <c r="A11" s="33" t="s">
        <v>55</v>
      </c>
      <c r="B11" s="38">
        <f t="shared" si="0"/>
        <v>225.63499999999999</v>
      </c>
      <c r="C11" s="34"/>
      <c r="D11" s="38">
        <f>IF(ISERROR(TER_onderwijs_gas_kWh/1000),0,TER_onderwijs_gas_kWh/1000)*0.902</f>
        <v>545.55395399999998</v>
      </c>
      <c r="E11" s="34">
        <f>$C$31*'E Balans VL '!I11/100/3.6*1000000</f>
        <v>0.13907189351413884</v>
      </c>
      <c r="F11" s="34">
        <f>$C$31*('E Balans VL '!L11+'E Balans VL '!N11)/100/3.6*1000000</f>
        <v>87.234145084210823</v>
      </c>
      <c r="G11" s="35"/>
      <c r="H11" s="34"/>
      <c r="I11" s="34"/>
      <c r="J11" s="34">
        <f>$C$31*('E Balans VL '!D11+'E Balans VL '!E11)/100/3.6*1000000</f>
        <v>0</v>
      </c>
      <c r="K11" s="34"/>
      <c r="L11" s="34"/>
      <c r="M11" s="34"/>
      <c r="N11" s="34">
        <f>$C$31*'E Balans VL '!Y11/100/3.6*1000000</f>
        <v>0.73394230245189651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31960.587999999996</v>
      </c>
      <c r="C16" s="22">
        <f t="shared" ca="1" si="1"/>
        <v>0</v>
      </c>
      <c r="D16" s="22">
        <f t="shared" ca="1" si="1"/>
        <v>27780.324572000001</v>
      </c>
      <c r="E16" s="22">
        <f t="shared" si="1"/>
        <v>173.60016570065926</v>
      </c>
      <c r="F16" s="22">
        <f t="shared" ca="1" si="1"/>
        <v>4728.6862396052265</v>
      </c>
      <c r="G16" s="22">
        <f t="shared" si="1"/>
        <v>0</v>
      </c>
      <c r="H16" s="22">
        <f t="shared" si="1"/>
        <v>0</v>
      </c>
      <c r="I16" s="22">
        <f t="shared" si="1"/>
        <v>0</v>
      </c>
      <c r="J16" s="22">
        <f t="shared" si="1"/>
        <v>0</v>
      </c>
      <c r="K16" s="22">
        <f t="shared" si="1"/>
        <v>0</v>
      </c>
      <c r="L16" s="22">
        <f t="shared" ca="1" si="1"/>
        <v>0</v>
      </c>
      <c r="M16" s="22">
        <f t="shared" si="1"/>
        <v>0</v>
      </c>
      <c r="N16" s="22">
        <f t="shared" ca="1" si="1"/>
        <v>918.75333353610881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0.20231703777891841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6466.1714898324453</v>
      </c>
      <c r="C20" s="24">
        <f t="shared" ref="C20:P20" ca="1" si="2">C16*C18</f>
        <v>0</v>
      </c>
      <c r="D20" s="24">
        <f t="shared" ca="1" si="2"/>
        <v>5611.6255635440002</v>
      </c>
      <c r="E20" s="24">
        <f t="shared" si="2"/>
        <v>39.407237614049656</v>
      </c>
      <c r="F20" s="24">
        <f t="shared" ca="1" si="2"/>
        <v>1262.5592259745956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24313.962</v>
      </c>
      <c r="C26" s="40">
        <f>IF(ISERROR(B26*3.6/1000000/'E Balans VL '!Z12*100),0,B26*3.6/1000000/'E Balans VL '!Z12*100)</f>
        <v>0.51665425620305439</v>
      </c>
      <c r="D26" s="240" t="s">
        <v>707</v>
      </c>
      <c r="F26" s="6"/>
    </row>
    <row r="27" spans="1:18">
      <c r="A27" s="234" t="s">
        <v>53</v>
      </c>
      <c r="B27" s="34">
        <f>IF(ISERROR(TER_horeca_ele_kWh/1000),0,TER_horeca_ele_kWh/1000)</f>
        <v>1970.7639999999999</v>
      </c>
      <c r="C27" s="40">
        <f>IF(ISERROR(B27*3.6/1000000/'E Balans VL '!Z9*100),0,B27*3.6/1000000/'E Balans VL '!Z9*100)</f>
        <v>0.15511436665192194</v>
      </c>
      <c r="D27" s="240" t="s">
        <v>707</v>
      </c>
      <c r="F27" s="6"/>
    </row>
    <row r="28" spans="1:18">
      <c r="A28" s="174" t="s">
        <v>52</v>
      </c>
      <c r="B28" s="34">
        <f>IF(ISERROR(TER_handel_ele_kWh/1000),0,TER_handel_ele_kWh/1000)</f>
        <v>3362.6260000000002</v>
      </c>
      <c r="C28" s="40">
        <f>IF(ISERROR(B28*3.6/1000000/'E Balans VL '!Z13*100),0,B28*3.6/1000000/'E Balans VL '!Z13*100)</f>
        <v>9.4188953866387273E-2</v>
      </c>
      <c r="D28" s="240" t="s">
        <v>707</v>
      </c>
      <c r="F28" s="6"/>
    </row>
    <row r="29" spans="1:18">
      <c r="A29" s="234" t="s">
        <v>51</v>
      </c>
      <c r="B29" s="34">
        <f>IF(ISERROR(TER_gezond_ele_kWh/1000),0,TER_gezond_ele_kWh/1000)</f>
        <v>542.178</v>
      </c>
      <c r="C29" s="40">
        <f>IF(ISERROR(B29*3.6/1000000/'E Balans VL '!Z10*100),0,B29*3.6/1000000/'E Balans VL '!Z10*100)</f>
        <v>6.9360961002429306E-2</v>
      </c>
      <c r="D29" s="240" t="s">
        <v>707</v>
      </c>
      <c r="F29" s="6"/>
    </row>
    <row r="30" spans="1:18">
      <c r="A30" s="234" t="s">
        <v>50</v>
      </c>
      <c r="B30" s="34">
        <f>IF(ISERROR(TER_ander_ele_kWh/1000),0,TER_ander_ele_kWh/1000)</f>
        <v>1545.423</v>
      </c>
      <c r="C30" s="40">
        <f>IF(ISERROR(B30*3.6/1000000/'E Balans VL '!Z14*100),0,B30*3.6/1000000/'E Balans VL '!Z14*100)</f>
        <v>0.11558461843832264</v>
      </c>
      <c r="D30" s="240" t="s">
        <v>707</v>
      </c>
      <c r="F30" s="6"/>
    </row>
    <row r="31" spans="1:18">
      <c r="A31" s="234" t="s">
        <v>55</v>
      </c>
      <c r="B31" s="34">
        <f>IF(ISERROR(TER_onderwijs_ele_kWh/1000),0,TER_onderwijs_ele_kWh/1000)</f>
        <v>225.63499999999999</v>
      </c>
      <c r="C31" s="40">
        <f>IF(ISERROR(B31*3.6/1000000/'E Balans VL '!Z11*100),0,B31*3.6/1000000/'E Balans VL '!Z11*100)</f>
        <v>4.7643122522031588E-2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30511.721000000001</v>
      </c>
      <c r="C5" s="18">
        <f>IF(ISERROR('Eigen informatie GS &amp; warmtenet'!B59),0,'Eigen informatie GS &amp; warmtenet'!B59)</f>
        <v>0</v>
      </c>
      <c r="D5" s="31">
        <f>SUM(D6:D15)</f>
        <v>40775.811999999998</v>
      </c>
      <c r="E5" s="18">
        <f>SUM(E6:E15)</f>
        <v>259.55481422871821</v>
      </c>
      <c r="F5" s="18">
        <f>SUM(F6:F15)</f>
        <v>6887.0294680632269</v>
      </c>
      <c r="G5" s="19"/>
      <c r="H5" s="18"/>
      <c r="I5" s="18"/>
      <c r="J5" s="18">
        <f>SUM(J6:J15)</f>
        <v>6.6641506219725226</v>
      </c>
      <c r="K5" s="18"/>
      <c r="L5" s="18"/>
      <c r="M5" s="18"/>
      <c r="N5" s="18">
        <f>SUM(N6:N15)</f>
        <v>750.68910843377319</v>
      </c>
      <c r="O5" s="18">
        <f>B43*B44*B45</f>
        <v>0</v>
      </c>
      <c r="P5" s="18">
        <f>B51*B52*B53/1000-B51*B52*B53/1000/B54</f>
        <v>0</v>
      </c>
      <c r="R5" s="33"/>
    </row>
    <row r="6" spans="1:18">
      <c r="A6" s="6" t="s">
        <v>35</v>
      </c>
      <c r="B6" s="38">
        <f>IF( ISERROR(IND_ijzer_ele_kWh/1000),0,IND_ijzer_ele_kWh/1000)</f>
        <v>1775.5740000000001</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352.56099999999998</v>
      </c>
      <c r="C8" s="34"/>
      <c r="D8" s="38">
        <f>IF( ISERROR(IND_metaal_Gas_kWH/1000),0,IND_metaal_Gas_kWH/1000)*0.902</f>
        <v>137.36016799999999</v>
      </c>
      <c r="E8" s="34">
        <f>C30*'E Balans VL '!I18/100/3.6*1000000</f>
        <v>3.2107094911521079</v>
      </c>
      <c r="F8" s="34">
        <f>C30*'E Balans VL '!L18/100/3.6*1000000+C30*'E Balans VL '!N18/100/3.6*1000000</f>
        <v>46.500118505780293</v>
      </c>
      <c r="G8" s="35"/>
      <c r="H8" s="34"/>
      <c r="I8" s="34"/>
      <c r="J8" s="41">
        <f>C30*'E Balans VL '!D18/100/3.6*1000000+C30*'E Balans VL '!E18/100/3.6*1000000</f>
        <v>5.7814884998609708</v>
      </c>
      <c r="K8" s="34"/>
      <c r="L8" s="34"/>
      <c r="M8" s="34"/>
      <c r="N8" s="34">
        <f>C30*'E Balans VL '!Y18/100/3.6*1000000</f>
        <v>1.2116121025020166</v>
      </c>
      <c r="O8" s="34"/>
      <c r="P8" s="34"/>
      <c r="R8" s="33"/>
    </row>
    <row r="9" spans="1:18">
      <c r="A9" s="6" t="s">
        <v>33</v>
      </c>
      <c r="B9" s="38">
        <f t="shared" si="0"/>
        <v>5393.29</v>
      </c>
      <c r="C9" s="34"/>
      <c r="D9" s="38">
        <f>IF( ISERROR(IND_andere_gas_kWh/1000),0,IND_andere_gas_kWh/1000)*0.902</f>
        <v>515.44339000000002</v>
      </c>
      <c r="E9" s="34">
        <f>C31*'E Balans VL '!I19/100/3.6*1000000</f>
        <v>31.174022160527105</v>
      </c>
      <c r="F9" s="34">
        <f>C31*'E Balans VL '!L19/100/3.6*1000000+C31*'E Balans VL '!N19/100/3.6*1000000</f>
        <v>4290.6217098454199</v>
      </c>
      <c r="G9" s="35"/>
      <c r="H9" s="34"/>
      <c r="I9" s="34"/>
      <c r="J9" s="41">
        <f>C31*'E Balans VL '!D19/100/3.6*1000000+C31*'E Balans VL '!E19/100/3.6*1000000</f>
        <v>0.51014532703147286</v>
      </c>
      <c r="K9" s="34"/>
      <c r="L9" s="34"/>
      <c r="M9" s="34"/>
      <c r="N9" s="34">
        <f>C31*'E Balans VL '!Y19/100/3.6*1000000</f>
        <v>408.623335814661</v>
      </c>
      <c r="O9" s="34"/>
      <c r="P9" s="34"/>
      <c r="R9" s="33"/>
    </row>
    <row r="10" spans="1:18">
      <c r="A10" s="6" t="s">
        <v>41</v>
      </c>
      <c r="B10" s="38">
        <f t="shared" si="0"/>
        <v>22827.954000000002</v>
      </c>
      <c r="C10" s="34"/>
      <c r="D10" s="38">
        <f>IF( ISERROR(IND_voed_gas_kWh/1000),0,IND_voed_gas_kWh/1000)*0.902</f>
        <v>39293.522927999999</v>
      </c>
      <c r="E10" s="34">
        <f>C32*'E Balans VL '!I20/100/3.6*1000000</f>
        <v>224.45850920186925</v>
      </c>
      <c r="F10" s="34">
        <f>C32*'E Balans VL '!L20/100/3.6*1000000+C32*'E Balans VL '!N20/100/3.6*1000000</f>
        <v>2535.3422568657497</v>
      </c>
      <c r="G10" s="35"/>
      <c r="H10" s="34"/>
      <c r="I10" s="34"/>
      <c r="J10" s="41">
        <f>C32*'E Balans VL '!D20/100/3.6*1000000+C32*'E Balans VL '!E20/100/3.6*1000000</f>
        <v>8.9975329981534333E-2</v>
      </c>
      <c r="K10" s="34"/>
      <c r="L10" s="34"/>
      <c r="M10" s="34"/>
      <c r="N10" s="34">
        <f>C32*'E Balans VL '!Y20/100/3.6*1000000</f>
        <v>338.02830173211254</v>
      </c>
      <c r="O10" s="34"/>
      <c r="P10" s="34"/>
      <c r="R10" s="33"/>
    </row>
    <row r="11" spans="1:18">
      <c r="A11" s="6" t="s">
        <v>40</v>
      </c>
      <c r="B11" s="38">
        <f t="shared" si="0"/>
        <v>106.157</v>
      </c>
      <c r="C11" s="34"/>
      <c r="D11" s="38">
        <f>IF( ISERROR(IND_textiel_gas_kWh/1000),0,IND_textiel_gas_kWh/1000)*0.902</f>
        <v>0</v>
      </c>
      <c r="E11" s="34">
        <f>C33*'E Balans VL '!I21/100/3.6*1000000</f>
        <v>0.20671232938215453</v>
      </c>
      <c r="F11" s="34">
        <f>C33*'E Balans VL '!L21/100/3.6*1000000+C33*'E Balans VL '!N21/100/3.6*1000000</f>
        <v>3.5014062145757876</v>
      </c>
      <c r="G11" s="35"/>
      <c r="H11" s="34"/>
      <c r="I11" s="34"/>
      <c r="J11" s="41">
        <f>C33*'E Balans VL '!D21/100/3.6*1000000+C33*'E Balans VL '!E21/100/3.6*1000000</f>
        <v>0</v>
      </c>
      <c r="K11" s="34"/>
      <c r="L11" s="34"/>
      <c r="M11" s="34"/>
      <c r="N11" s="34">
        <f>C33*'E Balans VL '!Y21/100/3.6*1000000</f>
        <v>1.1011273017309713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733.92222199999992</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56.185000000000002</v>
      </c>
      <c r="C15" s="34"/>
      <c r="D15" s="38">
        <f>IF( ISERROR(IND_rest_gas_kWh/1000),0,IND_rest_gas_kWh/1000)*0.902</f>
        <v>95.563292000000004</v>
      </c>
      <c r="E15" s="34">
        <f>C37*'E Balans VL '!I15/100/3.6*1000000</f>
        <v>0.50486104578758362</v>
      </c>
      <c r="F15" s="34">
        <f>C37*'E Balans VL '!L15/100/3.6*1000000+C37*'E Balans VL '!N15/100/3.6*1000000</f>
        <v>11.063976631701681</v>
      </c>
      <c r="G15" s="35"/>
      <c r="H15" s="34"/>
      <c r="I15" s="34"/>
      <c r="J15" s="41">
        <f>C37*'E Balans VL '!D15/100/3.6*1000000+C37*'E Balans VL '!E15/100/3.6*1000000</f>
        <v>0.28254146509854433</v>
      </c>
      <c r="K15" s="34"/>
      <c r="L15" s="34"/>
      <c r="M15" s="34"/>
      <c r="N15" s="34">
        <f>C37*'E Balans VL '!Y15/100/3.6*1000000</f>
        <v>1.7247314827666012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30511.721000000001</v>
      </c>
      <c r="C18" s="22">
        <f>C5+C16</f>
        <v>0</v>
      </c>
      <c r="D18" s="22">
        <f>MAX((D5+D16),0)</f>
        <v>40775.811999999998</v>
      </c>
      <c r="E18" s="22">
        <f>MAX((E5+E16),0)</f>
        <v>259.55481422871821</v>
      </c>
      <c r="F18" s="22">
        <f>MAX((F5+F16),0)</f>
        <v>6887.0294680632269</v>
      </c>
      <c r="G18" s="22"/>
      <c r="H18" s="22"/>
      <c r="I18" s="22"/>
      <c r="J18" s="22">
        <f>MAX((J5+J16),0)</f>
        <v>6.6641506219725226</v>
      </c>
      <c r="K18" s="22"/>
      <c r="L18" s="22">
        <f>MAX((L5+L16),0)</f>
        <v>0</v>
      </c>
      <c r="M18" s="22"/>
      <c r="N18" s="22">
        <f>MAX((N5+N16),0)</f>
        <v>750.68910843377319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0.20231703777891841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6173.0410102568185</v>
      </c>
      <c r="C22" s="24">
        <f ca="1">C18*C20</f>
        <v>0</v>
      </c>
      <c r="D22" s="24">
        <f>D18*D20</f>
        <v>8236.7140240000008</v>
      </c>
      <c r="E22" s="24">
        <f>E18*E20</f>
        <v>58.91894282991904</v>
      </c>
      <c r="F22" s="24">
        <f>F18*F20</f>
        <v>1838.8368679728817</v>
      </c>
      <c r="G22" s="24"/>
      <c r="H22" s="24"/>
      <c r="I22" s="24"/>
      <c r="J22" s="24">
        <f>J18*J20</f>
        <v>2.3591093201782729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352.56099999999998</v>
      </c>
      <c r="C30" s="40">
        <f>IF(ISERROR(B30*3.6/1000000/'E Balans VL '!Z18*100),0,B30*3.6/1000000/'E Balans VL '!Z18*100)</f>
        <v>1.9617662094820205E-2</v>
      </c>
      <c r="D30" s="240" t="s">
        <v>707</v>
      </c>
    </row>
    <row r="31" spans="1:18">
      <c r="A31" s="6" t="s">
        <v>33</v>
      </c>
      <c r="B31" s="38">
        <f>IF( ISERROR(IND_ander_ele_kWh/1000),0,IND_ander_ele_kWh/1000)</f>
        <v>5393.29</v>
      </c>
      <c r="C31" s="40">
        <f>IF(ISERROR(B31*3.6/1000000/'E Balans VL '!Z19*100),0,B31*3.6/1000000/'E Balans VL '!Z19*100)</f>
        <v>0.25071988768782288</v>
      </c>
      <c r="D31" s="240" t="s">
        <v>707</v>
      </c>
    </row>
    <row r="32" spans="1:18">
      <c r="A32" s="174" t="s">
        <v>41</v>
      </c>
      <c r="B32" s="38">
        <f>IF( ISERROR(IND_voed_ele_kWh/1000),0,IND_voed_ele_kWh/1000)</f>
        <v>22827.954000000002</v>
      </c>
      <c r="C32" s="40">
        <f>IF(ISERROR(B32*3.6/1000000/'E Balans VL '!Z20*100),0,B32*3.6/1000000/'E Balans VL '!Z20*100)</f>
        <v>0.8069220708944147</v>
      </c>
      <c r="D32" s="240" t="s">
        <v>707</v>
      </c>
    </row>
    <row r="33" spans="1:5">
      <c r="A33" s="174" t="s">
        <v>40</v>
      </c>
      <c r="B33" s="38">
        <f>IF( ISERROR(IND_textiel_ele_kWh/1000),0,IND_textiel_ele_kWh/1000)</f>
        <v>106.157</v>
      </c>
      <c r="C33" s="40">
        <f>IF(ISERROR(B33*3.6/1000000/'E Balans VL '!Z21*100),0,B33*3.6/1000000/'E Balans VL '!Z21*100)</f>
        <v>1.4338113669589815E-2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56.185000000000002</v>
      </c>
      <c r="C37" s="40">
        <f>IF(ISERROR(B37*3.6/1000000/'E Balans VL '!Z15*100),0,B37*3.6/1000000/'E Balans VL '!Z15*100)</f>
        <v>4.2427974779550901E-4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3500.5790000000002</v>
      </c>
      <c r="C5" s="18">
        <f>'Eigen informatie GS &amp; warmtenet'!B60</f>
        <v>0</v>
      </c>
      <c r="D5" s="31">
        <f>IF(ISERROR(SUM(LB_lb_gas_kWh,LB_rest_gas_kWh,onbekend_gas_kWh)/1000),0,SUM(LB_lb_gas_kWh,LB_rest_gas_kWh,onbekend_gas_kWh)/1000)*0.902</f>
        <v>0</v>
      </c>
      <c r="E5" s="18">
        <f>B17*'E Balans VL '!I25/3.6*1000000/100</f>
        <v>32.977799644868512</v>
      </c>
      <c r="F5" s="18">
        <f>B17*('E Balans VL '!L25/3.6*1000000+'E Balans VL '!N25/3.6*1000000)/100</f>
        <v>11423.55101714229</v>
      </c>
      <c r="G5" s="19"/>
      <c r="H5" s="18"/>
      <c r="I5" s="18"/>
      <c r="J5" s="18">
        <f>('E Balans VL '!D25+'E Balans VL '!E25)/3.6*1000000*landbouw!B17/100</f>
        <v>433.0386491129853</v>
      </c>
      <c r="K5" s="18"/>
      <c r="L5" s="18">
        <f>L6*(-1)</f>
        <v>0</v>
      </c>
      <c r="M5" s="18"/>
      <c r="N5" s="18">
        <f>N6*(-1)</f>
        <v>135.10714285714283</v>
      </c>
      <c r="O5" s="18"/>
      <c r="P5" s="18"/>
      <c r="R5" s="33"/>
    </row>
    <row r="6" spans="1:18">
      <c r="A6" s="17" t="s">
        <v>502</v>
      </c>
      <c r="B6" s="18" t="s">
        <v>211</v>
      </c>
      <c r="C6" s="18">
        <f>'lokale energieproductie'!O91+'lokale energieproductie'!O60</f>
        <v>67.553571428571416</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-135.10714285714283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3500.5790000000002</v>
      </c>
      <c r="C8" s="22">
        <f>C5+C6</f>
        <v>67.553571428571416</v>
      </c>
      <c r="D8" s="22">
        <f>MAX((D5+D6),0)</f>
        <v>0</v>
      </c>
      <c r="E8" s="22">
        <f>MAX((E5+E6),0)</f>
        <v>32.977799644868512</v>
      </c>
      <c r="F8" s="22">
        <f>MAX((F5+F6),0)</f>
        <v>11423.55101714229</v>
      </c>
      <c r="G8" s="22"/>
      <c r="H8" s="22"/>
      <c r="I8" s="22"/>
      <c r="J8" s="22">
        <f>MAX((J5+J6),0)</f>
        <v>433.0386491129853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0.20231703777891841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708.22677379108848</v>
      </c>
      <c r="C12" s="24">
        <f ca="1">C8*C10</f>
        <v>0</v>
      </c>
      <c r="D12" s="24">
        <f>D8*D10</f>
        <v>0</v>
      </c>
      <c r="E12" s="24">
        <f>E8*E10</f>
        <v>7.4859605193851522</v>
      </c>
      <c r="F12" s="24">
        <f>F8*F10</f>
        <v>3050.0881215769919</v>
      </c>
      <c r="G12" s="24"/>
      <c r="H12" s="24"/>
      <c r="I12" s="24"/>
      <c r="J12" s="24">
        <f>J8*J10</f>
        <v>153.29568178599678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0.47392245913573117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776.5428607558772</v>
      </c>
      <c r="C26" s="250">
        <f>B26*'GWP N2O_CH4'!B5</f>
        <v>16307.400075873422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337.3641002653232</v>
      </c>
      <c r="C27" s="250">
        <f>B27*'GWP N2O_CH4'!B5</f>
        <v>7084.6461055717873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9.3007802313603172</v>
      </c>
      <c r="C28" s="250">
        <f>B28*'GWP N2O_CH4'!B4</f>
        <v>2883.2418717216983</v>
      </c>
      <c r="D28" s="51"/>
    </row>
    <row r="29" spans="1:4">
      <c r="A29" s="42" t="s">
        <v>277</v>
      </c>
      <c r="B29" s="250">
        <f>B34*'ha_N2O bodem landbouw'!B4</f>
        <v>17.472675857916997</v>
      </c>
      <c r="C29" s="250">
        <f>B29*'GWP N2O_CH4'!B4</f>
        <v>5416.5295159542693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4.7170724371392025E-3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4.729217226445353E-6</v>
      </c>
      <c r="C5" s="447" t="s">
        <v>211</v>
      </c>
      <c r="D5" s="432">
        <f>SUM(D6:D11)</f>
        <v>1.4466672573097137E-5</v>
      </c>
      <c r="E5" s="432">
        <f>SUM(E6:E11)</f>
        <v>8.2523474069693997E-4</v>
      </c>
      <c r="F5" s="445" t="s">
        <v>211</v>
      </c>
      <c r="G5" s="432">
        <f>SUM(G6:G11)</f>
        <v>0.16656350902127012</v>
      </c>
      <c r="H5" s="432">
        <f>SUM(H6:H11)</f>
        <v>3.1879559323383495E-2</v>
      </c>
      <c r="I5" s="447" t="s">
        <v>211</v>
      </c>
      <c r="J5" s="447" t="s">
        <v>211</v>
      </c>
      <c r="K5" s="447" t="s">
        <v>211</v>
      </c>
      <c r="L5" s="447" t="s">
        <v>211</v>
      </c>
      <c r="M5" s="432">
        <f>SUM(M6:M11)</f>
        <v>8.8753891772558793E-3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3.224689684218945E-6</v>
      </c>
      <c r="C6" s="433"/>
      <c r="D6" s="433">
        <f>vkm_2011_GW_PW*SUMIFS(TableVerdeelsleutelVkm[CNG],TableVerdeelsleutelVkm[Voertuigtype],"Lichte voertuigen")*SUMIFS(TableECFTransport[EnergieConsumptieFactor (PJ per km)],TableECFTransport[Index],CONCATENATE($A6,"_CNG_CNG"))</f>
        <v>7.8747462130840672E-6</v>
      </c>
      <c r="E6" s="435">
        <f>vkm_2011_GW_PW*SUMIFS(TableVerdeelsleutelVkm[LPG],TableVerdeelsleutelVkm[Voertuigtype],"Lichte voertuigen")*SUMIFS(TableECFTransport[EnergieConsumptieFactor (PJ per km)],TableECFTransport[Index],CONCATENATE($A6,"_LPG_LPG"))</f>
        <v>4.6677425991760983E-4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6.7477710159075346E-2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1.7683969233991296E-2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3.8136968380734389E-3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4.7520570246976063E-2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1.9172697423345616E-5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2.117026701741298E-3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1.5045275422264082E-6</v>
      </c>
      <c r="C8" s="433"/>
      <c r="D8" s="435">
        <f>vkm_2011_NGW_PW*SUMIFS(TableVerdeelsleutelVkm[CNG],TableVerdeelsleutelVkm[Voertuigtype],"Lichte voertuigen")*SUMIFS(TableECFTransport[EnergieConsumptieFactor (PJ per km)],TableECFTransport[Index],CONCATENATE($A8,"_CNG_CNG"))</f>
        <v>6.59192636001307E-6</v>
      </c>
      <c r="E8" s="435">
        <f>vkm_2011_NGW_PW*SUMIFS(TableVerdeelsleutelVkm[LPG],TableVerdeelsleutelVkm[Voertuigtype],"Lichte voertuigen")*SUMIFS(TableECFTransport[EnergieConsumptieFactor (PJ per km)],TableECFTransport[Index],CONCATENATE($A8,"_LPG_LPG"))</f>
        <v>3.5846048077933009E-4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4.8953271509827125E-2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1.4175499833043743E-2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2.8283099889815947E-3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2.6119571053915928E-3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9.1755892511069152E-7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1.1635564845954618E-4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1.3136714517903758</v>
      </c>
      <c r="C14" s="22"/>
      <c r="D14" s="22">
        <f t="shared" ref="D14:M14" si="0">((D5)*10^9/3600)+D12</f>
        <v>4.018520159193649</v>
      </c>
      <c r="E14" s="22">
        <f t="shared" si="0"/>
        <v>229.23187241581667</v>
      </c>
      <c r="F14" s="22"/>
      <c r="G14" s="22">
        <f t="shared" si="0"/>
        <v>46267.641394797254</v>
      </c>
      <c r="H14" s="22">
        <f t="shared" si="0"/>
        <v>8855.4331453843042</v>
      </c>
      <c r="I14" s="22"/>
      <c r="J14" s="22"/>
      <c r="K14" s="22"/>
      <c r="L14" s="22"/>
      <c r="M14" s="22">
        <f t="shared" si="0"/>
        <v>2465.3858825710777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0.20231703777891841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0.26577811674096008</v>
      </c>
      <c r="C18" s="24"/>
      <c r="D18" s="24">
        <f t="shared" ref="D18:M18" si="1">D14*D16</f>
        <v>0.81174107215711711</v>
      </c>
      <c r="E18" s="24">
        <f t="shared" si="1"/>
        <v>52.035635038390389</v>
      </c>
      <c r="F18" s="24"/>
      <c r="G18" s="24">
        <f t="shared" si="1"/>
        <v>12353.460252410867</v>
      </c>
      <c r="H18" s="24">
        <f t="shared" si="1"/>
        <v>2205.0028532006918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3.8861359315347315E-3</v>
      </c>
      <c r="H50" s="323">
        <f t="shared" si="2"/>
        <v>0</v>
      </c>
      <c r="I50" s="323">
        <f t="shared" si="2"/>
        <v>0</v>
      </c>
      <c r="J50" s="323">
        <f t="shared" si="2"/>
        <v>0</v>
      </c>
      <c r="K50" s="323">
        <f t="shared" si="2"/>
        <v>0</v>
      </c>
      <c r="L50" s="323">
        <f t="shared" si="2"/>
        <v>0</v>
      </c>
      <c r="M50" s="323">
        <f t="shared" si="2"/>
        <v>1.7064663933589804E-4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3.8861359315347315E-3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1.7064663933589804E-4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1079.482203204092</v>
      </c>
      <c r="H54" s="22">
        <f t="shared" si="3"/>
        <v>0</v>
      </c>
      <c r="I54" s="22">
        <f t="shared" si="3"/>
        <v>0</v>
      </c>
      <c r="J54" s="22">
        <f t="shared" si="3"/>
        <v>0</v>
      </c>
      <c r="K54" s="22">
        <f t="shared" si="3"/>
        <v>0</v>
      </c>
      <c r="L54" s="22">
        <f t="shared" si="3"/>
        <v>0</v>
      </c>
      <c r="M54" s="22">
        <f t="shared" si="3"/>
        <v>47.401844259971675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0.20231703777891841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288.22174825549257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726</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7050.2804755402594</v>
      </c>
      <c r="C6" s="1135"/>
      <c r="D6" s="1138"/>
      <c r="E6" s="1138"/>
      <c r="F6" s="1141"/>
      <c r="G6" s="1144"/>
      <c r="H6" s="1132"/>
      <c r="I6" s="1138"/>
      <c r="J6" s="1138"/>
      <c r="K6" s="1138"/>
      <c r="L6" s="1168"/>
      <c r="M6" s="560"/>
      <c r="N6" s="1180"/>
      <c r="O6" s="1181"/>
      <c r="Q6" s="558"/>
      <c r="R6" s="1165"/>
      <c r="S6" s="1165"/>
    </row>
    <row r="7" spans="1:19" s="548" customFormat="1">
      <c r="A7" s="561" t="s">
        <v>252</v>
      </c>
      <c r="B7" s="562">
        <f>N57</f>
        <v>47.287499999999994</v>
      </c>
      <c r="C7" s="563">
        <f>B100</f>
        <v>0</v>
      </c>
      <c r="D7" s="564"/>
      <c r="E7" s="564">
        <f>E100</f>
        <v>0</v>
      </c>
      <c r="F7" s="565"/>
      <c r="G7" s="566"/>
      <c r="H7" s="564">
        <f>I100</f>
        <v>0</v>
      </c>
      <c r="I7" s="564">
        <f>G100+F100</f>
        <v>0</v>
      </c>
      <c r="J7" s="564">
        <f>H100+D100+C100</f>
        <v>55.632352941176464</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7823.5679755402598</v>
      </c>
      <c r="C9" s="579">
        <f t="shared" ref="C9:L9" si="0">SUM(C7:C8)</f>
        <v>0</v>
      </c>
      <c r="D9" s="579">
        <f t="shared" si="0"/>
        <v>0</v>
      </c>
      <c r="E9" s="579">
        <f t="shared" si="0"/>
        <v>0</v>
      </c>
      <c r="F9" s="579">
        <f t="shared" si="0"/>
        <v>0</v>
      </c>
      <c r="G9" s="579">
        <f t="shared" si="0"/>
        <v>0</v>
      </c>
      <c r="H9" s="579">
        <f t="shared" si="0"/>
        <v>0</v>
      </c>
      <c r="I9" s="579">
        <f t="shared" si="0"/>
        <v>0</v>
      </c>
      <c r="J9" s="579">
        <f t="shared" si="0"/>
        <v>55.632352941176464</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67.553571428571416</v>
      </c>
      <c r="C16" s="595">
        <f>B101</f>
        <v>0</v>
      </c>
      <c r="D16" s="596"/>
      <c r="E16" s="596">
        <f>E101</f>
        <v>0</v>
      </c>
      <c r="F16" s="597"/>
      <c r="G16" s="598"/>
      <c r="H16" s="595">
        <f>I101</f>
        <v>0</v>
      </c>
      <c r="I16" s="596">
        <f>G101+F101</f>
        <v>0</v>
      </c>
      <c r="J16" s="596">
        <f>H101+D101+C101</f>
        <v>79.474789915966369</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67.553571428571416</v>
      </c>
      <c r="C19" s="578">
        <f>SUM(C16:C18)</f>
        <v>0</v>
      </c>
      <c r="D19" s="578">
        <f t="shared" ref="D19:M19" si="1">SUM(D16:D18)</f>
        <v>0</v>
      </c>
      <c r="E19" s="578">
        <f t="shared" si="1"/>
        <v>0</v>
      </c>
      <c r="F19" s="578">
        <f t="shared" si="1"/>
        <v>0</v>
      </c>
      <c r="G19" s="578">
        <f t="shared" si="1"/>
        <v>0</v>
      </c>
      <c r="H19" s="578">
        <f t="shared" si="1"/>
        <v>0</v>
      </c>
      <c r="I19" s="578">
        <f t="shared" si="1"/>
        <v>0</v>
      </c>
      <c r="J19" s="578">
        <f t="shared" si="1"/>
        <v>79.474789915966369</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72003</v>
      </c>
      <c r="C27" s="840">
        <v>3950</v>
      </c>
      <c r="D27" s="657" t="s">
        <v>877</v>
      </c>
      <c r="E27" s="656" t="s">
        <v>878</v>
      </c>
      <c r="F27" s="656" t="s">
        <v>879</v>
      </c>
      <c r="G27" s="656" t="s">
        <v>880</v>
      </c>
      <c r="H27" s="656" t="s">
        <v>881</v>
      </c>
      <c r="I27" s="656" t="s">
        <v>882</v>
      </c>
      <c r="J27" s="839">
        <v>41078</v>
      </c>
      <c r="K27" s="839">
        <v>41244</v>
      </c>
      <c r="L27" s="656" t="s">
        <v>883</v>
      </c>
      <c r="M27" s="656">
        <v>9.6999999999999993</v>
      </c>
      <c r="N27" s="656">
        <v>3.6374999999999993</v>
      </c>
      <c r="O27" s="656">
        <v>5.1964285714285703</v>
      </c>
      <c r="P27" s="656">
        <v>0</v>
      </c>
      <c r="Q27" s="656">
        <v>10.392857142857142</v>
      </c>
      <c r="R27" s="656">
        <v>0</v>
      </c>
      <c r="S27" s="656">
        <v>0</v>
      </c>
      <c r="T27" s="656">
        <v>0</v>
      </c>
      <c r="U27" s="656">
        <v>0</v>
      </c>
      <c r="V27" s="656">
        <v>0</v>
      </c>
      <c r="W27" s="656"/>
      <c r="X27" s="656">
        <v>10</v>
      </c>
      <c r="Y27" s="656" t="s">
        <v>112</v>
      </c>
      <c r="Z27" s="658" t="s">
        <v>112</v>
      </c>
    </row>
    <row r="28" spans="1:26" s="610" customFormat="1" ht="25.5">
      <c r="A28" s="609"/>
      <c r="B28" s="840">
        <v>72003</v>
      </c>
      <c r="C28" s="840">
        <v>3950</v>
      </c>
      <c r="D28" s="657" t="s">
        <v>877</v>
      </c>
      <c r="E28" s="656" t="s">
        <v>878</v>
      </c>
      <c r="F28" s="656" t="s">
        <v>884</v>
      </c>
      <c r="G28" s="656" t="s">
        <v>880</v>
      </c>
      <c r="H28" s="656" t="s">
        <v>881</v>
      </c>
      <c r="I28" s="656" t="s">
        <v>885</v>
      </c>
      <c r="J28" s="839">
        <v>41078</v>
      </c>
      <c r="K28" s="839">
        <v>41275</v>
      </c>
      <c r="L28" s="656" t="s">
        <v>883</v>
      </c>
      <c r="M28" s="656">
        <v>9.6999999999999993</v>
      </c>
      <c r="N28" s="656">
        <v>43.649999999999991</v>
      </c>
      <c r="O28" s="656">
        <v>62.357142857142847</v>
      </c>
      <c r="P28" s="656">
        <v>0</v>
      </c>
      <c r="Q28" s="656">
        <v>124.71428571428569</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19.399999999999999</v>
      </c>
      <c r="N57" s="614">
        <f>SUM(N27:N56)</f>
        <v>47.287499999999994</v>
      </c>
      <c r="O57" s="614">
        <f t="shared" ref="O57:W57" si="2">SUM(O27:O56)</f>
        <v>67.553571428571416</v>
      </c>
      <c r="P57" s="614">
        <f t="shared" si="2"/>
        <v>0</v>
      </c>
      <c r="Q57" s="614">
        <f t="shared" si="2"/>
        <v>135.10714285714283</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19.399999999999999</v>
      </c>
      <c r="N60" s="619">
        <f t="shared" ref="N60:W60" si="4">SUMIF($Z$27:$Z$56,"landbouw",N27:N56)</f>
        <v>47.287499999999994</v>
      </c>
      <c r="O60" s="619">
        <f t="shared" si="4"/>
        <v>67.553571428571416</v>
      </c>
      <c r="P60" s="619">
        <f t="shared" si="4"/>
        <v>0</v>
      </c>
      <c r="Q60" s="619">
        <f t="shared" si="4"/>
        <v>135.10714285714283</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55.632352941176464</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79.474789915966369</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32829.555999999997</v>
      </c>
      <c r="D10" s="703">
        <f ca="1">tertiair!C16</f>
        <v>0</v>
      </c>
      <c r="E10" s="703">
        <f ca="1">tertiair!D16</f>
        <v>27780.324572000001</v>
      </c>
      <c r="F10" s="703">
        <f>tertiair!E16</f>
        <v>173.60016570065926</v>
      </c>
      <c r="G10" s="703">
        <f ca="1">tertiair!F16</f>
        <v>4728.6862396052265</v>
      </c>
      <c r="H10" s="703">
        <f>tertiair!G16</f>
        <v>0</v>
      </c>
      <c r="I10" s="703">
        <f>tertiair!H16</f>
        <v>0</v>
      </c>
      <c r="J10" s="703">
        <f>tertiair!I16</f>
        <v>0</v>
      </c>
      <c r="K10" s="703">
        <f>tertiair!J16</f>
        <v>0</v>
      </c>
      <c r="L10" s="703">
        <f>tertiair!K16</f>
        <v>0</v>
      </c>
      <c r="M10" s="703">
        <f ca="1">tertiair!L16</f>
        <v>0</v>
      </c>
      <c r="N10" s="703">
        <f>tertiair!M16</f>
        <v>0</v>
      </c>
      <c r="O10" s="703">
        <f ca="1">tertiair!N16</f>
        <v>918.75333353610881</v>
      </c>
      <c r="P10" s="703">
        <f>tertiair!O16</f>
        <v>0</v>
      </c>
      <c r="Q10" s="704">
        <f>tertiair!P16</f>
        <v>0</v>
      </c>
      <c r="R10" s="706">
        <f ca="1">SUM(C10:Q10)</f>
        <v>66430.92031084199</v>
      </c>
      <c r="S10" s="68"/>
    </row>
    <row r="11" spans="1:19" s="458" customFormat="1">
      <c r="A11" s="859" t="s">
        <v>225</v>
      </c>
      <c r="B11" s="864"/>
      <c r="C11" s="703">
        <f>huishoudens!B8</f>
        <v>25701.49761066716</v>
      </c>
      <c r="D11" s="703">
        <f>huishoudens!C8</f>
        <v>0</v>
      </c>
      <c r="E11" s="703">
        <f>huishoudens!D8</f>
        <v>28138.073106000003</v>
      </c>
      <c r="F11" s="703">
        <f>huishoudens!E8</f>
        <v>4197.3982799956784</v>
      </c>
      <c r="G11" s="703">
        <f>huishoudens!F8</f>
        <v>40976.05180842866</v>
      </c>
      <c r="H11" s="703">
        <f>huishoudens!G8</f>
        <v>0</v>
      </c>
      <c r="I11" s="703">
        <f>huishoudens!H8</f>
        <v>0</v>
      </c>
      <c r="J11" s="703">
        <f>huishoudens!I8</f>
        <v>0</v>
      </c>
      <c r="K11" s="703">
        <f>huishoudens!J8</f>
        <v>0</v>
      </c>
      <c r="L11" s="703">
        <f>huishoudens!K8</f>
        <v>0</v>
      </c>
      <c r="M11" s="703">
        <f>huishoudens!L8</f>
        <v>0</v>
      </c>
      <c r="N11" s="703">
        <f>huishoudens!M8</f>
        <v>0</v>
      </c>
      <c r="O11" s="703">
        <f>huishoudens!N8</f>
        <v>16795.621479839123</v>
      </c>
      <c r="P11" s="703">
        <f>huishoudens!O8</f>
        <v>115.68666666666667</v>
      </c>
      <c r="Q11" s="704">
        <f>huishoudens!P8</f>
        <v>247.86666666666667</v>
      </c>
      <c r="R11" s="706">
        <f>SUM(C11:Q11)</f>
        <v>116172.19561826396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30511.721000000001</v>
      </c>
      <c r="D13" s="703">
        <f>industrie!C18</f>
        <v>0</v>
      </c>
      <c r="E13" s="703">
        <f>industrie!D18</f>
        <v>40775.811999999998</v>
      </c>
      <c r="F13" s="703">
        <f>industrie!E18</f>
        <v>259.55481422871821</v>
      </c>
      <c r="G13" s="703">
        <f>industrie!F18</f>
        <v>6887.0294680632269</v>
      </c>
      <c r="H13" s="703">
        <f>industrie!G18</f>
        <v>0</v>
      </c>
      <c r="I13" s="703">
        <f>industrie!H18</f>
        <v>0</v>
      </c>
      <c r="J13" s="703">
        <f>industrie!I18</f>
        <v>0</v>
      </c>
      <c r="K13" s="703">
        <f>industrie!J18</f>
        <v>6.6641506219725226</v>
      </c>
      <c r="L13" s="703">
        <f>industrie!K18</f>
        <v>0</v>
      </c>
      <c r="M13" s="703">
        <f>industrie!L18</f>
        <v>0</v>
      </c>
      <c r="N13" s="703">
        <f>industrie!M18</f>
        <v>0</v>
      </c>
      <c r="O13" s="703">
        <f>industrie!N18</f>
        <v>750.68910843377319</v>
      </c>
      <c r="P13" s="703">
        <f>industrie!O18</f>
        <v>0</v>
      </c>
      <c r="Q13" s="704">
        <f>industrie!P18</f>
        <v>0</v>
      </c>
      <c r="R13" s="706">
        <f>SUM(C13:Q13)</f>
        <v>79191.470541347677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89042.774610667155</v>
      </c>
      <c r="D15" s="708">
        <f t="shared" ref="D15:Q15" ca="1" si="0">SUM(D9:D14)</f>
        <v>0</v>
      </c>
      <c r="E15" s="708">
        <f t="shared" ca="1" si="0"/>
        <v>96694.209678000014</v>
      </c>
      <c r="F15" s="708">
        <f t="shared" si="0"/>
        <v>4630.5532599250555</v>
      </c>
      <c r="G15" s="708">
        <f t="shared" ca="1" si="0"/>
        <v>52591.767516097112</v>
      </c>
      <c r="H15" s="708">
        <f t="shared" si="0"/>
        <v>0</v>
      </c>
      <c r="I15" s="708">
        <f t="shared" si="0"/>
        <v>0</v>
      </c>
      <c r="J15" s="708">
        <f t="shared" si="0"/>
        <v>0</v>
      </c>
      <c r="K15" s="708">
        <f t="shared" si="0"/>
        <v>6.6641506219725226</v>
      </c>
      <c r="L15" s="708">
        <f t="shared" si="0"/>
        <v>0</v>
      </c>
      <c r="M15" s="708">
        <f t="shared" ca="1" si="0"/>
        <v>0</v>
      </c>
      <c r="N15" s="708">
        <f t="shared" si="0"/>
        <v>0</v>
      </c>
      <c r="O15" s="708">
        <f t="shared" ca="1" si="0"/>
        <v>18465.063921809004</v>
      </c>
      <c r="P15" s="708">
        <f t="shared" si="0"/>
        <v>115.68666666666667</v>
      </c>
      <c r="Q15" s="709">
        <f t="shared" si="0"/>
        <v>247.86666666666667</v>
      </c>
      <c r="R15" s="710">
        <f ca="1">SUM(R9:R14)</f>
        <v>261794.58647045365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1079.482203204092</v>
      </c>
      <c r="I18" s="703">
        <f>transport!H54</f>
        <v>0</v>
      </c>
      <c r="J18" s="703">
        <f>transport!I54</f>
        <v>0</v>
      </c>
      <c r="K18" s="703">
        <f>transport!J54</f>
        <v>0</v>
      </c>
      <c r="L18" s="703">
        <f>transport!K54</f>
        <v>0</v>
      </c>
      <c r="M18" s="703">
        <f>transport!L54</f>
        <v>0</v>
      </c>
      <c r="N18" s="703">
        <f>transport!M54</f>
        <v>47.401844259971675</v>
      </c>
      <c r="O18" s="703">
        <f>transport!N54</f>
        <v>0</v>
      </c>
      <c r="P18" s="703">
        <f>transport!O54</f>
        <v>0</v>
      </c>
      <c r="Q18" s="704">
        <f>transport!P54</f>
        <v>0</v>
      </c>
      <c r="R18" s="706">
        <f>SUM(C18:Q18)</f>
        <v>1126.8840474640638</v>
      </c>
      <c r="S18" s="68"/>
    </row>
    <row r="19" spans="1:19" s="458" customFormat="1" ht="15" thickBot="1">
      <c r="A19" s="859" t="s">
        <v>307</v>
      </c>
      <c r="B19" s="864"/>
      <c r="C19" s="712">
        <f>transport!B14</f>
        <v>1.3136714517903758</v>
      </c>
      <c r="D19" s="712">
        <f>transport!C14</f>
        <v>0</v>
      </c>
      <c r="E19" s="712">
        <f>transport!D14</f>
        <v>4.018520159193649</v>
      </c>
      <c r="F19" s="712">
        <f>transport!E14</f>
        <v>229.23187241581667</v>
      </c>
      <c r="G19" s="712">
        <f>transport!F14</f>
        <v>0</v>
      </c>
      <c r="H19" s="712">
        <f>transport!G14</f>
        <v>46267.641394797254</v>
      </c>
      <c r="I19" s="712">
        <f>transport!H14</f>
        <v>8855.4331453843042</v>
      </c>
      <c r="J19" s="712">
        <f>transport!I14</f>
        <v>0</v>
      </c>
      <c r="K19" s="712">
        <f>transport!J14</f>
        <v>0</v>
      </c>
      <c r="L19" s="712">
        <f>transport!K14</f>
        <v>0</v>
      </c>
      <c r="M19" s="712">
        <f>transport!L14</f>
        <v>0</v>
      </c>
      <c r="N19" s="712">
        <f>transport!M14</f>
        <v>2465.3858825710777</v>
      </c>
      <c r="O19" s="712">
        <f>transport!N14</f>
        <v>0</v>
      </c>
      <c r="P19" s="712">
        <f>transport!O14</f>
        <v>0</v>
      </c>
      <c r="Q19" s="713">
        <f>transport!P14</f>
        <v>0</v>
      </c>
      <c r="R19" s="714">
        <f>SUM(C19:Q19)</f>
        <v>57823.024486779439</v>
      </c>
      <c r="S19" s="68"/>
    </row>
    <row r="20" spans="1:19" s="458" customFormat="1" ht="15.75" thickBot="1">
      <c r="A20" s="715" t="s">
        <v>230</v>
      </c>
      <c r="B20" s="867"/>
      <c r="C20" s="862">
        <f>SUM(C17:C19)</f>
        <v>1.3136714517903758</v>
      </c>
      <c r="D20" s="716">
        <f t="shared" ref="D20:R20" si="1">SUM(D17:D19)</f>
        <v>0</v>
      </c>
      <c r="E20" s="716">
        <f t="shared" si="1"/>
        <v>4.018520159193649</v>
      </c>
      <c r="F20" s="716">
        <f t="shared" si="1"/>
        <v>229.23187241581667</v>
      </c>
      <c r="G20" s="716">
        <f t="shared" si="1"/>
        <v>0</v>
      </c>
      <c r="H20" s="716">
        <f t="shared" si="1"/>
        <v>47347.123598001344</v>
      </c>
      <c r="I20" s="716">
        <f t="shared" si="1"/>
        <v>8855.4331453843042</v>
      </c>
      <c r="J20" s="716">
        <f t="shared" si="1"/>
        <v>0</v>
      </c>
      <c r="K20" s="716">
        <f t="shared" si="1"/>
        <v>0</v>
      </c>
      <c r="L20" s="716">
        <f t="shared" si="1"/>
        <v>0</v>
      </c>
      <c r="M20" s="716">
        <f t="shared" si="1"/>
        <v>0</v>
      </c>
      <c r="N20" s="716">
        <f t="shared" si="1"/>
        <v>2512.7877268310494</v>
      </c>
      <c r="O20" s="716">
        <f t="shared" si="1"/>
        <v>0</v>
      </c>
      <c r="P20" s="716">
        <f t="shared" si="1"/>
        <v>0</v>
      </c>
      <c r="Q20" s="717">
        <f t="shared" si="1"/>
        <v>0</v>
      </c>
      <c r="R20" s="718">
        <f t="shared" si="1"/>
        <v>58949.908534243499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3500.5790000000002</v>
      </c>
      <c r="D22" s="712">
        <f>+landbouw!C8</f>
        <v>67.553571428571416</v>
      </c>
      <c r="E22" s="712">
        <f>+landbouw!D8</f>
        <v>0</v>
      </c>
      <c r="F22" s="712">
        <f>+landbouw!E8</f>
        <v>32.977799644868512</v>
      </c>
      <c r="G22" s="712">
        <f>+landbouw!F8</f>
        <v>11423.55101714229</v>
      </c>
      <c r="H22" s="712">
        <f>+landbouw!G8</f>
        <v>0</v>
      </c>
      <c r="I22" s="712">
        <f>+landbouw!H8</f>
        <v>0</v>
      </c>
      <c r="J22" s="712">
        <f>+landbouw!I8</f>
        <v>0</v>
      </c>
      <c r="K22" s="712">
        <f>+landbouw!J8</f>
        <v>433.0386491129853</v>
      </c>
      <c r="L22" s="712">
        <f>+landbouw!K8</f>
        <v>0</v>
      </c>
      <c r="M22" s="712">
        <f>+landbouw!L8</f>
        <v>0</v>
      </c>
      <c r="N22" s="712">
        <f>+landbouw!M8</f>
        <v>0</v>
      </c>
      <c r="O22" s="712">
        <f>+landbouw!N8</f>
        <v>0</v>
      </c>
      <c r="P22" s="712">
        <f>+landbouw!O8</f>
        <v>0</v>
      </c>
      <c r="Q22" s="713">
        <f>+landbouw!P8</f>
        <v>0</v>
      </c>
      <c r="R22" s="714">
        <f>SUM(C22:Q22)</f>
        <v>15457.700037328716</v>
      </c>
      <c r="S22" s="68"/>
    </row>
    <row r="23" spans="1:19" s="458" customFormat="1" ht="17.25" thickTop="1" thickBot="1">
      <c r="A23" s="719" t="s">
        <v>116</v>
      </c>
      <c r="B23" s="853"/>
      <c r="C23" s="720">
        <f ca="1">C20+C15+C22</f>
        <v>92544.667282118942</v>
      </c>
      <c r="D23" s="720">
        <f t="shared" ref="D23:Q23" ca="1" si="2">D20+D15+D22</f>
        <v>67.553571428571416</v>
      </c>
      <c r="E23" s="720">
        <f t="shared" ca="1" si="2"/>
        <v>96698.22819815921</v>
      </c>
      <c r="F23" s="720">
        <f t="shared" si="2"/>
        <v>4892.7629319857406</v>
      </c>
      <c r="G23" s="720">
        <f t="shared" ca="1" si="2"/>
        <v>64015.318533239406</v>
      </c>
      <c r="H23" s="720">
        <f t="shared" si="2"/>
        <v>47347.123598001344</v>
      </c>
      <c r="I23" s="720">
        <f t="shared" si="2"/>
        <v>8855.4331453843042</v>
      </c>
      <c r="J23" s="720">
        <f t="shared" si="2"/>
        <v>0</v>
      </c>
      <c r="K23" s="720">
        <f t="shared" si="2"/>
        <v>439.70279973495781</v>
      </c>
      <c r="L23" s="720">
        <f t="shared" si="2"/>
        <v>0</v>
      </c>
      <c r="M23" s="720">
        <f t="shared" ca="1" si="2"/>
        <v>0</v>
      </c>
      <c r="N23" s="720">
        <f t="shared" si="2"/>
        <v>2512.7877268310494</v>
      </c>
      <c r="O23" s="720">
        <f t="shared" ca="1" si="2"/>
        <v>18465.063921809004</v>
      </c>
      <c r="P23" s="720">
        <f t="shared" si="2"/>
        <v>115.68666666666667</v>
      </c>
      <c r="Q23" s="721">
        <f t="shared" si="2"/>
        <v>247.86666666666667</v>
      </c>
      <c r="R23" s="722">
        <f ca="1">R20+R15+R22</f>
        <v>336202.19504202582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6641.9785215171169</v>
      </c>
      <c r="D36" s="703">
        <f ca="1">tertiair!C20</f>
        <v>0</v>
      </c>
      <c r="E36" s="703">
        <f ca="1">tertiair!D20</f>
        <v>5611.6255635440002</v>
      </c>
      <c r="F36" s="703">
        <f>tertiair!E20</f>
        <v>39.407237614049656</v>
      </c>
      <c r="G36" s="703">
        <f ca="1">tertiair!F20</f>
        <v>1262.5592259745956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13555.570548649763</v>
      </c>
    </row>
    <row r="37" spans="1:18">
      <c r="A37" s="874" t="s">
        <v>225</v>
      </c>
      <c r="B37" s="881"/>
      <c r="C37" s="703">
        <f ca="1">huishoudens!B12</f>
        <v>5199.850863072129</v>
      </c>
      <c r="D37" s="703">
        <f ca="1">huishoudens!C12</f>
        <v>0</v>
      </c>
      <c r="E37" s="703">
        <f>huishoudens!D12</f>
        <v>5683.890767412001</v>
      </c>
      <c r="F37" s="703">
        <f>huishoudens!E12</f>
        <v>952.80940955901906</v>
      </c>
      <c r="G37" s="703">
        <f>huishoudens!F12</f>
        <v>10940.605832850453</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22777.156872893604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6173.0410102568185</v>
      </c>
      <c r="D39" s="703">
        <f ca="1">industrie!C22</f>
        <v>0</v>
      </c>
      <c r="E39" s="703">
        <f>industrie!D22</f>
        <v>8236.7140240000008</v>
      </c>
      <c r="F39" s="703">
        <f>industrie!E22</f>
        <v>58.91894282991904</v>
      </c>
      <c r="G39" s="703">
        <f>industrie!F22</f>
        <v>1838.8368679728817</v>
      </c>
      <c r="H39" s="703">
        <f>industrie!G22</f>
        <v>0</v>
      </c>
      <c r="I39" s="703">
        <f>industrie!H22</f>
        <v>0</v>
      </c>
      <c r="J39" s="703">
        <f>industrie!I22</f>
        <v>0</v>
      </c>
      <c r="K39" s="703">
        <f>industrie!J22</f>
        <v>2.3591093201782729</v>
      </c>
      <c r="L39" s="703">
        <f>industrie!K22</f>
        <v>0</v>
      </c>
      <c r="M39" s="703">
        <f>industrie!L22</f>
        <v>0</v>
      </c>
      <c r="N39" s="703">
        <f>industrie!M22</f>
        <v>0</v>
      </c>
      <c r="O39" s="703">
        <f>industrie!N22</f>
        <v>0</v>
      </c>
      <c r="P39" s="703">
        <f>industrie!O22</f>
        <v>0</v>
      </c>
      <c r="Q39" s="813">
        <f>industrie!P22</f>
        <v>0</v>
      </c>
      <c r="R39" s="907">
        <f ca="1">SUM(C39:Q39)</f>
        <v>16309.869954379797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18014.870394846064</v>
      </c>
      <c r="D41" s="748">
        <f t="shared" ref="D41:R41" ca="1" si="4">SUM(D35:D40)</f>
        <v>0</v>
      </c>
      <c r="E41" s="748">
        <f t="shared" ca="1" si="4"/>
        <v>19532.230354956002</v>
      </c>
      <c r="F41" s="748">
        <f t="shared" si="4"/>
        <v>1051.1355900029878</v>
      </c>
      <c r="G41" s="748">
        <f t="shared" ca="1" si="4"/>
        <v>14042.00192679793</v>
      </c>
      <c r="H41" s="748">
        <f t="shared" si="4"/>
        <v>0</v>
      </c>
      <c r="I41" s="748">
        <f t="shared" si="4"/>
        <v>0</v>
      </c>
      <c r="J41" s="748">
        <f t="shared" si="4"/>
        <v>0</v>
      </c>
      <c r="K41" s="748">
        <f t="shared" si="4"/>
        <v>2.3591093201782729</v>
      </c>
      <c r="L41" s="748">
        <f t="shared" si="4"/>
        <v>0</v>
      </c>
      <c r="M41" s="748">
        <f t="shared" ca="1" si="4"/>
        <v>0</v>
      </c>
      <c r="N41" s="748">
        <f t="shared" si="4"/>
        <v>0</v>
      </c>
      <c r="O41" s="748">
        <f t="shared" ca="1" si="4"/>
        <v>0</v>
      </c>
      <c r="P41" s="748">
        <f t="shared" si="4"/>
        <v>0</v>
      </c>
      <c r="Q41" s="749">
        <f t="shared" si="4"/>
        <v>0</v>
      </c>
      <c r="R41" s="750">
        <f t="shared" ca="1" si="4"/>
        <v>52642.597375923164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288.22174825549257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288.22174825549257</v>
      </c>
    </row>
    <row r="45" spans="1:18" ht="15" thickBot="1">
      <c r="A45" s="877" t="s">
        <v>307</v>
      </c>
      <c r="B45" s="887"/>
      <c r="C45" s="712">
        <f ca="1">transport!B18</f>
        <v>0.26577811674096008</v>
      </c>
      <c r="D45" s="712">
        <f>transport!C18</f>
        <v>0</v>
      </c>
      <c r="E45" s="712">
        <f>transport!D18</f>
        <v>0.81174107215711711</v>
      </c>
      <c r="F45" s="712">
        <f>transport!E18</f>
        <v>52.035635038390389</v>
      </c>
      <c r="G45" s="712">
        <f>transport!F18</f>
        <v>0</v>
      </c>
      <c r="H45" s="712">
        <f>transport!G18</f>
        <v>12353.460252410867</v>
      </c>
      <c r="I45" s="712">
        <f>transport!H18</f>
        <v>2205.0028532006918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14611.576259838846</v>
      </c>
    </row>
    <row r="46" spans="1:18" ht="15.75" thickBot="1">
      <c r="A46" s="875" t="s">
        <v>230</v>
      </c>
      <c r="B46" s="888"/>
      <c r="C46" s="748">
        <f t="shared" ref="C46:R46" ca="1" si="5">SUM(C43:C45)</f>
        <v>0.26577811674096008</v>
      </c>
      <c r="D46" s="748">
        <f t="shared" ca="1" si="5"/>
        <v>0</v>
      </c>
      <c r="E46" s="748">
        <f t="shared" si="5"/>
        <v>0.81174107215711711</v>
      </c>
      <c r="F46" s="748">
        <f t="shared" si="5"/>
        <v>52.035635038390389</v>
      </c>
      <c r="G46" s="748">
        <f t="shared" si="5"/>
        <v>0</v>
      </c>
      <c r="H46" s="748">
        <f t="shared" si="5"/>
        <v>12641.68200066636</v>
      </c>
      <c r="I46" s="748">
        <f t="shared" si="5"/>
        <v>2205.0028532006918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14899.79800809434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708.22677379108848</v>
      </c>
      <c r="D48" s="703">
        <f ca="1">+landbouw!C12</f>
        <v>0</v>
      </c>
      <c r="E48" s="703">
        <f>+landbouw!D12</f>
        <v>0</v>
      </c>
      <c r="F48" s="703">
        <f>+landbouw!E12</f>
        <v>7.4859605193851522</v>
      </c>
      <c r="G48" s="703">
        <f>+landbouw!F12</f>
        <v>3050.0881215769919</v>
      </c>
      <c r="H48" s="703">
        <f>+landbouw!G12</f>
        <v>0</v>
      </c>
      <c r="I48" s="703">
        <f>+landbouw!H12</f>
        <v>0</v>
      </c>
      <c r="J48" s="703">
        <f>+landbouw!I12</f>
        <v>0</v>
      </c>
      <c r="K48" s="703">
        <f>+landbouw!J12</f>
        <v>153.29568178599678</v>
      </c>
      <c r="L48" s="703">
        <f>+landbouw!K12</f>
        <v>0</v>
      </c>
      <c r="M48" s="703">
        <f>+landbouw!L12</f>
        <v>0</v>
      </c>
      <c r="N48" s="703">
        <f>+landbouw!M12</f>
        <v>0</v>
      </c>
      <c r="O48" s="703">
        <f>+landbouw!N12</f>
        <v>0</v>
      </c>
      <c r="P48" s="703">
        <f>+landbouw!O12</f>
        <v>0</v>
      </c>
      <c r="Q48" s="704">
        <f>+landbouw!P12</f>
        <v>0</v>
      </c>
      <c r="R48" s="746">
        <f ca="1">SUM(C48:Q48)</f>
        <v>3919.0965376734621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18723.362946753892</v>
      </c>
      <c r="D53" s="758">
        <f t="shared" ref="D53:Q53" ca="1" si="6">D41+D46+D48</f>
        <v>0</v>
      </c>
      <c r="E53" s="758">
        <f t="shared" ca="1" si="6"/>
        <v>19533.042096028159</v>
      </c>
      <c r="F53" s="758">
        <f t="shared" si="6"/>
        <v>1110.6571855607633</v>
      </c>
      <c r="G53" s="758">
        <f t="shared" ca="1" si="6"/>
        <v>17092.090048374921</v>
      </c>
      <c r="H53" s="758">
        <f t="shared" si="6"/>
        <v>12641.68200066636</v>
      </c>
      <c r="I53" s="758">
        <f t="shared" si="6"/>
        <v>2205.0028532006918</v>
      </c>
      <c r="J53" s="758">
        <f t="shared" si="6"/>
        <v>0</v>
      </c>
      <c r="K53" s="758">
        <f t="shared" si="6"/>
        <v>155.65479110617505</v>
      </c>
      <c r="L53" s="758">
        <f t="shared" si="6"/>
        <v>0</v>
      </c>
      <c r="M53" s="758">
        <f t="shared" ca="1" si="6"/>
        <v>0</v>
      </c>
      <c r="N53" s="758">
        <f t="shared" si="6"/>
        <v>0</v>
      </c>
      <c r="O53" s="758">
        <f t="shared" ca="1" si="6"/>
        <v>0</v>
      </c>
      <c r="P53" s="758">
        <f>P41+P46+P48</f>
        <v>0</v>
      </c>
      <c r="Q53" s="759">
        <f t="shared" si="6"/>
        <v>0</v>
      </c>
      <c r="R53" s="760">
        <f ca="1">R41+R46+R48</f>
        <v>71461.491921690977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0.20231703777891841</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726</v>
      </c>
      <c r="C65" s="780">
        <f>'lokale energieproductie'!B5</f>
        <v>726</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7050.2804755402594</v>
      </c>
      <c r="C66" s="780">
        <f>'lokale energieproductie'!B6</f>
        <v>7050.2804755402594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47.287499999999994</v>
      </c>
      <c r="C67" s="779">
        <f>B67*IFERROR(SUM(J67:L67)/SUM(D67:M67),0)</f>
        <v>47.287499999999994</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55.632352941176464</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7823.5679755402598</v>
      </c>
      <c r="C69" s="788">
        <f>SUM(C64:C68)</f>
        <v>7823.5679755402598</v>
      </c>
      <c r="D69" s="789">
        <f t="shared" ref="D69:M69" si="8">SUM(D67:D68)</f>
        <v>0</v>
      </c>
      <c r="E69" s="789">
        <f t="shared" si="8"/>
        <v>0</v>
      </c>
      <c r="F69" s="789">
        <f t="shared" si="8"/>
        <v>0</v>
      </c>
      <c r="G69" s="789">
        <f t="shared" si="8"/>
        <v>0</v>
      </c>
      <c r="H69" s="789">
        <f t="shared" si="8"/>
        <v>0</v>
      </c>
      <c r="I69" s="789">
        <f t="shared" si="8"/>
        <v>0</v>
      </c>
      <c r="J69" s="789">
        <f t="shared" si="8"/>
        <v>0</v>
      </c>
      <c r="K69" s="789">
        <f t="shared" si="8"/>
        <v>55.632352941176464</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67.553571428571416</v>
      </c>
      <c r="C78" s="802">
        <f>B78*IFERROR(SUM(I78:L78)/SUM(D78:M78),0)</f>
        <v>67.553571428571416</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79.474789915966369</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67.553571428571416</v>
      </c>
      <c r="C81" s="788">
        <f>SUM(C78:C80)</f>
        <v>67.553571428571416</v>
      </c>
      <c r="D81" s="788">
        <f t="shared" ref="D81:P81" si="9">SUM(D78:D80)</f>
        <v>0</v>
      </c>
      <c r="E81" s="788">
        <f t="shared" si="9"/>
        <v>0</v>
      </c>
      <c r="F81" s="788">
        <f t="shared" si="9"/>
        <v>0</v>
      </c>
      <c r="G81" s="788">
        <f t="shared" si="9"/>
        <v>0</v>
      </c>
      <c r="H81" s="788">
        <f t="shared" si="9"/>
        <v>0</v>
      </c>
      <c r="I81" s="788">
        <f t="shared" si="9"/>
        <v>0</v>
      </c>
      <c r="J81" s="788">
        <f t="shared" si="9"/>
        <v>0</v>
      </c>
      <c r="K81" s="788">
        <f t="shared" si="9"/>
        <v>79.474789915966369</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25701.49761066716</v>
      </c>
      <c r="C4" s="462">
        <f>huishoudens!C8</f>
        <v>0</v>
      </c>
      <c r="D4" s="462">
        <f>huishoudens!D8</f>
        <v>28138.073106000003</v>
      </c>
      <c r="E4" s="462">
        <f>huishoudens!E8</f>
        <v>4197.3982799956784</v>
      </c>
      <c r="F4" s="462">
        <f>huishoudens!F8</f>
        <v>40976.05180842866</v>
      </c>
      <c r="G4" s="462">
        <f>huishoudens!G8</f>
        <v>0</v>
      </c>
      <c r="H4" s="462">
        <f>huishoudens!H8</f>
        <v>0</v>
      </c>
      <c r="I4" s="462">
        <f>huishoudens!I8</f>
        <v>0</v>
      </c>
      <c r="J4" s="462">
        <f>huishoudens!J8</f>
        <v>0</v>
      </c>
      <c r="K4" s="462">
        <f>huishoudens!K8</f>
        <v>0</v>
      </c>
      <c r="L4" s="462">
        <f>huishoudens!L8</f>
        <v>0</v>
      </c>
      <c r="M4" s="462">
        <f>huishoudens!M8</f>
        <v>0</v>
      </c>
      <c r="N4" s="462">
        <f>huishoudens!N8</f>
        <v>16795.621479839123</v>
      </c>
      <c r="O4" s="462">
        <f>huishoudens!O8</f>
        <v>115.68666666666667</v>
      </c>
      <c r="P4" s="463">
        <f>huishoudens!P8</f>
        <v>247.86666666666667</v>
      </c>
      <c r="Q4" s="464">
        <f>SUM(B4:P4)</f>
        <v>116172.19561826396</v>
      </c>
    </row>
    <row r="5" spans="1:17">
      <c r="A5" s="461" t="s">
        <v>156</v>
      </c>
      <c r="B5" s="462">
        <f ca="1">tertiair!B16</f>
        <v>31960.587999999996</v>
      </c>
      <c r="C5" s="462">
        <f ca="1">tertiair!C16</f>
        <v>0</v>
      </c>
      <c r="D5" s="462">
        <f ca="1">tertiair!D16</f>
        <v>27780.324572000001</v>
      </c>
      <c r="E5" s="462">
        <f>tertiair!E16</f>
        <v>173.60016570065926</v>
      </c>
      <c r="F5" s="462">
        <f ca="1">tertiair!F16</f>
        <v>4728.6862396052265</v>
      </c>
      <c r="G5" s="462">
        <f>tertiair!G16</f>
        <v>0</v>
      </c>
      <c r="H5" s="462">
        <f>tertiair!H16</f>
        <v>0</v>
      </c>
      <c r="I5" s="462">
        <f>tertiair!I16</f>
        <v>0</v>
      </c>
      <c r="J5" s="462">
        <f>tertiair!J16</f>
        <v>0</v>
      </c>
      <c r="K5" s="462">
        <f>tertiair!K16</f>
        <v>0</v>
      </c>
      <c r="L5" s="462">
        <f ca="1">tertiair!L16</f>
        <v>0</v>
      </c>
      <c r="M5" s="462">
        <f>tertiair!M16</f>
        <v>0</v>
      </c>
      <c r="N5" s="462">
        <f ca="1">tertiair!N16</f>
        <v>918.75333353610881</v>
      </c>
      <c r="O5" s="462">
        <f>tertiair!O16</f>
        <v>0</v>
      </c>
      <c r="P5" s="463">
        <f>tertiair!P16</f>
        <v>0</v>
      </c>
      <c r="Q5" s="461">
        <f t="shared" ref="Q5:Q13" ca="1" si="0">SUM(B5:P5)</f>
        <v>65561.952310841996</v>
      </c>
    </row>
    <row r="6" spans="1:17">
      <c r="A6" s="461" t="s">
        <v>194</v>
      </c>
      <c r="B6" s="462">
        <f>'openbare verlichting'!B8</f>
        <v>868.96799999999996</v>
      </c>
      <c r="C6" s="462"/>
      <c r="D6" s="462"/>
      <c r="E6" s="462"/>
      <c r="F6" s="462"/>
      <c r="G6" s="462"/>
      <c r="H6" s="462"/>
      <c r="I6" s="462"/>
      <c r="J6" s="462"/>
      <c r="K6" s="462"/>
      <c r="L6" s="462"/>
      <c r="M6" s="462"/>
      <c r="N6" s="462"/>
      <c r="O6" s="462"/>
      <c r="P6" s="463"/>
      <c r="Q6" s="461">
        <f t="shared" si="0"/>
        <v>868.96799999999996</v>
      </c>
    </row>
    <row r="7" spans="1:17">
      <c r="A7" s="461" t="s">
        <v>112</v>
      </c>
      <c r="B7" s="462">
        <f>landbouw!B8</f>
        <v>3500.5790000000002</v>
      </c>
      <c r="C7" s="462">
        <f>landbouw!C8</f>
        <v>67.553571428571416</v>
      </c>
      <c r="D7" s="462">
        <f>landbouw!D8</f>
        <v>0</v>
      </c>
      <c r="E7" s="462">
        <f>landbouw!E8</f>
        <v>32.977799644868512</v>
      </c>
      <c r="F7" s="462">
        <f>landbouw!F8</f>
        <v>11423.55101714229</v>
      </c>
      <c r="G7" s="462">
        <f>landbouw!G8</f>
        <v>0</v>
      </c>
      <c r="H7" s="462">
        <f>landbouw!H8</f>
        <v>0</v>
      </c>
      <c r="I7" s="462">
        <f>landbouw!I8</f>
        <v>0</v>
      </c>
      <c r="J7" s="462">
        <f>landbouw!J8</f>
        <v>433.0386491129853</v>
      </c>
      <c r="K7" s="462">
        <f>landbouw!K8</f>
        <v>0</v>
      </c>
      <c r="L7" s="462">
        <f>landbouw!L8</f>
        <v>0</v>
      </c>
      <c r="M7" s="462">
        <f>landbouw!M8</f>
        <v>0</v>
      </c>
      <c r="N7" s="462">
        <f>landbouw!N8</f>
        <v>0</v>
      </c>
      <c r="O7" s="462">
        <f>landbouw!O8</f>
        <v>0</v>
      </c>
      <c r="P7" s="463">
        <f>landbouw!P8</f>
        <v>0</v>
      </c>
      <c r="Q7" s="461">
        <f t="shared" si="0"/>
        <v>15457.700037328716</v>
      </c>
    </row>
    <row r="8" spans="1:17">
      <c r="A8" s="461" t="s">
        <v>685</v>
      </c>
      <c r="B8" s="462">
        <f>industrie!B18</f>
        <v>30511.721000000001</v>
      </c>
      <c r="C8" s="462">
        <f>industrie!C18</f>
        <v>0</v>
      </c>
      <c r="D8" s="462">
        <f>industrie!D18</f>
        <v>40775.811999999998</v>
      </c>
      <c r="E8" s="462">
        <f>industrie!E18</f>
        <v>259.55481422871821</v>
      </c>
      <c r="F8" s="462">
        <f>industrie!F18</f>
        <v>6887.0294680632269</v>
      </c>
      <c r="G8" s="462">
        <f>industrie!G18</f>
        <v>0</v>
      </c>
      <c r="H8" s="462">
        <f>industrie!H18</f>
        <v>0</v>
      </c>
      <c r="I8" s="462">
        <f>industrie!I18</f>
        <v>0</v>
      </c>
      <c r="J8" s="462">
        <f>industrie!J18</f>
        <v>6.6641506219725226</v>
      </c>
      <c r="K8" s="462">
        <f>industrie!K18</f>
        <v>0</v>
      </c>
      <c r="L8" s="462">
        <f>industrie!L18</f>
        <v>0</v>
      </c>
      <c r="M8" s="462">
        <f>industrie!M18</f>
        <v>0</v>
      </c>
      <c r="N8" s="462">
        <f>industrie!N18</f>
        <v>750.68910843377319</v>
      </c>
      <c r="O8" s="462">
        <f>industrie!O18</f>
        <v>0</v>
      </c>
      <c r="P8" s="463">
        <f>industrie!P18</f>
        <v>0</v>
      </c>
      <c r="Q8" s="461">
        <f t="shared" si="0"/>
        <v>79191.470541347677</v>
      </c>
    </row>
    <row r="9" spans="1:17" s="467" customFormat="1">
      <c r="A9" s="465" t="s">
        <v>579</v>
      </c>
      <c r="B9" s="466">
        <f>transport!B14</f>
        <v>1.3136714517903758</v>
      </c>
      <c r="C9" s="466">
        <f>transport!C14</f>
        <v>0</v>
      </c>
      <c r="D9" s="466">
        <f>transport!D14</f>
        <v>4.018520159193649</v>
      </c>
      <c r="E9" s="466">
        <f>transport!E14</f>
        <v>229.23187241581667</v>
      </c>
      <c r="F9" s="466">
        <f>transport!F14</f>
        <v>0</v>
      </c>
      <c r="G9" s="466">
        <f>transport!G14</f>
        <v>46267.641394797254</v>
      </c>
      <c r="H9" s="466">
        <f>transport!H14</f>
        <v>8855.4331453843042</v>
      </c>
      <c r="I9" s="466">
        <f>transport!I14</f>
        <v>0</v>
      </c>
      <c r="J9" s="466">
        <f>transport!J14</f>
        <v>0</v>
      </c>
      <c r="K9" s="466">
        <f>transport!K14</f>
        <v>0</v>
      </c>
      <c r="L9" s="466">
        <f>transport!L14</f>
        <v>0</v>
      </c>
      <c r="M9" s="466">
        <f>transport!M14</f>
        <v>2465.3858825710777</v>
      </c>
      <c r="N9" s="466">
        <f>transport!N14</f>
        <v>0</v>
      </c>
      <c r="O9" s="466">
        <f>transport!O14</f>
        <v>0</v>
      </c>
      <c r="P9" s="466">
        <f>transport!P14</f>
        <v>0</v>
      </c>
      <c r="Q9" s="465">
        <f>SUM(B9:P9)</f>
        <v>57823.024486779439</v>
      </c>
    </row>
    <row r="10" spans="1:17">
      <c r="A10" s="461" t="s">
        <v>569</v>
      </c>
      <c r="B10" s="462">
        <f>transport!B54</f>
        <v>0</v>
      </c>
      <c r="C10" s="462">
        <f>transport!C54</f>
        <v>0</v>
      </c>
      <c r="D10" s="462">
        <f>transport!D54</f>
        <v>0</v>
      </c>
      <c r="E10" s="462">
        <f>transport!E54</f>
        <v>0</v>
      </c>
      <c r="F10" s="462">
        <f>transport!F54</f>
        <v>0</v>
      </c>
      <c r="G10" s="462">
        <f>transport!G54</f>
        <v>1079.482203204092</v>
      </c>
      <c r="H10" s="462">
        <f>transport!H54</f>
        <v>0</v>
      </c>
      <c r="I10" s="462">
        <f>transport!I54</f>
        <v>0</v>
      </c>
      <c r="J10" s="462">
        <f>transport!J54</f>
        <v>0</v>
      </c>
      <c r="K10" s="462">
        <f>transport!K54</f>
        <v>0</v>
      </c>
      <c r="L10" s="462">
        <f>transport!L54</f>
        <v>0</v>
      </c>
      <c r="M10" s="462">
        <f>transport!M54</f>
        <v>47.401844259971675</v>
      </c>
      <c r="N10" s="462">
        <f>transport!N54</f>
        <v>0</v>
      </c>
      <c r="O10" s="462">
        <f>transport!O54</f>
        <v>0</v>
      </c>
      <c r="P10" s="463">
        <f>transport!P54</f>
        <v>0</v>
      </c>
      <c r="Q10" s="461">
        <f t="shared" si="0"/>
        <v>1126.8840474640638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92544.667282118942</v>
      </c>
      <c r="C14" s="472">
        <f t="shared" ref="C14:Q14" ca="1" si="1">SUM(C4:C13)</f>
        <v>67.553571428571416</v>
      </c>
      <c r="D14" s="472">
        <f t="shared" ca="1" si="1"/>
        <v>96698.22819815921</v>
      </c>
      <c r="E14" s="472">
        <f t="shared" si="1"/>
        <v>4892.7629319857406</v>
      </c>
      <c r="F14" s="472">
        <f t="shared" ca="1" si="1"/>
        <v>64015.318533239399</v>
      </c>
      <c r="G14" s="472">
        <f t="shared" si="1"/>
        <v>47347.123598001344</v>
      </c>
      <c r="H14" s="472">
        <f t="shared" si="1"/>
        <v>8855.4331453843042</v>
      </c>
      <c r="I14" s="472">
        <f t="shared" si="1"/>
        <v>0</v>
      </c>
      <c r="J14" s="472">
        <f t="shared" si="1"/>
        <v>439.70279973495781</v>
      </c>
      <c r="K14" s="472">
        <f t="shared" si="1"/>
        <v>0</v>
      </c>
      <c r="L14" s="472">
        <f t="shared" ca="1" si="1"/>
        <v>0</v>
      </c>
      <c r="M14" s="472">
        <f t="shared" si="1"/>
        <v>2512.7877268310494</v>
      </c>
      <c r="N14" s="472">
        <f t="shared" ca="1" si="1"/>
        <v>18465.063921809004</v>
      </c>
      <c r="O14" s="472">
        <f t="shared" si="1"/>
        <v>115.68666666666667</v>
      </c>
      <c r="P14" s="473">
        <f t="shared" si="1"/>
        <v>247.86666666666667</v>
      </c>
      <c r="Q14" s="473">
        <f t="shared" ca="1" si="1"/>
        <v>336202.19504202582</v>
      </c>
    </row>
    <row r="16" spans="1:17">
      <c r="A16" s="475" t="s">
        <v>574</v>
      </c>
      <c r="B16" s="829">
        <f ca="1">huishoudens!B10</f>
        <v>0.20231703777891841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5199.850863072129</v>
      </c>
      <c r="C21" s="462">
        <f t="shared" ref="C21:C30" ca="1" si="3">C4*$C$16</f>
        <v>0</v>
      </c>
      <c r="D21" s="462">
        <f t="shared" ref="D21:D30" si="4">D4*$D$16</f>
        <v>5683.890767412001</v>
      </c>
      <c r="E21" s="462">
        <f t="shared" ref="E21:E30" si="5">E4*$E$16</f>
        <v>952.80940955901906</v>
      </c>
      <c r="F21" s="462">
        <f t="shared" ref="F21:F30" si="6">F4*$F$16</f>
        <v>10940.605832850453</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22777.156872893604</v>
      </c>
    </row>
    <row r="22" spans="1:17">
      <c r="A22" s="461" t="s">
        <v>156</v>
      </c>
      <c r="B22" s="462">
        <f t="shared" ca="1" si="2"/>
        <v>6466.1714898324453</v>
      </c>
      <c r="C22" s="462">
        <f t="shared" ca="1" si="3"/>
        <v>0</v>
      </c>
      <c r="D22" s="462">
        <f t="shared" ca="1" si="4"/>
        <v>5611.6255635440002</v>
      </c>
      <c r="E22" s="462">
        <f t="shared" si="5"/>
        <v>39.407237614049656</v>
      </c>
      <c r="F22" s="462">
        <f t="shared" ca="1" si="6"/>
        <v>1262.5592259745956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13379.763516965091</v>
      </c>
    </row>
    <row r="23" spans="1:17">
      <c r="A23" s="461" t="s">
        <v>194</v>
      </c>
      <c r="B23" s="462">
        <f t="shared" ca="1" si="2"/>
        <v>175.80703168467116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175.80703168467116</v>
      </c>
    </row>
    <row r="24" spans="1:17">
      <c r="A24" s="461" t="s">
        <v>112</v>
      </c>
      <c r="B24" s="462">
        <f t="shared" ca="1" si="2"/>
        <v>708.22677379108848</v>
      </c>
      <c r="C24" s="462">
        <f t="shared" ca="1" si="3"/>
        <v>0</v>
      </c>
      <c r="D24" s="462">
        <f t="shared" si="4"/>
        <v>0</v>
      </c>
      <c r="E24" s="462">
        <f t="shared" si="5"/>
        <v>7.4859605193851522</v>
      </c>
      <c r="F24" s="462">
        <f t="shared" si="6"/>
        <v>3050.0881215769919</v>
      </c>
      <c r="G24" s="462">
        <f t="shared" si="7"/>
        <v>0</v>
      </c>
      <c r="H24" s="462">
        <f t="shared" si="8"/>
        <v>0</v>
      </c>
      <c r="I24" s="462">
        <f t="shared" si="9"/>
        <v>0</v>
      </c>
      <c r="J24" s="462">
        <f t="shared" si="10"/>
        <v>153.29568178599678</v>
      </c>
      <c r="K24" s="462">
        <f t="shared" si="11"/>
        <v>0</v>
      </c>
      <c r="L24" s="462">
        <f t="shared" si="12"/>
        <v>0</v>
      </c>
      <c r="M24" s="462">
        <f t="shared" si="13"/>
        <v>0</v>
      </c>
      <c r="N24" s="462">
        <f t="shared" si="14"/>
        <v>0</v>
      </c>
      <c r="O24" s="462">
        <f t="shared" si="15"/>
        <v>0</v>
      </c>
      <c r="P24" s="463">
        <f t="shared" si="16"/>
        <v>0</v>
      </c>
      <c r="Q24" s="461">
        <f t="shared" ca="1" si="17"/>
        <v>3919.0965376734621</v>
      </c>
    </row>
    <row r="25" spans="1:17">
      <c r="A25" s="461" t="s">
        <v>685</v>
      </c>
      <c r="B25" s="462">
        <f t="shared" ca="1" si="2"/>
        <v>6173.0410102568185</v>
      </c>
      <c r="C25" s="462">
        <f t="shared" ca="1" si="3"/>
        <v>0</v>
      </c>
      <c r="D25" s="462">
        <f t="shared" si="4"/>
        <v>8236.7140240000008</v>
      </c>
      <c r="E25" s="462">
        <f t="shared" si="5"/>
        <v>58.91894282991904</v>
      </c>
      <c r="F25" s="462">
        <f t="shared" si="6"/>
        <v>1838.8368679728817</v>
      </c>
      <c r="G25" s="462">
        <f t="shared" si="7"/>
        <v>0</v>
      </c>
      <c r="H25" s="462">
        <f t="shared" si="8"/>
        <v>0</v>
      </c>
      <c r="I25" s="462">
        <f t="shared" si="9"/>
        <v>0</v>
      </c>
      <c r="J25" s="462">
        <f t="shared" si="10"/>
        <v>2.3591093201782729</v>
      </c>
      <c r="K25" s="462">
        <f t="shared" si="11"/>
        <v>0</v>
      </c>
      <c r="L25" s="462">
        <f t="shared" si="12"/>
        <v>0</v>
      </c>
      <c r="M25" s="462">
        <f t="shared" si="13"/>
        <v>0</v>
      </c>
      <c r="N25" s="462">
        <f t="shared" si="14"/>
        <v>0</v>
      </c>
      <c r="O25" s="462">
        <f t="shared" si="15"/>
        <v>0</v>
      </c>
      <c r="P25" s="463">
        <f t="shared" si="16"/>
        <v>0</v>
      </c>
      <c r="Q25" s="461">
        <f t="shared" ca="1" si="17"/>
        <v>16309.869954379797</v>
      </c>
    </row>
    <row r="26" spans="1:17" s="467" customFormat="1">
      <c r="A26" s="465" t="s">
        <v>579</v>
      </c>
      <c r="B26" s="823">
        <f t="shared" ca="1" si="2"/>
        <v>0.26577811674096008</v>
      </c>
      <c r="C26" s="466">
        <f t="shared" ca="1" si="3"/>
        <v>0</v>
      </c>
      <c r="D26" s="466">
        <f t="shared" si="4"/>
        <v>0.81174107215711711</v>
      </c>
      <c r="E26" s="466">
        <f t="shared" si="5"/>
        <v>52.035635038390389</v>
      </c>
      <c r="F26" s="466">
        <f t="shared" si="6"/>
        <v>0</v>
      </c>
      <c r="G26" s="466">
        <f t="shared" si="7"/>
        <v>12353.460252410867</v>
      </c>
      <c r="H26" s="466">
        <f t="shared" si="8"/>
        <v>2205.0028532006918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14611.576259838846</v>
      </c>
    </row>
    <row r="27" spans="1:17">
      <c r="A27" s="461" t="s">
        <v>569</v>
      </c>
      <c r="B27" s="462">
        <f t="shared" ca="1" si="2"/>
        <v>0</v>
      </c>
      <c r="C27" s="462">
        <f t="shared" ca="1" si="3"/>
        <v>0</v>
      </c>
      <c r="D27" s="462">
        <f t="shared" si="4"/>
        <v>0</v>
      </c>
      <c r="E27" s="462">
        <f t="shared" si="5"/>
        <v>0</v>
      </c>
      <c r="F27" s="462">
        <f t="shared" si="6"/>
        <v>0</v>
      </c>
      <c r="G27" s="462">
        <f t="shared" si="7"/>
        <v>288.22174825549257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288.22174825549257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18723.362946753892</v>
      </c>
      <c r="C31" s="472">
        <f t="shared" ca="1" si="18"/>
        <v>0</v>
      </c>
      <c r="D31" s="472">
        <f t="shared" ca="1" si="18"/>
        <v>19533.042096028159</v>
      </c>
      <c r="E31" s="472">
        <f t="shared" si="18"/>
        <v>1110.6571855607633</v>
      </c>
      <c r="F31" s="472">
        <f t="shared" ca="1" si="18"/>
        <v>17092.090048374921</v>
      </c>
      <c r="G31" s="472">
        <f t="shared" si="18"/>
        <v>12641.68200066636</v>
      </c>
      <c r="H31" s="472">
        <f t="shared" si="18"/>
        <v>2205.0028532006918</v>
      </c>
      <c r="I31" s="472">
        <f t="shared" si="18"/>
        <v>0</v>
      </c>
      <c r="J31" s="472">
        <f t="shared" si="18"/>
        <v>155.65479110617505</v>
      </c>
      <c r="K31" s="472">
        <f t="shared" si="18"/>
        <v>0</v>
      </c>
      <c r="L31" s="472">
        <f t="shared" ca="1" si="18"/>
        <v>0</v>
      </c>
      <c r="M31" s="472">
        <f t="shared" si="18"/>
        <v>0</v>
      </c>
      <c r="N31" s="472">
        <f t="shared" ca="1" si="18"/>
        <v>0</v>
      </c>
      <c r="O31" s="472">
        <f t="shared" si="18"/>
        <v>0</v>
      </c>
      <c r="P31" s="473">
        <f t="shared" si="18"/>
        <v>0</v>
      </c>
      <c r="Q31" s="473">
        <f t="shared" ca="1" si="18"/>
        <v>71461.491921690977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0.20231703777891841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0.20231703777891841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0.20231703777891841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2018-06-27T09:20:45Z</dcterms:modified>
</cp:coreProperties>
</file>