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K79" i="14" s="1"/>
  <c r="I17" i="18"/>
  <c r="H17"/>
  <c r="I79" i="14" s="1"/>
  <c r="G17" i="18"/>
  <c r="G19" s="1"/>
  <c r="F17"/>
  <c r="E17"/>
  <c r="D17"/>
  <c r="C17"/>
  <c r="B17"/>
  <c r="B16"/>
  <c r="B78" i="14" s="1"/>
  <c r="K11" i="18"/>
  <c r="J11"/>
  <c r="I11"/>
  <c r="H11"/>
  <c r="G11"/>
  <c r="F11"/>
  <c r="E11"/>
  <c r="D11"/>
  <c r="C11"/>
  <c r="L8"/>
  <c r="L9" s="1"/>
  <c r="K8"/>
  <c r="K9" s="1"/>
  <c r="J8"/>
  <c r="G8"/>
  <c r="G9" s="1"/>
  <c r="F8"/>
  <c r="F9" s="1"/>
  <c r="E8"/>
  <c r="F68" i="14" s="1"/>
  <c r="D8" i="18"/>
  <c r="D9" s="1"/>
  <c r="B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G79"/>
  <c r="E79"/>
  <c r="B79"/>
  <c r="M78"/>
  <c r="L78"/>
  <c r="H78"/>
  <c r="G78"/>
  <c r="E78"/>
  <c r="L6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50" s="1"/>
  <c r="E8" i="16"/>
  <c r="K19" i="18"/>
  <c r="B97"/>
  <c r="D101" s="1"/>
  <c r="C13" i="15"/>
  <c r="D12" i="22"/>
  <c r="E17" i="14"/>
  <c r="D13" i="48"/>
  <c r="D31" i="20"/>
  <c r="E43" i="14" s="1"/>
  <c r="E12" i="22"/>
  <c r="F17" i="14"/>
  <c r="E13" i="48"/>
  <c r="H101" i="18"/>
  <c r="G101"/>
  <c r="C101"/>
  <c r="I11" i="48"/>
  <c r="N19" i="19"/>
  <c r="O35" i="14" s="1"/>
  <c r="B6" i="48"/>
  <c r="Q6" s="1"/>
  <c r="B8" i="9"/>
  <c r="P22" i="16"/>
  <c r="Q39" i="14" s="1"/>
  <c r="P18" i="16"/>
  <c r="P8" i="48" s="1"/>
  <c r="P25" s="1"/>
  <c r="F8" i="17"/>
  <c r="F7" i="48" s="1"/>
  <c r="F24" s="1"/>
  <c r="K22" i="14"/>
  <c r="J8" i="17"/>
  <c r="O80" i="14"/>
  <c r="C97" i="18"/>
  <c r="I19" i="19"/>
  <c r="J35" i="14" s="1"/>
  <c r="B12" i="22"/>
  <c r="B13" i="48"/>
  <c r="C17" i="14"/>
  <c r="E31" i="20"/>
  <c r="F43" i="14" s="1"/>
  <c r="L16" i="16"/>
  <c r="L18" s="1"/>
  <c r="N6" i="17"/>
  <c r="N5" s="1"/>
  <c r="J9" i="14"/>
  <c r="J15" s="1"/>
  <c r="B81"/>
  <c r="D11" i="48"/>
  <c r="D14" i="15"/>
  <c r="F19" i="19"/>
  <c r="G35" i="14" s="1"/>
  <c r="L19" i="19"/>
  <c r="M35" i="14" s="1"/>
  <c r="E7" i="15"/>
  <c r="O5" i="16"/>
  <c r="O9" i="14"/>
  <c r="L11" i="48"/>
  <c r="L28" s="1"/>
  <c r="L12" i="13"/>
  <c r="M37" i="14" s="1"/>
  <c r="J7" i="15"/>
  <c r="B13" i="16"/>
  <c r="C35"/>
  <c r="C80" i="14"/>
  <c r="C16" i="15"/>
  <c r="D10" i="14" s="1"/>
  <c r="L6" i="17"/>
  <c r="N13" i="15"/>
  <c r="L13"/>
  <c r="L16" s="1"/>
  <c r="K5" i="48"/>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J20"/>
  <c r="O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F30"/>
  <c r="J30"/>
  <c r="N30"/>
  <c r="K22"/>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C68" s="1"/>
  <c r="G68"/>
  <c r="G69" s="1"/>
  <c r="K68"/>
  <c r="E81"/>
  <c r="M81"/>
  <c r="B19" i="18"/>
  <c r="F19"/>
  <c r="D11" i="14"/>
  <c r="C4" i="48"/>
  <c r="M8" i="18"/>
  <c r="M17"/>
  <c r="M18"/>
  <c r="D13" i="14"/>
  <c r="L8" i="17" l="1"/>
  <c r="L12" s="1"/>
  <c r="M48" i="14" s="1"/>
  <c r="L5" i="17"/>
  <c r="I16" i="18"/>
  <c r="G22" i="14"/>
  <c r="F101" i="18"/>
  <c r="I101"/>
  <c r="H16" s="1"/>
  <c r="L29" i="48"/>
  <c r="B101" i="18"/>
  <c r="C16" s="1"/>
  <c r="E101"/>
  <c r="E16" s="1"/>
  <c r="D8" i="48"/>
  <c r="D25" s="1"/>
  <c r="D18" i="16"/>
  <c r="D22" s="1"/>
  <c r="E39" i="14" s="1"/>
  <c r="L21" i="48"/>
  <c r="B14" i="22"/>
  <c r="B9" i="48" s="1"/>
  <c r="I17" i="14"/>
  <c r="H12" i="22"/>
  <c r="D16" i="15"/>
  <c r="D20" s="1"/>
  <c r="B35" i="13"/>
  <c r="N8" i="17"/>
  <c r="I100" i="18"/>
  <c r="H7" s="1"/>
  <c r="E100"/>
  <c r="E7" s="1"/>
  <c r="H100"/>
  <c r="D100"/>
  <c r="G100"/>
  <c r="I7" s="1"/>
  <c r="C100"/>
  <c r="J7" s="1"/>
  <c r="F100"/>
  <c r="B100"/>
  <c r="C7" s="1"/>
  <c r="G31" i="20"/>
  <c r="H43" i="14" s="1"/>
  <c r="G12" i="22"/>
  <c r="O79" i="14"/>
  <c r="C7" i="48"/>
  <c r="D22" i="14"/>
  <c r="M23" i="48"/>
  <c r="L30"/>
  <c r="L23"/>
  <c r="M28"/>
  <c r="M22"/>
  <c r="D14" i="22"/>
  <c r="D9" i="48" s="1"/>
  <c r="D26" s="1"/>
  <c r="N17" i="14"/>
  <c r="M12" i="22"/>
  <c r="B36" i="13"/>
  <c r="B48" s="1"/>
  <c r="C48" s="1"/>
  <c r="N5" s="1"/>
  <c r="N8" s="1"/>
  <c r="N4" i="48" s="1"/>
  <c r="N21" s="1"/>
  <c r="O68" i="14"/>
  <c r="C79"/>
  <c r="L22" i="16"/>
  <c r="M39" i="14" s="1"/>
  <c r="L8" i="48"/>
  <c r="L25" s="1"/>
  <c r="M13" i="14"/>
  <c r="E8" i="17"/>
  <c r="F22" i="14" s="1"/>
  <c r="J16" i="18"/>
  <c r="F19" i="14"/>
  <c r="E14" i="22"/>
  <c r="K14" i="48"/>
  <c r="B34" i="13"/>
  <c r="O18" i="16"/>
  <c r="M13" i="48"/>
  <c r="M51" i="22"/>
  <c r="M50" s="1"/>
  <c r="M54" s="1"/>
  <c r="M10" i="48" s="1"/>
  <c r="M27" s="1"/>
  <c r="H31" i="20"/>
  <c r="I43" i="14" s="1"/>
  <c r="H13" i="48"/>
  <c r="H30" s="1"/>
  <c r="M31" i="20"/>
  <c r="N43" i="14" s="1"/>
  <c r="G50" i="22"/>
  <c r="G54" s="1"/>
  <c r="H18" i="14" s="1"/>
  <c r="G13" i="48"/>
  <c r="F20" i="14"/>
  <c r="H17"/>
  <c r="G30" i="48"/>
  <c r="M5" i="22"/>
  <c r="M14" s="1"/>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O28" i="48"/>
  <c r="H22"/>
  <c r="B46" i="13"/>
  <c r="E5" s="1"/>
  <c r="E8" s="1"/>
  <c r="E12" s="1"/>
  <c r="F37" i="14" s="1"/>
  <c r="K31" i="48"/>
  <c r="L26"/>
  <c r="M30"/>
  <c r="M29"/>
  <c r="M25"/>
  <c r="M24"/>
  <c r="I31"/>
  <c r="C50" i="13"/>
  <c r="J5" s="1"/>
  <c r="J8" s="1"/>
  <c r="E7" i="48"/>
  <c r="E24" s="1"/>
  <c r="E12" i="17"/>
  <c r="F48" i="14" s="1"/>
  <c r="C5" i="48"/>
  <c r="D78" i="14" l="1"/>
  <c r="C19" i="18"/>
  <c r="F78" i="14"/>
  <c r="F81" s="1"/>
  <c r="E19" i="18"/>
  <c r="J78" i="14"/>
  <c r="J81" s="1"/>
  <c r="I19" i="18"/>
  <c r="M22" i="14"/>
  <c r="L7" i="48"/>
  <c r="L24" s="1"/>
  <c r="C19" i="14"/>
  <c r="C20" s="1"/>
  <c r="R17"/>
  <c r="I78"/>
  <c r="I81" s="1"/>
  <c r="H19" i="18"/>
  <c r="C14" i="48"/>
  <c r="D18" i="22"/>
  <c r="E45" i="14" s="1"/>
  <c r="E46" s="1"/>
  <c r="E19"/>
  <c r="E20" s="1"/>
  <c r="E10"/>
  <c r="E15" s="1"/>
  <c r="D5" i="48"/>
  <c r="D22" s="1"/>
  <c r="D31" s="1"/>
  <c r="J16" i="15"/>
  <c r="K10" i="14" s="1"/>
  <c r="C9" i="18"/>
  <c r="M7"/>
  <c r="M9" s="1"/>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O78" i="14" l="1"/>
  <c r="O81" s="1"/>
  <c r="B17" i="6" s="1"/>
  <c r="B22" s="1"/>
  <c r="D81" i="14"/>
  <c r="J5" i="48"/>
  <c r="J22" s="1"/>
  <c r="J20" i="15"/>
  <c r="K36" i="14" s="1"/>
  <c r="N46"/>
  <c r="N53" s="1"/>
  <c r="E23"/>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I55" i="14"/>
  <c r="H26" i="48"/>
  <c r="H31" s="1"/>
  <c r="H14"/>
  <c r="C15" i="14"/>
  <c r="C23" s="1"/>
  <c r="B3" i="6" s="1"/>
  <c r="E53" i="14"/>
  <c r="M36"/>
  <c r="M41" s="1"/>
  <c r="L14" i="48"/>
  <c r="M23" i="14"/>
  <c r="F22" i="16"/>
  <c r="G39" i="14" s="1"/>
  <c r="G41" s="1"/>
  <c r="F8" i="48"/>
  <c r="Q4"/>
  <c r="N22"/>
  <c r="R11" i="14"/>
  <c r="J21" i="48"/>
  <c r="R10" i="14"/>
  <c r="C20" i="16" l="1"/>
  <c r="C22" s="1"/>
  <c r="D39" i="14" s="1"/>
  <c r="C18" i="15"/>
  <c r="C20" s="1"/>
  <c r="D36" i="14" s="1"/>
  <c r="C10" i="13"/>
  <c r="C16" i="48" s="1"/>
  <c r="C30" s="1"/>
  <c r="C56" i="22"/>
  <c r="C58" s="1"/>
  <c r="D44" i="14" s="1"/>
  <c r="D46" s="1"/>
  <c r="C16" i="22"/>
  <c r="C10" i="17"/>
  <c r="C12" s="1"/>
  <c r="D48" i="14" s="1"/>
  <c r="C17" i="49"/>
  <c r="C29" i="20"/>
  <c r="C17" i="19"/>
  <c r="C19" s="1"/>
  <c r="D35" i="14" s="1"/>
  <c r="K13"/>
  <c r="K15" s="1"/>
  <c r="K23" s="1"/>
  <c r="K55" s="1"/>
  <c r="Q5" i="48"/>
  <c r="J31"/>
  <c r="J14"/>
  <c r="O13" i="14"/>
  <c r="O15" s="1"/>
  <c r="N22" i="16"/>
  <c r="O39" i="14" s="1"/>
  <c r="O41" s="1"/>
  <c r="O53" s="1"/>
  <c r="E55"/>
  <c r="E25" i="48"/>
  <c r="E31" s="1"/>
  <c r="E14"/>
  <c r="N25"/>
  <c r="N31" s="1"/>
  <c r="N14"/>
  <c r="E22" i="16"/>
  <c r="F39" i="14" s="1"/>
  <c r="F41" s="1"/>
  <c r="F53" s="1"/>
  <c r="F55" s="1"/>
  <c r="J22" i="16"/>
  <c r="K39" i="14" s="1"/>
  <c r="K41" s="1"/>
  <c r="K53" s="1"/>
  <c r="Q8" i="48"/>
  <c r="F13" i="14"/>
  <c r="F15" s="1"/>
  <c r="F23" s="1"/>
  <c r="G14" i="48"/>
  <c r="H55" i="14"/>
  <c r="M14" i="48"/>
  <c r="R19" i="14"/>
  <c r="R20" s="1"/>
  <c r="M26" i="48"/>
  <c r="M31" s="1"/>
  <c r="G53" i="14"/>
  <c r="G55" s="1"/>
  <c r="O69" s="1"/>
  <c r="B9" i="6" s="1"/>
  <c r="B12" s="1"/>
  <c r="M53" i="14"/>
  <c r="M55" s="1"/>
  <c r="C12" i="13"/>
  <c r="D37" i="14" s="1"/>
  <c r="C25" i="48"/>
  <c r="C29"/>
  <c r="C21"/>
  <c r="C26"/>
  <c r="F25"/>
  <c r="F31" s="1"/>
  <c r="F14"/>
  <c r="Q14"/>
  <c r="D41" i="14" l="1"/>
  <c r="D53" s="1"/>
  <c r="D55" s="1"/>
  <c r="C23" i="48"/>
  <c r="C31" s="1"/>
  <c r="R13" i="14"/>
  <c r="R15" s="1"/>
  <c r="C24" i="48"/>
  <c r="C27"/>
  <c r="C28"/>
  <c r="C22"/>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O23"/>
  <c r="O55" s="1"/>
  <c r="B16" i="48" l="1"/>
  <c r="B28" s="1"/>
  <c r="Q28" s="1"/>
  <c r="R46" i="14"/>
  <c r="C36"/>
  <c r="R36" s="1"/>
  <c r="R41" s="1"/>
  <c r="C46"/>
  <c r="B29" i="48"/>
  <c r="Q29" s="1"/>
  <c r="B21" l="1"/>
  <c r="Q21" s="1"/>
  <c r="Q31" s="1"/>
  <c r="B22"/>
  <c r="Q22" s="1"/>
  <c r="B30"/>
  <c r="Q30" s="1"/>
  <c r="B24"/>
  <c r="Q24" s="1"/>
  <c r="B27"/>
  <c r="Q27" s="1"/>
  <c r="B26"/>
  <c r="Q26" s="1"/>
  <c r="B23"/>
  <c r="Q23"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<sst xmlns="http://schemas.openxmlformats.org/spreadsheetml/2006/main" count="2063" uniqueCount="898">
  <si>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</si>
  <si>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</si>
  <si>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</si>
  <si>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</si>
  <si>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</si>
  <si>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</si>
  <si>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</si>
  <si>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</si>
  <si>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</si>
  <si>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</si>
  <si>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</si>
  <si>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</si>
  <si>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</si>
  <si>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</si>
  <si>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</si>
  <si>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</si>
  <si>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</si>
  <si>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</si>
  <si>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</si>
  <si>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</si>
  <si>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</si>
  <si>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</si>
  <si>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</si>
  <si>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</si>
  <si>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</si>
  <si>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</si>
  <si>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</si>
  <si>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</si>
  <si>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</si>
  <si>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</si>
  <si>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</si>
  <si>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</si>
  <si>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</si>
  <si>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</si>
  <si>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</si>
  <si>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</si>
  <si>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</si>
  <si>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</si>
  <si>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</si>
  <si>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</si>
  <si>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</si>
  <si>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</si>
  <si>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</si>
  <si>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</si>
  <si>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</si>
  <si>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</si>
  <si>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</si>
  <si>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</si>
  <si>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</si>
  <si>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</si>
  <si>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</si>
  <si>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</si>
  <si>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</si>
  <si>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</si>
  <si>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</si>
  <si>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</si>
  <si>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</si>
  <si>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</si>
  <si>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</si>
  <si>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</si>
  <si>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</si>
  <si>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</si>
  <si>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</si>
  <si>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</si>
  <si>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</si>
  <si>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</si>
  <si>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</si>
  <si>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</si>
  <si>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</si>
  <si>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</si>
  <si>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</si>
  <si>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</si>
  <si>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</si>
  <si>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</si>
  <si>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</si>
  <si>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</si>
  <si>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</si>
  <si>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</si>
  <si>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</si>
  <si>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</si>
  <si>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</si>
  <si>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</si>
  <si>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</si>
  <si>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</si>
  <si>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</si>
  <si>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</si>
  <si>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</si>
  <si>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</si>
  <si>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</si>
  <si>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</si>
  <si>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</si>
  <si>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</si>
  <si>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</si>
  <si>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</si>
  <si>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</si>
  <si>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</si>
  <si>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</si>
  <si>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</si>
  <si>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</si>
  <si>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</si>
  <si>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</si>
  <si>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</si>
  <si>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</si>
  <si>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</si>
  <si>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</si>
  <si>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</si>
  <si>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</si>
  <si>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</si>
  <si>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</si>
  <si>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</si>
  <si>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</si>
  <si>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</si>
  <si>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</si>
  <si>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</si>
  <si>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</si>
  <si>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</si>
  <si>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</si>
  <si>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</si>
  <si>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</si>
  <si>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</si>
  <si>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</si>
  <si>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</si>
  <si>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</si>
  <si>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</si>
  <si>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</si>
  <si>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</si>
  <si>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</si>
  <si>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</si>
  <si>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</si>
  <si>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</si>
  <si>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</si>
  <si>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</si>
  <si>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</si>
  <si>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</si>
  <si>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</si>
  <si>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</si>
  <si>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</si>
  <si>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</si>
  <si>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</si>
  <si>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</si>
  <si>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</si>
  <si>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</si>
  <si>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</si>
  <si>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</si>
  <si>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</si>
  <si>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</si>
  <si>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</si>
  <si>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</si>
  <si>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</si>
  <si>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</si>
  <si>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</si>
  <si>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</si>
  <si>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</si>
  <si>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</si>
  <si>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</si>
  <si>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</si>
  <si>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</si>
  <si>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</si>
  <si>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</si>
  <si>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</si>
  <si>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</si>
  <si>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</si>
  <si>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</si>
  <si>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</si>
  <si>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</si>
  <si>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</si>
  <si>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</si>
  <si>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</si>
  <si>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</si>
  <si>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</si>
  <si>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</si>
  <si>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</si>
  <si>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</si>
  <si>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</si>
  <si>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</si>
  <si>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</si>
  <si>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</si>
  <si>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</si>
  <si>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</si>
  <si>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</si>
  <si>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</si>
  <si>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</si>
  <si>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</si>
  <si>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</si>
  <si>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</si>
  <si>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</si>
  <si>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</si>
  <si>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</si>
  <si>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</si>
  <si>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</si>
  <si>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</si>
  <si>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</si>
  <si>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</si>
  <si>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</si>
  <si>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</si>
  <si>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</si>
  <si>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</si>
  <si>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</si>
  <si>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</si>
  <si>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</si>
  <si>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</si>
  <si>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</si>
  <si>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</si>
  <si>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</si>
  <si>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</si>
  <si>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</si>
  <si>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</si>
  <si>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</si>
  <si>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</si>
  <si>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</si>
  <si>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</si>
  <si>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</si>
  <si>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</si>
  <si>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</si>
  <si>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</si>
  <si>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</si>
  <si>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</si>
  <si>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</si>
  <si>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</si>
  <si>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</si>
  <si>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</si>
  <si>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</si>
  <si>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</si>
  <si>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</si>
  <si>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</si>
  <si>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</si>
  <si>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</si>
  <si>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</si>
  <si>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</si>
  <si>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</si>
  <si>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</si>
  <si>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</si>
  <si>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</si>
  <si>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</si>
  <si>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</si>
  <si>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</si>
  <si>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</si>
  <si>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</si>
  <si>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</si>
  <si>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</si>
  <si>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</si>
  <si>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</si>
  <si>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</si>
  <si>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</si>
  <si>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</si>
  <si>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</si>
  <si>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</si>
  <si>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</si>
  <si>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</si>
  <si>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</si>
  <si>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</si>
  <si>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</si>
  <si>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</si>
  <si>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</si>
  <si>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</si>
  <si>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</si>
  <si>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</si>
  <si>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</si>
  <si>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</si>
  <si>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</si>
  <si>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</si>
  <si>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</si>
  <si>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</si>
  <si>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</si>
  <si>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</si>
  <si>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</si>
  <si>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</si>
  <si>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</si>
  <si>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</si>
  <si>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</si>
  <si>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</si>
  <si>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</si>
  <si>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</si>
  <si>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</si>
  <si>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</si>
  <si>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</si>
  <si>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</si>
  <si>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</si>
  <si>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</si>
  <si>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</si>
  <si>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</si>
  <si>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</si>
  <si>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</si>
  <si>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</si>
  <si>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</si>
  <si>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</si>
  <si>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</si>
  <si>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</si>
  <si>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</si>
  <si>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</si>
  <si>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</si>
  <si>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</si>
  <si>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</si>
  <si>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</si>
  <si>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</si>
  <si>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</si>
  <si>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</si>
  <si>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</si>
  <si>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</si>
  <si>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</si>
  <si>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</si>
  <si>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</si>
  <si>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</si>
  <si>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</si>
  <si>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</si>
  <si>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</si>
  <si>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</si>
  <si>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</si>
  <si>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</si>
  <si>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</si>
  <si>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</si>
  <si>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</si>
  <si>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</si>
  <si>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</si>
  <si>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</si>
  <si>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</si>
  <si>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</si>
  <si>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</si>
  <si>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</si>
  <si>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</si>
  <si>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</si>
  <si>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</si>
  <si>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</si>
  <si>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</si>
  <si>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</si>
  <si>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</si>
  <si>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</si>
  <si>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</si>
  <si>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</si>
  <si>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</si>
  <si>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</si>
  <si>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</si>
  <si>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</si>
  <si>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</si>
  <si>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</si>
  <si>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</si>
  <si>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</si>
  <si>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</si>
  <si>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</si>
  <si>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</si>
  <si>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</si>
  <si>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</si>
  <si>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</si>
  <si>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</si>
  <si>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</si>
  <si>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</si>
  <si>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</si>
  <si>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</si>
  <si>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</si>
  <si>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</si>
  <si>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</si>
  <si>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</si>
  <si>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</si>
  <si>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</si>
  <si>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</si>
  <si>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</si>
  <si>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</si>
  <si>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</si>
  <si>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</si>
  <si>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</si>
  <si>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</si>
  <si>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</si>
  <si>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</si>
  <si>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</si>
  <si>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</si>
  <si>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</si>
  <si>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</si>
  <si>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</si>
  <si>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</si>
  <si>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</si>
  <si>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</si>
  <si>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</si>
  <si>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</si>
  <si>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</si>
  <si>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</si>
  <si>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</si>
  <si>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</si>
  <si>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</si>
  <si>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</si>
  <si>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</si>
  <si>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</si>
  <si>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</si>
  <si>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</si>
  <si>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</si>
  <si>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</si>
  <si>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</si>
  <si>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</si>
  <si>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</si>
  <si>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</si>
  <si>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</si>
  <si>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</si>
  <si>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</si>
  <si>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</si>
  <si>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</si>
  <si>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</si>
  <si>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</si>
  <si>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</si>
  <si>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</si>
  <si>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</si>
  <si>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</si>
  <si>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</si>
  <si>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</si>
  <si>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</si>
  <si>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</si>
  <si>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</si>
  <si>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</si>
  <si>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</si>
  <si>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</si>
  <si>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</si>
  <si>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</si>
  <si>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</si>
  <si>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</si>
  <si>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</si>
  <si>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</si>
  <si>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</si>
  <si>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</si>
  <si>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</si>
  <si>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</si>
  <si>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</si>
  <si>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</si>
  <si>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</si>
  <si>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</si>
  <si>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</si>
  <si>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</si>
  <si>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</si>
  <si>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</si>
  <si>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</si>
  <si>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</si>
  <si>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</si>
  <si>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</si>
  <si>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</si>
  <si>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</si>
  <si>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</si>
  <si>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</si>
  <si>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</si>
  <si>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</si>
  <si>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</si>
  <si>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</si>
  <si>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</si>
  <si>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</si>
  <si>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</si>
  <si>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</si>
  <si>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</si>
  <si>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</si>
  <si>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</si>
  <si>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</si>
  <si>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</si>
  <si>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</si>
  <si>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</si>
  <si>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</si>
  <si>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</si>
  <si>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</si>
  <si>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</si>
  <si>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</si>
  <si>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</si>
  <si>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</si>
  <si>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</si>
  <si>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</si>
  <si>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</si>
  <si>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</si>
  <si>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</si>
  <si>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</si>
  <si>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</si>
  <si>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</si>
  <si>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</si>
  <si>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</si>
  <si>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</si>
  <si>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</si>
  <si>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</si>
  <si>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</si>
  <si>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</si>
  <si>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</si>
  <si>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</si>
  <si>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</si>
  <si>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</si>
  <si>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</si>
  <si>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</si>
  <si>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</si>
  <si>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</si>
  <si>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</si>
  <si>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</si>
  <si>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</si>
  <si>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</si>
  <si>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</si>
  <si>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</si>
  <si>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</si>
  <si>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</si>
  <si>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</si>
  <si>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</si>
  <si>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</si>
  <si>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</si>
  <si>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</si>
  <si>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</si>
  <si>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</si>
  <si>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</si>
  <si>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</si>
  <si>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</si>
  <si>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</si>
  <si>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</si>
  <si>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</si>
  <si>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</si>
  <si>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</si>
  <si>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</si>
  <si>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</si>
  <si>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</si>
  <si>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</si>
  <si>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</si>
  <si>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</si>
  <si>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</si>
  <si>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</si>
  <si>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</si>
  <si>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</si>
  <si>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</si>
  <si>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</si>
  <si>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</si>
  <si>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</si>
  <si>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</si>
  <si>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</si>
  <si>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</si>
  <si>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</si>
  <si>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</si>
  <si>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</si>
  <si>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</si>
  <si>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</si>
  <si>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</si>
  <si>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</si>
  <si>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</si>
  <si>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</si>
  <si>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</si>
  <si>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</si>
  <si>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</si>
  <si>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</si>
  <si>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</si>
  <si>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</si>
  <si>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</si>
  <si>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</si>
  <si>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</si>
  <si>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</si>
  <si>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</si>
  <si>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</si>
  <si>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</si>
  <si>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</si>
  <si>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</si>
  <si>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</si>
  <si>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</si>
  <si>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</si>
  <si>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</si>
  <si>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</si>
  <si>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</si>
  <si>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</si>
  <si>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</si>
  <si>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</si>
  <si>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</si>
  <si>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</si>
  <si>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</si>
  <si>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</si>
  <si>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</si>
  <si>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</si>
  <si>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</si>
  <si>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</si>
  <si>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</si>
  <si>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</si>
  <si>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</si>
  <si>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</si>
  <si>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</si>
  <si>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</si>
  <si>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71022</t>
  </si>
  <si>
    <t>HASSELT</t>
  </si>
  <si>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</si>
  <si>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</si>
  <si>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</si>
  <si>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</si>
  <si>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</si>
  <si>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</si>
  <si>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</si>
  <si>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</si>
  <si>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</si>
  <si>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</si>
  <si>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</si>
  <si>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</si>
  <si>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</si>
  <si>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</si>
  <si>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</si>
  <si>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</si>
  <si>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</si>
  <si>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</si>
  <si>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</si>
  <si>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</si>
  <si>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</si>
  <si>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</si>
  <si>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</si>
  <si>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</si>
  <si>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</si>
  <si>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</si>
  <si>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</si>
  <si>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</si>
  <si>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</si>
  <si>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</si>
  <si>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</si>
  <si>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</si>
  <si>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</si>
  <si>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</si>
  <si>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</si>
  <si>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</si>
  <si>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</si>
  <si>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</si>
  <si>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</si>
  <si>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</si>
  <si>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</si>
  <si>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</si>
  <si>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</si>
  <si>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</si>
  <si>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</si>
  <si>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</si>
  <si>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</si>
  <si>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</si>
  <si>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</si>
  <si>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</si>
  <si>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</si>
  <si>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</si>
  <si>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</si>
  <si>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</si>
  <si>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</si>
  <si>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</si>
  <si>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</si>
  <si>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</si>
  <si>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</si>
  <si>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</si>
  <si>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</si>
  <si>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</si>
  <si>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</si>
  <si>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</si>
  <si>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</si>
  <si>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</si>
  <si>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</si>
  <si>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</si>
  <si>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</si>
  <si>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</si>
  <si>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</si>
  <si>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</si>
  <si>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</si>
  <si>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</si>
  <si>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</si>
  <si>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</si>
  <si>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</si>
  <si>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</si>
  <si>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</si>
  <si>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</si>
  <si>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</si>
  <si>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</si>
  <si>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</si>
  <si>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</si>
  <si>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</si>
  <si>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</si>
  <si>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</si>
  <si>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</si>
  <si>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</si>
  <si>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</si>
  <si>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</si>
  <si>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</si>
  <si>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</si>
  <si>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</si>
  <si>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</si>
  <si>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</si>
  <si>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</si>
  <si>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</si>
  <si>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</si>
  <si>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</si>
  <si>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</si>
  <si>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</si>
  <si>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</si>
  <si>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</si>
  <si>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</si>
  <si>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</si>
  <si>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</si>
  <si>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</si>
  <si>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</si>
  <si>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</si>
  <si>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</si>
  <si>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</si>
  <si>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</si>
  <si>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</si>
  <si>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</si>
  <si>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</si>
  <si>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</si>
  <si>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</si>
  <si>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</si>
  <si>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</si>
  <si>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</si>
  <si>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</si>
  <si>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</si>
  <si>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</si>
  <si>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</si>
  <si>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</si>
  <si>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</si>
  <si>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</si>
  <si>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</si>
  <si>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</si>
  <si>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</si>
  <si>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</si>
  <si>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</si>
  <si>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</si>
  <si>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</si>
  <si>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</si>
  <si>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</si>
  <si>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</si>
  <si>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</si>
  <si>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</si>
  <si>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</si>
  <si>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</si>
  <si>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</si>
  <si>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</si>
  <si>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</si>
  <si>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</si>
  <si>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</si>
  <si>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</si>
  <si>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</si>
  <si>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</si>
  <si>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</si>
  <si>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</si>
  <si>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</si>
  <si>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</si>
  <si>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</si>
  <si>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</si>
  <si>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</si>
  <si>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</si>
  <si>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</si>
  <si>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</si>
  <si>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</si>
  <si>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</si>
  <si>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</si>
  <si>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</si>
  <si>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</si>
  <si>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</si>
  <si>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</si>
  <si>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</si>
  <si>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</si>
  <si>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</si>
  <si>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</si>
  <si>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</si>
  <si>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</si>
  <si>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</si>
  <si>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</si>
  <si>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</si>
  <si>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</si>
  <si>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</si>
  <si>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</si>
  <si>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</si>
  <si>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</si>
  <si>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</si>
  <si>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</si>
  <si>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</si>
  <si>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</si>
  <si>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</si>
  <si>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</si>
  <si>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</si>
  <si>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</si>
  <si>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</si>
  <si>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</si>
  <si>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</si>
  <si>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</si>
  <si>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</si>
  <si>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</si>
  <si>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</si>
  <si>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</si>
  <si>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</si>
  <si>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</si>
  <si>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</si>
  <si>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</si>
  <si>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</si>
  <si>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</si>
  <si>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</si>
  <si>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</si>
  <si>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</si>
  <si>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</si>
  <si>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</si>
  <si>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</si>
  <si>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</si>
  <si>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</si>
  <si>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</si>
  <si>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</si>
  <si>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</si>
  <si>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</si>
  <si>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</si>
  <si>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</si>
  <si>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</si>
  <si>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</si>
  <si>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</si>
  <si>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</si>
  <si>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</si>
  <si>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</si>
  <si>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</si>
  <si>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</si>
  <si>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</si>
  <si>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</si>
  <si>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</si>
  <si>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</si>
  <si>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</si>
  <si>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</si>
  <si>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</si>
  <si>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</si>
  <si>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</si>
  <si>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</si>
  <si>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</si>
  <si>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</si>
  <si>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</si>
  <si>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</si>
  <si>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</si>
  <si>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</si>
  <si>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</si>
  <si>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</si>
  <si>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</si>
  <si>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</si>
  <si>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</si>
  <si>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</si>
  <si>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</si>
  <si>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</si>
  <si>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</si>
  <si>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</si>
  <si>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</si>
  <si>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</si>
  <si>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</si>
  <si>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</si>
  <si>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</si>
  <si>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</si>
  <si>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</si>
  <si>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</si>
  <si>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</si>
  <si>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</si>
  <si>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</si>
  <si>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</si>
  <si>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</si>
  <si>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</si>
  <si>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</si>
  <si>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</si>
  <si>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</si>
  <si>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</si>
  <si>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</si>
  <si>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</si>
  <si>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</si>
  <si>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</si>
  <si>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</si>
  <si>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</si>
  <si>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</si>
  <si>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</si>
  <si>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</si>
  <si>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</si>
  <si>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</si>
  <si>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</si>
  <si>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</si>
  <si>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</si>
  <si>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</si>
  <si>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</si>
  <si>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</si>
  <si>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</si>
  <si>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</si>
  <si>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</si>
  <si>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</si>
  <si>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</si>
  <si>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</si>
  <si>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</si>
  <si>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</si>
  <si>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</si>
  <si>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</si>
  <si>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</si>
  <si>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</si>
  <si>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</si>
  <si>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</si>
  <si>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</si>
  <si>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</si>
  <si>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</si>
  <si>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</si>
  <si>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</si>
  <si>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Paarden&amp;pony's 200 - 600 kg</t>
  </si>
  <si>
    <t>Paarden&amp;pony's &lt; 200 kg</t>
  </si>
  <si>
    <t>op basis van VEA (maart 2018) en Inventaris Hernieuwbare Energiebronnen (juni 2018)</t>
  </si>
  <si>
    <t>VEA (juni 2018)</t>
  </si>
  <si>
    <t>Roebben-Hendrickx</t>
  </si>
  <si>
    <t>Rapertingenstraat 5, 3500 Hasselt</t>
  </si>
  <si>
    <t>WKK-0093 Roebben-hendrickx</t>
  </si>
  <si>
    <t>interne verbrandingsmotor</t>
  </si>
  <si>
    <t>WKK interne verbrandinsgmotor (gas)</t>
  </si>
  <si>
    <t>Inter-Energa</t>
  </si>
  <si>
    <t>vzw Jessa Ziekenhuis</t>
  </si>
  <si>
    <t>Salvatorstraat 20, 3500 Hasselt</t>
  </si>
  <si>
    <t>WKK-0097 vzw Jessa Ziekenhuis (voorheen CAZ Midden-Limburg)</t>
  </si>
  <si>
    <t>Limburgs Galvano Technisch Bedrijf nv</t>
  </si>
  <si>
    <t>Albertkanaalstraat 139 , 3511 Kuringen</t>
  </si>
  <si>
    <t>WKK-0345 Limburgs Galvano Technisch Bedrijf</t>
  </si>
  <si>
    <t>Salvatorrusthuis VZW</t>
  </si>
  <si>
    <t>Ekkelgaarden 17 , 3500 Hasselt</t>
  </si>
  <si>
    <t>WKK-0387 Salvatorrusthuis</t>
  </si>
  <si>
    <t>Aquafin NV</t>
  </si>
  <si>
    <t>Dijkstraat 8, 2630 Aartselaar</t>
  </si>
  <si>
    <t>BGS-0002 RWZI Hasselt</t>
  </si>
  <si>
    <t>biogas - RWZI</t>
  </si>
  <si>
    <t>niet WKK interne verbrandingsmotor (gas)</t>
  </si>
  <si>
    <t>Rode Rodestraat 200, 3511 Hasselt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</si>
</sst>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742</v>
      </c>
      <c r="B2" s="401"/>
      <c r="C2" s="402"/>
    </row>
    <row r="3" spans="1:7" s="12" customFormat="1" ht="15" customHeight="1">
      <c r="A3" s="94"/>
      <c r="B3" s="75"/>
      <c r="C3" s="95"/>
    </row>
    <row r="4" spans="1:7" s="12" customFormat="1" ht="15.75" customHeight="1" thickBot="1">
      <c r="A4" s="106" t="s">
        <v>832</v>
      </c>
      <c r="B4" s="107"/>
      <c r="C4" s="108"/>
    </row>
    <row r="5" spans="1:7" s="395" customFormat="1" ht="15.75" customHeight="1">
      <c r="A5" s="392" t="s">
        <v>0</v>
      </c>
      <c r="B5" s="393"/>
      <c r="C5" s="394"/>
    </row>
    <row r="6" spans="1:7" s="395" customFormat="1" ht="15" customHeight="1">
      <c r="A6" s="396" t="str">
        <f>txtNIS</f>
        <v>71022</v>
      </c>
      <c r="B6" s="397"/>
      <c r="C6" s="398"/>
    </row>
    <row r="7" spans="1:7" s="395" customFormat="1" ht="15.75" customHeight="1">
      <c r="A7" s="399" t="str">
        <f>txtMunicipality</f>
        <v>HASSELT</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688</v>
      </c>
      <c r="B10" s="999"/>
      <c r="C10" s="1000"/>
    </row>
    <row r="11" spans="1:7" s="389" customFormat="1" ht="15.75" thickBot="1">
      <c r="A11" s="412" t="s">
        <v>360</v>
      </c>
      <c r="B11" s="415"/>
      <c r="C11" s="416"/>
      <c r="G11" s="390"/>
    </row>
    <row r="12" spans="1:7">
      <c r="A12" s="45"/>
      <c r="B12" s="44"/>
      <c r="C12" s="97"/>
    </row>
    <row r="13" spans="1:7" s="389" customFormat="1">
      <c r="A13" s="818" t="s">
        <v>636</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686</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593</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684</v>
      </c>
      <c r="C6" s="423" t="s">
        <v>358</v>
      </c>
    </row>
    <row r="7" spans="1:3" s="335" customFormat="1">
      <c r="A7" s="424" t="s">
        <v>685</v>
      </c>
      <c r="B7" s="425" t="s">
        <v>622</v>
      </c>
      <c r="C7" s="426" t="s">
        <v>621</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204779.101</v>
      </c>
      <c r="D10" s="703">
        <f ca="1">tertiair!C16</f>
        <v>2858.7857142857142</v>
      </c>
      <c r="E10" s="703">
        <f ca="1">tertiair!D16</f>
        <v>188138.77846742858</v>
      </c>
      <c r="F10" s="703">
        <f>tertiair!E16</f>
        <v>1575.8201407322131</v>
      </c>
      <c r="G10" s="703">
        <f ca="1">tertiair!F16</f>
        <v>40143.064318267207</v>
      </c>
      <c r="H10" s="703">
        <f>tertiair!G16</f>
        <v>0</v>
      </c>
      <c r="I10" s="703">
        <f>tertiair!H16</f>
        <v>0</v>
      </c>
      <c r="J10" s="703">
        <f>tertiair!I16</f>
        <v>0</v>
      </c>
      <c r="K10" s="703">
        <f>tertiair!J16</f>
        <v>0</v>
      </c>
      <c r="L10" s="703">
        <f>tertiair!K16</f>
        <v>0</v>
      </c>
      <c r="M10" s="703">
        <f ca="1">tertiair!L16</f>
        <v>0</v>
      </c>
      <c r="N10" s="703">
        <f>tertiair!M16</f>
        <v>0</v>
      </c>
      <c r="O10" s="703">
        <f ca="1">tertiair!N16</f>
        <v>6222.435891088453</v>
      </c>
      <c r="P10" s="703">
        <f>tertiair!O16</f>
        <v>0</v>
      </c>
      <c r="Q10" s="704">
        <f>tertiair!P16</f>
        <v>0</v>
      </c>
      <c r="R10" s="706">
        <f ca="1">SUM(C10:Q10)</f>
        <v>443717.98553180217</v>
      </c>
      <c r="S10" s="68"/>
    </row>
    <row r="11" spans="1:19" s="458" customFormat="1">
      <c r="A11" s="859" t="s">
        <v>225</v>
      </c>
      <c r="B11" s="864"/>
      <c r="C11" s="703">
        <f>huishoudens!B8</f>
        <v>137119.91225378512</v>
      </c>
      <c r="D11" s="703">
        <f>huishoudens!C8</f>
        <v>0</v>
      </c>
      <c r="E11" s="703">
        <f>huishoudens!D8</f>
        <v>298839.21075800003</v>
      </c>
      <c r="F11" s="703">
        <f>huishoudens!E8</f>
        <v>11111.979641363952</v>
      </c>
      <c r="G11" s="703">
        <f>huishoudens!F8</f>
        <v>85398.687413827938</v>
      </c>
      <c r="H11" s="703">
        <f>huishoudens!G8</f>
        <v>0</v>
      </c>
      <c r="I11" s="703">
        <f>huishoudens!H8</f>
        <v>0</v>
      </c>
      <c r="J11" s="703">
        <f>huishoudens!I8</f>
        <v>0</v>
      </c>
      <c r="K11" s="703">
        <f>huishoudens!J8</f>
        <v>0</v>
      </c>
      <c r="L11" s="703">
        <f>huishoudens!K8</f>
        <v>0</v>
      </c>
      <c r="M11" s="703">
        <f>huishoudens!L8</f>
        <v>0</v>
      </c>
      <c r="N11" s="703">
        <f>huishoudens!M8</f>
        <v>0</v>
      </c>
      <c r="O11" s="703">
        <f>huishoudens!N8</f>
        <v>34769.595287681761</v>
      </c>
      <c r="P11" s="703">
        <f>huishoudens!O8</f>
        <v>389.27</v>
      </c>
      <c r="Q11" s="704">
        <f>huishoudens!P8</f>
        <v>1430</v>
      </c>
      <c r="R11" s="706">
        <f>SUM(C11:Q11)</f>
        <v>569058.65535465884</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691</v>
      </c>
      <c r="B13" s="869" t="s">
        <v>689</v>
      </c>
      <c r="C13" s="703">
        <f>industrie!B18</f>
        <v>69428.551000000007</v>
      </c>
      <c r="D13" s="703">
        <f>industrie!C18</f>
        <v>321.42857142857144</v>
      </c>
      <c r="E13" s="703">
        <f>industrie!D18</f>
        <v>95071.363811142874</v>
      </c>
      <c r="F13" s="703">
        <f>industrie!E18</f>
        <v>839.22316727889245</v>
      </c>
      <c r="G13" s="703">
        <f>industrie!F18</f>
        <v>33804.569876145426</v>
      </c>
      <c r="H13" s="703">
        <f>industrie!G18</f>
        <v>0</v>
      </c>
      <c r="I13" s="703">
        <f>industrie!H18</f>
        <v>0</v>
      </c>
      <c r="J13" s="703">
        <f>industrie!I18</f>
        <v>0</v>
      </c>
      <c r="K13" s="703">
        <f>industrie!J18</f>
        <v>159.91296162691609</v>
      </c>
      <c r="L13" s="703">
        <f>industrie!K18</f>
        <v>0</v>
      </c>
      <c r="M13" s="703">
        <f>industrie!L18</f>
        <v>0</v>
      </c>
      <c r="N13" s="703">
        <f>industrie!M18</f>
        <v>0</v>
      </c>
      <c r="O13" s="703">
        <f>industrie!N18</f>
        <v>4341.8786544085615</v>
      </c>
      <c r="P13" s="703">
        <f>industrie!O18</f>
        <v>0</v>
      </c>
      <c r="Q13" s="704">
        <f>industrie!P18</f>
        <v>0</v>
      </c>
      <c r="R13" s="706">
        <f>SUM(C13:Q13)</f>
        <v>203966.92804203124</v>
      </c>
      <c r="S13" s="68"/>
    </row>
    <row r="14" spans="1:19" s="458" customFormat="1" ht="15" thickBot="1">
      <c r="A14" s="859"/>
      <c r="B14" s="870" t="s">
        <v>690</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411327.56425378507</v>
      </c>
      <c r="D15" s="708">
        <f t="shared" ref="D15:Q15" ca="1" si="0">SUM(D9:D14)</f>
        <v>3180.2142857142858</v>
      </c>
      <c r="E15" s="708">
        <f t="shared" ca="1" si="0"/>
        <v>582049.35303657153</v>
      </c>
      <c r="F15" s="708">
        <f t="shared" si="0"/>
        <v>13527.022949375058</v>
      </c>
      <c r="G15" s="708">
        <f t="shared" ca="1" si="0"/>
        <v>159346.32160824057</v>
      </c>
      <c r="H15" s="708">
        <f t="shared" si="0"/>
        <v>0</v>
      </c>
      <c r="I15" s="708">
        <f t="shared" si="0"/>
        <v>0</v>
      </c>
      <c r="J15" s="708">
        <f t="shared" si="0"/>
        <v>0</v>
      </c>
      <c r="K15" s="708">
        <f t="shared" si="0"/>
        <v>159.91296162691609</v>
      </c>
      <c r="L15" s="708">
        <f t="shared" si="0"/>
        <v>0</v>
      </c>
      <c r="M15" s="708">
        <f t="shared" ca="1" si="0"/>
        <v>0</v>
      </c>
      <c r="N15" s="708">
        <f t="shared" si="0"/>
        <v>0</v>
      </c>
      <c r="O15" s="708">
        <f t="shared" ca="1" si="0"/>
        <v>45333.909833178775</v>
      </c>
      <c r="P15" s="708">
        <f t="shared" si="0"/>
        <v>389.27</v>
      </c>
      <c r="Q15" s="709">
        <f t="shared" si="0"/>
        <v>1430</v>
      </c>
      <c r="R15" s="710">
        <f ca="1">SUM(R9:R14)</f>
        <v>1216743.5689284923</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18328.217386260774</v>
      </c>
      <c r="I18" s="703">
        <f>transport!H54</f>
        <v>0</v>
      </c>
      <c r="J18" s="703">
        <f>transport!I54</f>
        <v>0</v>
      </c>
      <c r="K18" s="703">
        <f>transport!J54</f>
        <v>0</v>
      </c>
      <c r="L18" s="703">
        <f>transport!K54</f>
        <v>0</v>
      </c>
      <c r="M18" s="703">
        <f>transport!L54</f>
        <v>0</v>
      </c>
      <c r="N18" s="703">
        <f>transport!M54</f>
        <v>804.82225971647676</v>
      </c>
      <c r="O18" s="703">
        <f>transport!N54</f>
        <v>0</v>
      </c>
      <c r="P18" s="703">
        <f>transport!O54</f>
        <v>0</v>
      </c>
      <c r="Q18" s="704">
        <f>transport!P54</f>
        <v>0</v>
      </c>
      <c r="R18" s="706">
        <f>SUM(C18:Q18)</f>
        <v>19133.039645977253</v>
      </c>
      <c r="S18" s="68"/>
    </row>
    <row r="19" spans="1:19" s="458" customFormat="1" ht="15" thickBot="1">
      <c r="A19" s="859" t="s">
        <v>307</v>
      </c>
      <c r="B19" s="864"/>
      <c r="C19" s="712">
        <f>transport!B14</f>
        <v>13.610748173240962</v>
      </c>
      <c r="D19" s="712">
        <f>transport!C14</f>
        <v>0</v>
      </c>
      <c r="E19" s="712">
        <f>transport!D14</f>
        <v>37.44562017138901</v>
      </c>
      <c r="F19" s="712">
        <f>transport!E14</f>
        <v>2342.3600283510809</v>
      </c>
      <c r="G19" s="712">
        <f>transport!F14</f>
        <v>0</v>
      </c>
      <c r="H19" s="712">
        <f>transport!G14</f>
        <v>445582.59522322268</v>
      </c>
      <c r="I19" s="712">
        <f>transport!H14</f>
        <v>84721.171539868345</v>
      </c>
      <c r="J19" s="712">
        <f>transport!I14</f>
        <v>0</v>
      </c>
      <c r="K19" s="712">
        <f>transport!J14</f>
        <v>0</v>
      </c>
      <c r="L19" s="712">
        <f>transport!K14</f>
        <v>0</v>
      </c>
      <c r="M19" s="712">
        <f>transport!L14</f>
        <v>0</v>
      </c>
      <c r="N19" s="712">
        <f>transport!M14</f>
        <v>23717.328528569946</v>
      </c>
      <c r="O19" s="712">
        <f>transport!N14</f>
        <v>0</v>
      </c>
      <c r="P19" s="712">
        <f>transport!O14</f>
        <v>0</v>
      </c>
      <c r="Q19" s="713">
        <f>transport!P14</f>
        <v>0</v>
      </c>
      <c r="R19" s="714">
        <f>SUM(C19:Q19)</f>
        <v>556414.51168835664</v>
      </c>
      <c r="S19" s="68"/>
    </row>
    <row r="20" spans="1:19" s="458" customFormat="1" ht="15.75" thickBot="1">
      <c r="A20" s="715" t="s">
        <v>230</v>
      </c>
      <c r="B20" s="867"/>
      <c r="C20" s="862">
        <f>SUM(C17:C19)</f>
        <v>13.610748173240962</v>
      </c>
      <c r="D20" s="716">
        <f t="shared" ref="D20:R20" si="1">SUM(D17:D19)</f>
        <v>0</v>
      </c>
      <c r="E20" s="716">
        <f t="shared" si="1"/>
        <v>37.44562017138901</v>
      </c>
      <c r="F20" s="716">
        <f t="shared" si="1"/>
        <v>2342.3600283510809</v>
      </c>
      <c r="G20" s="716">
        <f t="shared" si="1"/>
        <v>0</v>
      </c>
      <c r="H20" s="716">
        <f t="shared" si="1"/>
        <v>463910.81260948349</v>
      </c>
      <c r="I20" s="716">
        <f t="shared" si="1"/>
        <v>84721.171539868345</v>
      </c>
      <c r="J20" s="716">
        <f t="shared" si="1"/>
        <v>0</v>
      </c>
      <c r="K20" s="716">
        <f t="shared" si="1"/>
        <v>0</v>
      </c>
      <c r="L20" s="716">
        <f t="shared" si="1"/>
        <v>0</v>
      </c>
      <c r="M20" s="716">
        <f t="shared" si="1"/>
        <v>0</v>
      </c>
      <c r="N20" s="716">
        <f t="shared" si="1"/>
        <v>24522.150788286424</v>
      </c>
      <c r="O20" s="716">
        <f t="shared" si="1"/>
        <v>0</v>
      </c>
      <c r="P20" s="716">
        <f t="shared" si="1"/>
        <v>0</v>
      </c>
      <c r="Q20" s="717">
        <f t="shared" si="1"/>
        <v>0</v>
      </c>
      <c r="R20" s="718">
        <f t="shared" si="1"/>
        <v>575547.55133433384</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680</v>
      </c>
      <c r="B22" s="868"/>
      <c r="C22" s="712">
        <f>+landbouw!B8</f>
        <v>3383.6849999999999</v>
      </c>
      <c r="D22" s="712">
        <f>+landbouw!C8</f>
        <v>0</v>
      </c>
      <c r="E22" s="712">
        <f>+landbouw!D8</f>
        <v>2317.3931440000001</v>
      </c>
      <c r="F22" s="712">
        <f>+landbouw!E8</f>
        <v>31.876579843319323</v>
      </c>
      <c r="G22" s="712">
        <f>+landbouw!F8</f>
        <v>11042.087101430681</v>
      </c>
      <c r="H22" s="712">
        <f>+landbouw!G8</f>
        <v>0</v>
      </c>
      <c r="I22" s="712">
        <f>+landbouw!H8</f>
        <v>0</v>
      </c>
      <c r="J22" s="712">
        <f>+landbouw!I8</f>
        <v>0</v>
      </c>
      <c r="K22" s="712">
        <f>+landbouw!J8</f>
        <v>418.57829274067853</v>
      </c>
      <c r="L22" s="712">
        <f>+landbouw!K8</f>
        <v>0</v>
      </c>
      <c r="M22" s="712">
        <f>+landbouw!L8</f>
        <v>0</v>
      </c>
      <c r="N22" s="712">
        <f>+landbouw!M8</f>
        <v>0</v>
      </c>
      <c r="O22" s="712">
        <f>+landbouw!N8</f>
        <v>0</v>
      </c>
      <c r="P22" s="712">
        <f>+landbouw!O8</f>
        <v>0</v>
      </c>
      <c r="Q22" s="713">
        <f>+landbouw!P8</f>
        <v>0</v>
      </c>
      <c r="R22" s="714">
        <f>SUM(C22:Q22)</f>
        <v>17193.620118014682</v>
      </c>
      <c r="S22" s="68"/>
    </row>
    <row r="23" spans="1:19" s="458" customFormat="1" ht="17.25" thickTop="1" thickBot="1">
      <c r="A23" s="719" t="s">
        <v>116</v>
      </c>
      <c r="B23" s="853"/>
      <c r="C23" s="720">
        <f ca="1">C20+C15+C22</f>
        <v>414724.86000195832</v>
      </c>
      <c r="D23" s="720">
        <f t="shared" ref="D23:Q23" ca="1" si="2">D20+D15+D22</f>
        <v>3180.2142857142858</v>
      </c>
      <c r="E23" s="720">
        <f t="shared" ca="1" si="2"/>
        <v>584404.19180074288</v>
      </c>
      <c r="F23" s="720">
        <f t="shared" si="2"/>
        <v>15901.259557569458</v>
      </c>
      <c r="G23" s="720">
        <f t="shared" ca="1" si="2"/>
        <v>170388.40870967126</v>
      </c>
      <c r="H23" s="720">
        <f t="shared" si="2"/>
        <v>463910.81260948349</v>
      </c>
      <c r="I23" s="720">
        <f t="shared" si="2"/>
        <v>84721.171539868345</v>
      </c>
      <c r="J23" s="720">
        <f t="shared" si="2"/>
        <v>0</v>
      </c>
      <c r="K23" s="720">
        <f t="shared" si="2"/>
        <v>578.49125436759459</v>
      </c>
      <c r="L23" s="720">
        <f t="shared" si="2"/>
        <v>0</v>
      </c>
      <c r="M23" s="720">
        <f t="shared" ca="1" si="2"/>
        <v>0</v>
      </c>
      <c r="N23" s="720">
        <f t="shared" si="2"/>
        <v>24522.150788286424</v>
      </c>
      <c r="O23" s="720">
        <f t="shared" ca="1" si="2"/>
        <v>45333.909833178775</v>
      </c>
      <c r="P23" s="720">
        <f t="shared" si="2"/>
        <v>389.27</v>
      </c>
      <c r="Q23" s="721">
        <f t="shared" si="2"/>
        <v>1430</v>
      </c>
      <c r="R23" s="722">
        <f ca="1">R20+R15+R22</f>
        <v>1809484.7403808408</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41434.672966687838</v>
      </c>
      <c r="D36" s="703">
        <f ca="1">tertiair!C20</f>
        <v>679.38201680672285</v>
      </c>
      <c r="E36" s="703">
        <f ca="1">tertiair!D20</f>
        <v>38004.033250420573</v>
      </c>
      <c r="F36" s="703">
        <f>tertiair!E20</f>
        <v>357.7111719462124</v>
      </c>
      <c r="G36" s="703">
        <f ca="1">tertiair!F20</f>
        <v>10718.198172977345</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91193.99757883868</v>
      </c>
    </row>
    <row r="37" spans="1:18">
      <c r="A37" s="874" t="s">
        <v>225</v>
      </c>
      <c r="B37" s="881"/>
      <c r="C37" s="703">
        <f ca="1">huishoudens!B12</f>
        <v>27744.621856976115</v>
      </c>
      <c r="D37" s="703">
        <f ca="1">huishoudens!C12</f>
        <v>0</v>
      </c>
      <c r="E37" s="703">
        <f>huishoudens!D12</f>
        <v>60365.520573116009</v>
      </c>
      <c r="F37" s="703">
        <f>huishoudens!E12</f>
        <v>2522.4193785896173</v>
      </c>
      <c r="G37" s="703">
        <f>huishoudens!F12</f>
        <v>22801.44953949206</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113434.01134817381</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692</v>
      </c>
      <c r="B39" s="889" t="s">
        <v>689</v>
      </c>
      <c r="C39" s="703">
        <f ca="1">industrie!B22</f>
        <v>14048.061013980174</v>
      </c>
      <c r="D39" s="703">
        <f ca="1">industrie!C22</f>
        <v>76.386554621848759</v>
      </c>
      <c r="E39" s="703">
        <f>industrie!D22</f>
        <v>19204.41548985086</v>
      </c>
      <c r="F39" s="703">
        <f>industrie!E22</f>
        <v>190.50365897230859</v>
      </c>
      <c r="G39" s="703">
        <f>industrie!F22</f>
        <v>9025.8201569308294</v>
      </c>
      <c r="H39" s="703">
        <f>industrie!G22</f>
        <v>0</v>
      </c>
      <c r="I39" s="703">
        <f>industrie!H22</f>
        <v>0</v>
      </c>
      <c r="J39" s="703">
        <f>industrie!I22</f>
        <v>0</v>
      </c>
      <c r="K39" s="703">
        <f>industrie!J22</f>
        <v>56.609188415928294</v>
      </c>
      <c r="L39" s="703">
        <f>industrie!K22</f>
        <v>0</v>
      </c>
      <c r="M39" s="703">
        <f>industrie!L22</f>
        <v>0</v>
      </c>
      <c r="N39" s="703">
        <f>industrie!M22</f>
        <v>0</v>
      </c>
      <c r="O39" s="703">
        <f>industrie!N22</f>
        <v>0</v>
      </c>
      <c r="P39" s="703">
        <f>industrie!O22</f>
        <v>0</v>
      </c>
      <c r="Q39" s="813">
        <f>industrie!P22</f>
        <v>0</v>
      </c>
      <c r="R39" s="907">
        <f ca="1">SUM(C39:Q39)</f>
        <v>42601.796062771951</v>
      </c>
    </row>
    <row r="40" spans="1:18" ht="15" thickBot="1">
      <c r="A40" s="883"/>
      <c r="B40" s="890" t="s">
        <v>690</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83227.355837644121</v>
      </c>
      <c r="D41" s="748">
        <f t="shared" ref="D41:R41" ca="1" si="4">SUM(D35:D40)</f>
        <v>755.76857142857159</v>
      </c>
      <c r="E41" s="748">
        <f t="shared" ca="1" si="4"/>
        <v>117573.96931338744</v>
      </c>
      <c r="F41" s="748">
        <f t="shared" si="4"/>
        <v>3070.6342095081382</v>
      </c>
      <c r="G41" s="748">
        <f t="shared" ca="1" si="4"/>
        <v>42545.467869400236</v>
      </c>
      <c r="H41" s="748">
        <f t="shared" si="4"/>
        <v>0</v>
      </c>
      <c r="I41" s="748">
        <f t="shared" si="4"/>
        <v>0</v>
      </c>
      <c r="J41" s="748">
        <f t="shared" si="4"/>
        <v>0</v>
      </c>
      <c r="K41" s="748">
        <f t="shared" si="4"/>
        <v>56.609188415928294</v>
      </c>
      <c r="L41" s="748">
        <f t="shared" si="4"/>
        <v>0</v>
      </c>
      <c r="M41" s="748">
        <f t="shared" ca="1" si="4"/>
        <v>0</v>
      </c>
      <c r="N41" s="748">
        <f t="shared" si="4"/>
        <v>0</v>
      </c>
      <c r="O41" s="748">
        <f t="shared" ca="1" si="4"/>
        <v>0</v>
      </c>
      <c r="P41" s="748">
        <f t="shared" si="4"/>
        <v>0</v>
      </c>
      <c r="Q41" s="749">
        <f t="shared" si="4"/>
        <v>0</v>
      </c>
      <c r="R41" s="750">
        <f t="shared" ca="1" si="4"/>
        <v>247229.80498978446</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4893.6340421316272</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4893.6340421316272</v>
      </c>
    </row>
    <row r="45" spans="1:18" ht="15" thickBot="1">
      <c r="A45" s="877" t="s">
        <v>307</v>
      </c>
      <c r="B45" s="887"/>
      <c r="C45" s="712">
        <f ca="1">transport!B18</f>
        <v>2.7539768298435066</v>
      </c>
      <c r="D45" s="712">
        <f>transport!C18</f>
        <v>0</v>
      </c>
      <c r="E45" s="712">
        <f>transport!D18</f>
        <v>7.56401527462058</v>
      </c>
      <c r="F45" s="712">
        <f>transport!E18</f>
        <v>531.71572643569539</v>
      </c>
      <c r="G45" s="712">
        <f>transport!F18</f>
        <v>0</v>
      </c>
      <c r="H45" s="712">
        <f>transport!G18</f>
        <v>118970.55292460046</v>
      </c>
      <c r="I45" s="712">
        <f>transport!H18</f>
        <v>21095.571713427216</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140608.15835656784</v>
      </c>
    </row>
    <row r="46" spans="1:18" ht="15.75" thickBot="1">
      <c r="A46" s="875" t="s">
        <v>230</v>
      </c>
      <c r="B46" s="888"/>
      <c r="C46" s="748">
        <f t="shared" ref="C46:R46" ca="1" si="5">SUM(C43:C45)</f>
        <v>2.7539768298435066</v>
      </c>
      <c r="D46" s="748">
        <f t="shared" ca="1" si="5"/>
        <v>0</v>
      </c>
      <c r="E46" s="748">
        <f t="shared" si="5"/>
        <v>7.56401527462058</v>
      </c>
      <c r="F46" s="748">
        <f t="shared" si="5"/>
        <v>531.71572643569539</v>
      </c>
      <c r="G46" s="748">
        <f t="shared" si="5"/>
        <v>0</v>
      </c>
      <c r="H46" s="748">
        <f t="shared" si="5"/>
        <v>123864.18696673209</v>
      </c>
      <c r="I46" s="748">
        <f t="shared" si="5"/>
        <v>21095.571713427216</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145501.79239869947</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680</v>
      </c>
      <c r="B48" s="893"/>
      <c r="C48" s="703">
        <f ca="1">+landbouw!B12</f>
        <v>684.64936466972347</v>
      </c>
      <c r="D48" s="703">
        <f ca="1">+landbouw!C12</f>
        <v>0</v>
      </c>
      <c r="E48" s="703">
        <f>+landbouw!D12</f>
        <v>468.11341508800007</v>
      </c>
      <c r="F48" s="703">
        <f>+landbouw!E12</f>
        <v>7.2359836244334863</v>
      </c>
      <c r="G48" s="703">
        <f>+landbouw!F12</f>
        <v>2948.2372560819922</v>
      </c>
      <c r="H48" s="703">
        <f>+landbouw!G12</f>
        <v>0</v>
      </c>
      <c r="I48" s="703">
        <f>+landbouw!H12</f>
        <v>0</v>
      </c>
      <c r="J48" s="703">
        <f>+landbouw!I12</f>
        <v>0</v>
      </c>
      <c r="K48" s="703">
        <f>+landbouw!J12</f>
        <v>148.17671563020019</v>
      </c>
      <c r="L48" s="703">
        <f>+landbouw!K12</f>
        <v>0</v>
      </c>
      <c r="M48" s="703">
        <f>+landbouw!L12</f>
        <v>0</v>
      </c>
      <c r="N48" s="703">
        <f>+landbouw!M12</f>
        <v>0</v>
      </c>
      <c r="O48" s="703">
        <f>+landbouw!N12</f>
        <v>0</v>
      </c>
      <c r="P48" s="703">
        <f>+landbouw!O12</f>
        <v>0</v>
      </c>
      <c r="Q48" s="704">
        <f>+landbouw!P12</f>
        <v>0</v>
      </c>
      <c r="R48" s="746">
        <f ca="1">SUM(C48:Q48)</f>
        <v>4256.41273509435</v>
      </c>
    </row>
    <row r="49" spans="1:18" ht="15.75">
      <c r="A49" s="852" t="s">
        <v>681</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83914.759179143686</v>
      </c>
      <c r="D53" s="758">
        <f t="shared" ref="D53:Q53" ca="1" si="6">D41+D46+D48</f>
        <v>755.76857142857159</v>
      </c>
      <c r="E53" s="758">
        <f t="shared" ca="1" si="6"/>
        <v>118049.64674375005</v>
      </c>
      <c r="F53" s="758">
        <f t="shared" si="6"/>
        <v>3609.5859195682674</v>
      </c>
      <c r="G53" s="758">
        <f t="shared" ca="1" si="6"/>
        <v>45493.705125482229</v>
      </c>
      <c r="H53" s="758">
        <f t="shared" si="6"/>
        <v>123864.18696673209</v>
      </c>
      <c r="I53" s="758">
        <f t="shared" si="6"/>
        <v>21095.571713427216</v>
      </c>
      <c r="J53" s="758">
        <f t="shared" si="6"/>
        <v>0</v>
      </c>
      <c r="K53" s="758">
        <f t="shared" si="6"/>
        <v>204.78590404612848</v>
      </c>
      <c r="L53" s="758">
        <f t="shared" si="6"/>
        <v>0</v>
      </c>
      <c r="M53" s="758">
        <f t="shared" ca="1" si="6"/>
        <v>0</v>
      </c>
      <c r="N53" s="758">
        <f t="shared" si="6"/>
        <v>0</v>
      </c>
      <c r="O53" s="758">
        <f t="shared" ca="1" si="6"/>
        <v>0</v>
      </c>
      <c r="P53" s="758">
        <f>P41+P46+P48</f>
        <v>0</v>
      </c>
      <c r="Q53" s="759">
        <f t="shared" si="6"/>
        <v>0</v>
      </c>
      <c r="R53" s="760">
        <f ca="1">R41+R46+R48</f>
        <v>396988.01012357831</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0.20233838689763484</v>
      </c>
      <c r="D55" s="824">
        <f t="shared" ca="1" si="7"/>
        <v>0.23764705882352946</v>
      </c>
      <c r="E55" s="824">
        <f t="shared" ca="1" si="7"/>
        <v>0.20199999999999999</v>
      </c>
      <c r="F55" s="824">
        <f t="shared" si="7"/>
        <v>0.22700000000000004</v>
      </c>
      <c r="G55" s="824">
        <f t="shared" ca="1" si="7"/>
        <v>0.26700000000000002</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695</v>
      </c>
      <c r="O61" s="1063" t="s">
        <v>694</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575</v>
      </c>
      <c r="C63" s="843" t="s">
        <v>693</v>
      </c>
      <c r="D63" s="773" t="s">
        <v>199</v>
      </c>
      <c r="E63" s="774" t="s">
        <v>200</v>
      </c>
      <c r="F63" s="775" t="s">
        <v>201</v>
      </c>
      <c r="G63" s="776" t="s">
        <v>203</v>
      </c>
      <c r="H63" s="777" t="s">
        <v>204</v>
      </c>
      <c r="I63" s="778"/>
      <c r="J63" s="774"/>
      <c r="K63" s="774"/>
      <c r="L63" s="774"/>
      <c r="M63" s="1069"/>
      <c r="N63" s="1054"/>
      <c r="O63" s="846" t="s">
        <v>696</v>
      </c>
      <c r="P63" s="844" t="s">
        <v>697</v>
      </c>
      <c r="Q63" s="770"/>
      <c r="R63" s="727"/>
    </row>
    <row r="64" spans="1:18" ht="15.75" thickTop="1">
      <c r="A64" s="779" t="s">
        <v>249</v>
      </c>
      <c r="B64" s="897">
        <f>'lokale energieproductie'!B4</f>
        <v>14237.021407305889</v>
      </c>
      <c r="C64" s="780">
        <f>'lokale energieproductie'!B4</f>
        <v>14237.021407305889</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19713.23303291628</v>
      </c>
      <c r="C66" s="780">
        <f>'lokale energieproductie'!B6</f>
        <v>19713.23303291628</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2226.15</v>
      </c>
      <c r="C67" s="779">
        <f>B67*IFERROR(SUM(J67:L67)/SUM(D67:M67),0)</f>
        <v>0</v>
      </c>
      <c r="D67" s="811">
        <f>'lokale energieproductie'!C7</f>
        <v>2619.0000000000005</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529.03800000000012</v>
      </c>
      <c r="P67" s="911">
        <v>0</v>
      </c>
      <c r="Q67" s="770"/>
      <c r="R67" s="727"/>
    </row>
    <row r="68" spans="1:18" ht="30.75" thickBot="1">
      <c r="A68" s="786" t="s">
        <v>353</v>
      </c>
      <c r="B68" s="779">
        <f>'lokale energieproductie'!B8</f>
        <v>1237.5</v>
      </c>
      <c r="C68" s="779">
        <f>B68*IFERROR(SUM(J68:L68)/SUM(D68:M68),0)</f>
        <v>1237.5</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3535.7142857142858</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37413.90444022217</v>
      </c>
      <c r="C69" s="788">
        <f>SUM(C64:C68)</f>
        <v>35187.754440222168</v>
      </c>
      <c r="D69" s="789">
        <f t="shared" ref="D69:M69" si="8">SUM(D67:D68)</f>
        <v>2619.0000000000005</v>
      </c>
      <c r="E69" s="789">
        <f t="shared" si="8"/>
        <v>0</v>
      </c>
      <c r="F69" s="789">
        <f t="shared" si="8"/>
        <v>0</v>
      </c>
      <c r="G69" s="789">
        <f t="shared" si="8"/>
        <v>0</v>
      </c>
      <c r="H69" s="789">
        <f t="shared" si="8"/>
        <v>0</v>
      </c>
      <c r="I69" s="789">
        <f t="shared" si="8"/>
        <v>0</v>
      </c>
      <c r="J69" s="789">
        <f t="shared" si="8"/>
        <v>0</v>
      </c>
      <c r="K69" s="789">
        <f t="shared" si="8"/>
        <v>3535.7142857142858</v>
      </c>
      <c r="L69" s="789">
        <f t="shared" si="8"/>
        <v>0</v>
      </c>
      <c r="M69" s="919">
        <f t="shared" si="8"/>
        <v>0</v>
      </c>
      <c r="N69" s="790">
        <v>0</v>
      </c>
      <c r="O69" s="790">
        <f>SUM(O67:O68)</f>
        <v>529.03800000000012</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695</v>
      </c>
      <c r="O75" s="1061" t="s">
        <v>694</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575</v>
      </c>
      <c r="C77" s="898" t="s">
        <v>693</v>
      </c>
      <c r="D77" s="798" t="s">
        <v>199</v>
      </c>
      <c r="E77" s="774" t="s">
        <v>200</v>
      </c>
      <c r="F77" s="799" t="s">
        <v>201</v>
      </c>
      <c r="G77" s="774" t="s">
        <v>203</v>
      </c>
      <c r="H77" s="800" t="s">
        <v>204</v>
      </c>
      <c r="I77" s="1077"/>
      <c r="J77" s="1077"/>
      <c r="K77" s="1079"/>
      <c r="L77" s="1032"/>
      <c r="M77" s="1081"/>
      <c r="N77" s="1054"/>
      <c r="O77" s="846" t="s">
        <v>696</v>
      </c>
      <c r="P77" s="844" t="s">
        <v>697</v>
      </c>
      <c r="Q77" s="797"/>
      <c r="R77" s="727"/>
    </row>
    <row r="78" spans="1:18" ht="15.75" thickTop="1">
      <c r="A78" s="801" t="s">
        <v>252</v>
      </c>
      <c r="B78" s="802">
        <f>'lokale energieproductie'!B16</f>
        <v>3180.2142857142858</v>
      </c>
      <c r="C78" s="802">
        <f>B78*IFERROR(SUM(I78:L78)/SUM(D78:M78),0)</f>
        <v>0</v>
      </c>
      <c r="D78" s="817">
        <f>'lokale energieproductie'!C16</f>
        <v>3741.428571428572</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755.76857142857159</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3180.2142857142858</v>
      </c>
      <c r="C81" s="788">
        <f>SUM(C78:C80)</f>
        <v>0</v>
      </c>
      <c r="D81" s="788">
        <f t="shared" ref="D81:P81" si="9">SUM(D78:D80)</f>
        <v>3741.428571428572</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755.76857142857159</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570</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137119.91225378512</v>
      </c>
      <c r="C4" s="462">
        <f>huishoudens!C8</f>
        <v>0</v>
      </c>
      <c r="D4" s="462">
        <f>huishoudens!D8</f>
        <v>298839.21075800003</v>
      </c>
      <c r="E4" s="462">
        <f>huishoudens!E8</f>
        <v>11111.979641363952</v>
      </c>
      <c r="F4" s="462">
        <f>huishoudens!F8</f>
        <v>85398.687413827938</v>
      </c>
      <c r="G4" s="462">
        <f>huishoudens!G8</f>
        <v>0</v>
      </c>
      <c r="H4" s="462">
        <f>huishoudens!H8</f>
        <v>0</v>
      </c>
      <c r="I4" s="462">
        <f>huishoudens!I8</f>
        <v>0</v>
      </c>
      <c r="J4" s="462">
        <f>huishoudens!J8</f>
        <v>0</v>
      </c>
      <c r="K4" s="462">
        <f>huishoudens!K8</f>
        <v>0</v>
      </c>
      <c r="L4" s="462">
        <f>huishoudens!L8</f>
        <v>0</v>
      </c>
      <c r="M4" s="462">
        <f>huishoudens!M8</f>
        <v>0</v>
      </c>
      <c r="N4" s="462">
        <f>huishoudens!N8</f>
        <v>34769.595287681761</v>
      </c>
      <c r="O4" s="462">
        <f>huishoudens!O8</f>
        <v>389.27</v>
      </c>
      <c r="P4" s="463">
        <f>huishoudens!P8</f>
        <v>1430</v>
      </c>
      <c r="Q4" s="464">
        <f>SUM(B4:P4)</f>
        <v>569058.65535465884</v>
      </c>
    </row>
    <row r="5" spans="1:17">
      <c r="A5" s="461" t="s">
        <v>156</v>
      </c>
      <c r="B5" s="462">
        <f ca="1">tertiair!B16</f>
        <v>199825.68400000001</v>
      </c>
      <c r="C5" s="462">
        <f ca="1">tertiair!C16</f>
        <v>2858.7857142857142</v>
      </c>
      <c r="D5" s="462">
        <f ca="1">tertiair!D16</f>
        <v>188138.77846742858</v>
      </c>
      <c r="E5" s="462">
        <f>tertiair!E16</f>
        <v>1575.8201407322131</v>
      </c>
      <c r="F5" s="462">
        <f ca="1">tertiair!F16</f>
        <v>40143.064318267207</v>
      </c>
      <c r="G5" s="462">
        <f>tertiair!G16</f>
        <v>0</v>
      </c>
      <c r="H5" s="462">
        <f>tertiair!H16</f>
        <v>0</v>
      </c>
      <c r="I5" s="462">
        <f>tertiair!I16</f>
        <v>0</v>
      </c>
      <c r="J5" s="462">
        <f>tertiair!J16</f>
        <v>0</v>
      </c>
      <c r="K5" s="462">
        <f>tertiair!K16</f>
        <v>0</v>
      </c>
      <c r="L5" s="462">
        <f ca="1">tertiair!L16</f>
        <v>0</v>
      </c>
      <c r="M5" s="462">
        <f>tertiair!M16</f>
        <v>0</v>
      </c>
      <c r="N5" s="462">
        <f ca="1">tertiair!N16</f>
        <v>6222.435891088453</v>
      </c>
      <c r="O5" s="462">
        <f>tertiair!O16</f>
        <v>0</v>
      </c>
      <c r="P5" s="463">
        <f>tertiair!P16</f>
        <v>0</v>
      </c>
      <c r="Q5" s="461">
        <f t="shared" ref="Q5:Q13" ca="1" si="0">SUM(B5:P5)</f>
        <v>438764.56853180222</v>
      </c>
    </row>
    <row r="6" spans="1:17">
      <c r="A6" s="461" t="s">
        <v>194</v>
      </c>
      <c r="B6" s="462">
        <f>'openbare verlichting'!B8</f>
        <v>4953.4170000000004</v>
      </c>
      <c r="C6" s="462"/>
      <c r="D6" s="462"/>
      <c r="E6" s="462"/>
      <c r="F6" s="462"/>
      <c r="G6" s="462"/>
      <c r="H6" s="462"/>
      <c r="I6" s="462"/>
      <c r="J6" s="462"/>
      <c r="K6" s="462"/>
      <c r="L6" s="462"/>
      <c r="M6" s="462"/>
      <c r="N6" s="462"/>
      <c r="O6" s="462"/>
      <c r="P6" s="463"/>
      <c r="Q6" s="461">
        <f t="shared" si="0"/>
        <v>4953.4170000000004</v>
      </c>
    </row>
    <row r="7" spans="1:17">
      <c r="A7" s="461" t="s">
        <v>112</v>
      </c>
      <c r="B7" s="462">
        <f>landbouw!B8</f>
        <v>3383.6849999999999</v>
      </c>
      <c r="C7" s="462">
        <f>landbouw!C8</f>
        <v>0</v>
      </c>
      <c r="D7" s="462">
        <f>landbouw!D8</f>
        <v>2317.3931440000001</v>
      </c>
      <c r="E7" s="462">
        <f>landbouw!E8</f>
        <v>31.876579843319323</v>
      </c>
      <c r="F7" s="462">
        <f>landbouw!F8</f>
        <v>11042.087101430681</v>
      </c>
      <c r="G7" s="462">
        <f>landbouw!G8</f>
        <v>0</v>
      </c>
      <c r="H7" s="462">
        <f>landbouw!H8</f>
        <v>0</v>
      </c>
      <c r="I7" s="462">
        <f>landbouw!I8</f>
        <v>0</v>
      </c>
      <c r="J7" s="462">
        <f>landbouw!J8</f>
        <v>418.57829274067853</v>
      </c>
      <c r="K7" s="462">
        <f>landbouw!K8</f>
        <v>0</v>
      </c>
      <c r="L7" s="462">
        <f>landbouw!L8</f>
        <v>0</v>
      </c>
      <c r="M7" s="462">
        <f>landbouw!M8</f>
        <v>0</v>
      </c>
      <c r="N7" s="462">
        <f>landbouw!N8</f>
        <v>0</v>
      </c>
      <c r="O7" s="462">
        <f>landbouw!O8</f>
        <v>0</v>
      </c>
      <c r="P7" s="463">
        <f>landbouw!P8</f>
        <v>0</v>
      </c>
      <c r="Q7" s="461">
        <f t="shared" si="0"/>
        <v>17193.620118014682</v>
      </c>
    </row>
    <row r="8" spans="1:17">
      <c r="A8" s="461" t="s">
        <v>687</v>
      </c>
      <c r="B8" s="462">
        <f>industrie!B18</f>
        <v>69428.551000000007</v>
      </c>
      <c r="C8" s="462">
        <f>industrie!C18</f>
        <v>321.42857142857144</v>
      </c>
      <c r="D8" s="462">
        <f>industrie!D18</f>
        <v>95071.363811142874</v>
      </c>
      <c r="E8" s="462">
        <f>industrie!E18</f>
        <v>839.22316727889245</v>
      </c>
      <c r="F8" s="462">
        <f>industrie!F18</f>
        <v>33804.569876145426</v>
      </c>
      <c r="G8" s="462">
        <f>industrie!G18</f>
        <v>0</v>
      </c>
      <c r="H8" s="462">
        <f>industrie!H18</f>
        <v>0</v>
      </c>
      <c r="I8" s="462">
        <f>industrie!I18</f>
        <v>0</v>
      </c>
      <c r="J8" s="462">
        <f>industrie!J18</f>
        <v>159.91296162691609</v>
      </c>
      <c r="K8" s="462">
        <f>industrie!K18</f>
        <v>0</v>
      </c>
      <c r="L8" s="462">
        <f>industrie!L18</f>
        <v>0</v>
      </c>
      <c r="M8" s="462">
        <f>industrie!M18</f>
        <v>0</v>
      </c>
      <c r="N8" s="462">
        <f>industrie!N18</f>
        <v>4341.8786544085615</v>
      </c>
      <c r="O8" s="462">
        <f>industrie!O18</f>
        <v>0</v>
      </c>
      <c r="P8" s="463">
        <f>industrie!P18</f>
        <v>0</v>
      </c>
      <c r="Q8" s="461">
        <f t="shared" si="0"/>
        <v>203966.92804203124</v>
      </c>
    </row>
    <row r="9" spans="1:17" s="467" customFormat="1">
      <c r="A9" s="465" t="s">
        <v>581</v>
      </c>
      <c r="B9" s="466">
        <f>transport!B14</f>
        <v>13.610748173240962</v>
      </c>
      <c r="C9" s="466">
        <f>transport!C14</f>
        <v>0</v>
      </c>
      <c r="D9" s="466">
        <f>transport!D14</f>
        <v>37.44562017138901</v>
      </c>
      <c r="E9" s="466">
        <f>transport!E14</f>
        <v>2342.3600283510809</v>
      </c>
      <c r="F9" s="466">
        <f>transport!F14</f>
        <v>0</v>
      </c>
      <c r="G9" s="466">
        <f>transport!G14</f>
        <v>445582.59522322268</v>
      </c>
      <c r="H9" s="466">
        <f>transport!H14</f>
        <v>84721.171539868345</v>
      </c>
      <c r="I9" s="466">
        <f>transport!I14</f>
        <v>0</v>
      </c>
      <c r="J9" s="466">
        <f>transport!J14</f>
        <v>0</v>
      </c>
      <c r="K9" s="466">
        <f>transport!K14</f>
        <v>0</v>
      </c>
      <c r="L9" s="466">
        <f>transport!L14</f>
        <v>0</v>
      </c>
      <c r="M9" s="466">
        <f>transport!M14</f>
        <v>23717.328528569946</v>
      </c>
      <c r="N9" s="466">
        <f>transport!N14</f>
        <v>0</v>
      </c>
      <c r="O9" s="466">
        <f>transport!O14</f>
        <v>0</v>
      </c>
      <c r="P9" s="466">
        <f>transport!P14</f>
        <v>0</v>
      </c>
      <c r="Q9" s="465">
        <f>SUM(B9:P9)</f>
        <v>556414.51168835664</v>
      </c>
    </row>
    <row r="10" spans="1:17">
      <c r="A10" s="461" t="s">
        <v>571</v>
      </c>
      <c r="B10" s="462">
        <f>transport!B54</f>
        <v>0</v>
      </c>
      <c r="C10" s="462">
        <f>transport!C54</f>
        <v>0</v>
      </c>
      <c r="D10" s="462">
        <f>transport!D54</f>
        <v>0</v>
      </c>
      <c r="E10" s="462">
        <f>transport!E54</f>
        <v>0</v>
      </c>
      <c r="F10" s="462">
        <f>transport!F54</f>
        <v>0</v>
      </c>
      <c r="G10" s="462">
        <f>transport!G54</f>
        <v>18328.217386260774</v>
      </c>
      <c r="H10" s="462">
        <f>transport!H54</f>
        <v>0</v>
      </c>
      <c r="I10" s="462">
        <f>transport!I54</f>
        <v>0</v>
      </c>
      <c r="J10" s="462">
        <f>transport!J54</f>
        <v>0</v>
      </c>
      <c r="K10" s="462">
        <f>transport!K54</f>
        <v>0</v>
      </c>
      <c r="L10" s="462">
        <f>transport!L54</f>
        <v>0</v>
      </c>
      <c r="M10" s="462">
        <f>transport!M54</f>
        <v>804.82225971647676</v>
      </c>
      <c r="N10" s="462">
        <f>transport!N54</f>
        <v>0</v>
      </c>
      <c r="O10" s="462">
        <f>transport!O54</f>
        <v>0</v>
      </c>
      <c r="P10" s="463">
        <f>transport!P54</f>
        <v>0</v>
      </c>
      <c r="Q10" s="461">
        <f t="shared" si="0"/>
        <v>19133.039645977253</v>
      </c>
    </row>
    <row r="11" spans="1:17">
      <c r="A11" s="461" t="s">
        <v>572</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573</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574</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575</v>
      </c>
      <c r="B14" s="472">
        <f ca="1">SUM(B4:B13)</f>
        <v>414724.86000195838</v>
      </c>
      <c r="C14" s="472">
        <f t="shared" ref="C14:Q14" ca="1" si="1">SUM(C4:C13)</f>
        <v>3180.2142857142858</v>
      </c>
      <c r="D14" s="472">
        <f t="shared" ca="1" si="1"/>
        <v>584404.19180074288</v>
      </c>
      <c r="E14" s="472">
        <f t="shared" si="1"/>
        <v>15901.259557569458</v>
      </c>
      <c r="F14" s="472">
        <f t="shared" ca="1" si="1"/>
        <v>170388.40870967126</v>
      </c>
      <c r="G14" s="472">
        <f t="shared" si="1"/>
        <v>463910.81260948349</v>
      </c>
      <c r="H14" s="472">
        <f t="shared" si="1"/>
        <v>84721.171539868345</v>
      </c>
      <c r="I14" s="472">
        <f t="shared" si="1"/>
        <v>0</v>
      </c>
      <c r="J14" s="472">
        <f t="shared" si="1"/>
        <v>578.49125436759459</v>
      </c>
      <c r="K14" s="472">
        <f t="shared" si="1"/>
        <v>0</v>
      </c>
      <c r="L14" s="472">
        <f t="shared" ca="1" si="1"/>
        <v>0</v>
      </c>
      <c r="M14" s="472">
        <f t="shared" si="1"/>
        <v>24522.150788286424</v>
      </c>
      <c r="N14" s="472">
        <f t="shared" ca="1" si="1"/>
        <v>45333.909833178775</v>
      </c>
      <c r="O14" s="472">
        <f t="shared" si="1"/>
        <v>389.27</v>
      </c>
      <c r="P14" s="473">
        <f t="shared" si="1"/>
        <v>1430</v>
      </c>
      <c r="Q14" s="473">
        <f t="shared" ca="1" si="1"/>
        <v>1809484.7403808408</v>
      </c>
    </row>
    <row r="16" spans="1:17">
      <c r="A16" s="475" t="s">
        <v>576</v>
      </c>
      <c r="B16" s="829">
        <f ca="1">huishoudens!B10</f>
        <v>0.20233838689763484</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578</v>
      </c>
      <c r="B18" s="1083" t="s">
        <v>577</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27744.621856976115</v>
      </c>
      <c r="C21" s="462">
        <f t="shared" ref="C21:C30" ca="1" si="3">C4*$C$16</f>
        <v>0</v>
      </c>
      <c r="D21" s="462">
        <f t="shared" ref="D21:D30" si="4">D4*$D$16</f>
        <v>60365.520573116009</v>
      </c>
      <c r="E21" s="462">
        <f t="shared" ref="E21:E30" si="5">E4*$E$16</f>
        <v>2522.4193785896173</v>
      </c>
      <c r="F21" s="462">
        <f t="shared" ref="F21:F30" si="6">F4*$F$16</f>
        <v>22801.44953949206</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113434.01134817381</v>
      </c>
    </row>
    <row r="22" spans="1:17">
      <c r="A22" s="461" t="s">
        <v>156</v>
      </c>
      <c r="B22" s="462">
        <f t="shared" ca="1" si="2"/>
        <v>40432.406561276519</v>
      </c>
      <c r="C22" s="462">
        <f t="shared" ca="1" si="3"/>
        <v>679.38201680672285</v>
      </c>
      <c r="D22" s="462">
        <f t="shared" ca="1" si="4"/>
        <v>38004.033250420573</v>
      </c>
      <c r="E22" s="462">
        <f t="shared" si="5"/>
        <v>357.7111719462124</v>
      </c>
      <c r="F22" s="462">
        <f t="shared" ca="1" si="6"/>
        <v>10718.198172977345</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90191.731173427368</v>
      </c>
    </row>
    <row r="23" spans="1:17">
      <c r="A23" s="461" t="s">
        <v>194</v>
      </c>
      <c r="B23" s="462">
        <f t="shared" ca="1" si="2"/>
        <v>1002.2664054113218</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1002.2664054113218</v>
      </c>
    </row>
    <row r="24" spans="1:17">
      <c r="A24" s="461" t="s">
        <v>112</v>
      </c>
      <c r="B24" s="462">
        <f t="shared" ca="1" si="2"/>
        <v>684.64936466972347</v>
      </c>
      <c r="C24" s="462">
        <f t="shared" ca="1" si="3"/>
        <v>0</v>
      </c>
      <c r="D24" s="462">
        <f t="shared" si="4"/>
        <v>468.11341508800007</v>
      </c>
      <c r="E24" s="462">
        <f t="shared" si="5"/>
        <v>7.2359836244334863</v>
      </c>
      <c r="F24" s="462">
        <f t="shared" si="6"/>
        <v>2948.2372560819922</v>
      </c>
      <c r="G24" s="462">
        <f t="shared" si="7"/>
        <v>0</v>
      </c>
      <c r="H24" s="462">
        <f t="shared" si="8"/>
        <v>0</v>
      </c>
      <c r="I24" s="462">
        <f t="shared" si="9"/>
        <v>0</v>
      </c>
      <c r="J24" s="462">
        <f t="shared" si="10"/>
        <v>148.17671563020019</v>
      </c>
      <c r="K24" s="462">
        <f t="shared" si="11"/>
        <v>0</v>
      </c>
      <c r="L24" s="462">
        <f t="shared" si="12"/>
        <v>0</v>
      </c>
      <c r="M24" s="462">
        <f t="shared" si="13"/>
        <v>0</v>
      </c>
      <c r="N24" s="462">
        <f t="shared" si="14"/>
        <v>0</v>
      </c>
      <c r="O24" s="462">
        <f t="shared" si="15"/>
        <v>0</v>
      </c>
      <c r="P24" s="463">
        <f t="shared" si="16"/>
        <v>0</v>
      </c>
      <c r="Q24" s="461">
        <f t="shared" ca="1" si="17"/>
        <v>4256.41273509435</v>
      </c>
    </row>
    <row r="25" spans="1:17">
      <c r="A25" s="461" t="s">
        <v>687</v>
      </c>
      <c r="B25" s="462">
        <f t="shared" ca="1" si="2"/>
        <v>14048.061013980174</v>
      </c>
      <c r="C25" s="462">
        <f t="shared" ca="1" si="3"/>
        <v>76.386554621848759</v>
      </c>
      <c r="D25" s="462">
        <f t="shared" si="4"/>
        <v>19204.41548985086</v>
      </c>
      <c r="E25" s="462">
        <f t="shared" si="5"/>
        <v>190.50365897230859</v>
      </c>
      <c r="F25" s="462">
        <f t="shared" si="6"/>
        <v>9025.8201569308294</v>
      </c>
      <c r="G25" s="462">
        <f t="shared" si="7"/>
        <v>0</v>
      </c>
      <c r="H25" s="462">
        <f t="shared" si="8"/>
        <v>0</v>
      </c>
      <c r="I25" s="462">
        <f t="shared" si="9"/>
        <v>0</v>
      </c>
      <c r="J25" s="462">
        <f t="shared" si="10"/>
        <v>56.609188415928294</v>
      </c>
      <c r="K25" s="462">
        <f t="shared" si="11"/>
        <v>0</v>
      </c>
      <c r="L25" s="462">
        <f t="shared" si="12"/>
        <v>0</v>
      </c>
      <c r="M25" s="462">
        <f t="shared" si="13"/>
        <v>0</v>
      </c>
      <c r="N25" s="462">
        <f t="shared" si="14"/>
        <v>0</v>
      </c>
      <c r="O25" s="462">
        <f t="shared" si="15"/>
        <v>0</v>
      </c>
      <c r="P25" s="463">
        <f t="shared" si="16"/>
        <v>0</v>
      </c>
      <c r="Q25" s="461">
        <f t="shared" ca="1" si="17"/>
        <v>42601.796062771951</v>
      </c>
    </row>
    <row r="26" spans="1:17" s="467" customFormat="1">
      <c r="A26" s="465" t="s">
        <v>581</v>
      </c>
      <c r="B26" s="823">
        <f t="shared" ca="1" si="2"/>
        <v>2.7539768298435066</v>
      </c>
      <c r="C26" s="466">
        <f t="shared" ca="1" si="3"/>
        <v>0</v>
      </c>
      <c r="D26" s="466">
        <f t="shared" si="4"/>
        <v>7.56401527462058</v>
      </c>
      <c r="E26" s="466">
        <f t="shared" si="5"/>
        <v>531.71572643569539</v>
      </c>
      <c r="F26" s="466">
        <f t="shared" si="6"/>
        <v>0</v>
      </c>
      <c r="G26" s="466">
        <f t="shared" si="7"/>
        <v>118970.55292460046</v>
      </c>
      <c r="H26" s="466">
        <f t="shared" si="8"/>
        <v>21095.571713427216</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140608.15835656784</v>
      </c>
    </row>
    <row r="27" spans="1:17">
      <c r="A27" s="461" t="s">
        <v>571</v>
      </c>
      <c r="B27" s="462">
        <f t="shared" ca="1" si="2"/>
        <v>0</v>
      </c>
      <c r="C27" s="462">
        <f t="shared" ca="1" si="3"/>
        <v>0</v>
      </c>
      <c r="D27" s="462">
        <f t="shared" si="4"/>
        <v>0</v>
      </c>
      <c r="E27" s="462">
        <f t="shared" si="5"/>
        <v>0</v>
      </c>
      <c r="F27" s="462">
        <f t="shared" si="6"/>
        <v>0</v>
      </c>
      <c r="G27" s="462">
        <f t="shared" si="7"/>
        <v>4893.6340421316272</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4893.6340421316272</v>
      </c>
    </row>
    <row r="28" spans="1:17">
      <c r="A28" s="461" t="s">
        <v>572</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573</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574</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575</v>
      </c>
      <c r="B31" s="472">
        <f t="shared" ref="B31:Q31" ca="1" si="18">SUM(B21:B30)</f>
        <v>83914.759179143701</v>
      </c>
      <c r="C31" s="472">
        <f t="shared" ca="1" si="18"/>
        <v>755.76857142857159</v>
      </c>
      <c r="D31" s="472">
        <f t="shared" ca="1" si="18"/>
        <v>118049.64674375005</v>
      </c>
      <c r="E31" s="472">
        <f t="shared" si="18"/>
        <v>3609.5859195682669</v>
      </c>
      <c r="F31" s="472">
        <f t="shared" ca="1" si="18"/>
        <v>45493.705125482229</v>
      </c>
      <c r="G31" s="472">
        <f t="shared" si="18"/>
        <v>123864.18696673209</v>
      </c>
      <c r="H31" s="472">
        <f t="shared" si="18"/>
        <v>21095.571713427216</v>
      </c>
      <c r="I31" s="472">
        <f t="shared" si="18"/>
        <v>0</v>
      </c>
      <c r="J31" s="472">
        <f t="shared" si="18"/>
        <v>204.78590404612848</v>
      </c>
      <c r="K31" s="472">
        <f t="shared" si="18"/>
        <v>0</v>
      </c>
      <c r="L31" s="472">
        <f t="shared" ca="1" si="18"/>
        <v>0</v>
      </c>
      <c r="M31" s="472">
        <f t="shared" si="18"/>
        <v>0</v>
      </c>
      <c r="N31" s="472">
        <f t="shared" ca="1" si="18"/>
        <v>0</v>
      </c>
      <c r="O31" s="472">
        <f t="shared" si="18"/>
        <v>0</v>
      </c>
      <c r="P31" s="473">
        <f t="shared" si="18"/>
        <v>0</v>
      </c>
      <c r="Q31" s="473">
        <f t="shared" ca="1" si="18"/>
        <v>396988.01012357825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598</v>
      </c>
      <c r="B6" s="76" t="s">
        <v>599</v>
      </c>
      <c r="C6" s="444" t="s">
        <v>582</v>
      </c>
    </row>
    <row r="7" spans="1:3">
      <c r="A7" s="126"/>
      <c r="B7" s="130"/>
      <c r="C7" s="123"/>
    </row>
    <row r="8" spans="1:3">
      <c r="A8" s="114" t="s">
        <v>601</v>
      </c>
      <c r="B8" s="76" t="s">
        <v>600</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635</v>
      </c>
    </row>
    <row r="13" spans="1:3">
      <c r="A13" s="142"/>
      <c r="B13" s="125"/>
      <c r="C13" s="304"/>
    </row>
    <row r="14" spans="1:3" s="12" customFormat="1">
      <c r="A14" s="114" t="s">
        <v>618</v>
      </c>
      <c r="B14" s="131" t="s">
        <v>619</v>
      </c>
      <c r="C14" s="132" t="s">
        <v>620</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630</v>
      </c>
      <c r="B4" s="478"/>
      <c r="C4" s="478"/>
      <c r="D4" s="478"/>
      <c r="E4" s="478"/>
      <c r="F4" s="478"/>
      <c r="G4" s="510"/>
      <c r="H4" s="510"/>
      <c r="I4" s="478"/>
      <c r="J4" s="478"/>
      <c r="K4" s="478"/>
      <c r="L4" s="478"/>
      <c r="M4" s="478"/>
      <c r="N4" s="478"/>
      <c r="O4" s="478"/>
      <c r="P4" s="478"/>
    </row>
    <row r="5" spans="1:16" outlineLevel="1">
      <c r="A5" s="698" t="s">
        <v>631</v>
      </c>
      <c r="B5" s="478"/>
      <c r="C5" s="478"/>
      <c r="D5" s="478"/>
      <c r="E5" s="478"/>
      <c r="F5" s="478"/>
      <c r="G5" s="510"/>
      <c r="H5" s="510"/>
      <c r="I5" s="478"/>
      <c r="J5" s="478"/>
      <c r="K5" s="478"/>
      <c r="L5" s="478"/>
      <c r="M5" s="478"/>
      <c r="N5" s="478"/>
      <c r="O5" s="478"/>
      <c r="P5" s="478"/>
    </row>
    <row r="6" spans="1:16" outlineLevel="1">
      <c r="A6" s="698" t="s">
        <v>632</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633</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634</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596</v>
      </c>
      <c r="B13" s="462"/>
      <c r="C13" s="482"/>
      <c r="D13" s="482"/>
      <c r="E13" s="482"/>
      <c r="F13" s="482"/>
      <c r="G13" s="482"/>
      <c r="H13" s="482"/>
      <c r="I13" s="482"/>
      <c r="J13" s="482"/>
      <c r="K13" s="482"/>
      <c r="L13" s="482"/>
      <c r="M13" s="482"/>
      <c r="N13" s="482"/>
      <c r="O13" s="830" t="s">
        <v>656</v>
      </c>
      <c r="P13" s="830" t="s">
        <v>655</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623</v>
      </c>
      <c r="B17" s="512">
        <f ca="1">'EF ele_warmte'!B12</f>
        <v>0.20233838689763484</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744</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642</v>
      </c>
      <c r="B27" s="838">
        <f>B24*B25*B26</f>
        <v>0</v>
      </c>
      <c r="C27" s="503" t="s">
        <v>643</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642</v>
      </c>
      <c r="B35" s="837">
        <f>B31*B32*B33/1000-B31*B32*B33/1000/B34</f>
        <v>0</v>
      </c>
      <c r="C35" s="509" t="s">
        <v>643</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596</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623</v>
      </c>
      <c r="B17" s="512">
        <f ca="1">'EF ele_warmte'!B12</f>
        <v>0.20233838689763484</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596</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614</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623</v>
      </c>
      <c r="B29" s="513">
        <f ca="1">'EF ele_warmte'!B12</f>
        <v>0.20233838689763484</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584</v>
      </c>
      <c r="B10" s="515"/>
      <c r="C10" s="143" t="s">
        <v>182</v>
      </c>
      <c r="D10" s="146" t="s">
        <v>393</v>
      </c>
      <c r="I10" s="1098"/>
      <c r="K10" s="59"/>
    </row>
    <row r="11" spans="1:11" s="44" customFormat="1">
      <c r="A11" s="45" t="s">
        <v>585</v>
      </c>
      <c r="B11" s="48"/>
      <c r="D11" s="144" t="s">
        <v>394</v>
      </c>
      <c r="I11" s="1098"/>
      <c r="K11" s="59"/>
    </row>
    <row r="12" spans="1:11" s="44" customFormat="1">
      <c r="A12" s="45" t="s">
        <v>586</v>
      </c>
      <c r="B12" s="48"/>
      <c r="D12" s="144" t="s">
        <v>394</v>
      </c>
      <c r="I12" s="1098"/>
      <c r="K12" s="59"/>
    </row>
    <row r="13" spans="1:11" s="44" customFormat="1">
      <c r="A13" s="45"/>
      <c r="B13" s="462"/>
      <c r="D13" s="97"/>
      <c r="I13" s="1098"/>
    </row>
    <row r="14" spans="1:11" s="44" customFormat="1">
      <c r="A14" s="306" t="s">
        <v>583</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594</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584</v>
      </c>
      <c r="B31" s="515"/>
      <c r="C31" s="143" t="s">
        <v>182</v>
      </c>
      <c r="D31" s="146" t="s">
        <v>393</v>
      </c>
    </row>
    <row r="32" spans="1:11">
      <c r="A32" s="451" t="s">
        <v>585</v>
      </c>
      <c r="B32" s="48"/>
      <c r="C32" s="49"/>
      <c r="D32" s="144" t="s">
        <v>394</v>
      </c>
    </row>
    <row r="33" spans="1:11">
      <c r="A33" s="45"/>
      <c r="B33" s="49"/>
      <c r="C33" s="49"/>
      <c r="D33" s="144"/>
    </row>
    <row r="34" spans="1:11" s="44" customFormat="1">
      <c r="A34" s="306" t="s">
        <v>583</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587</v>
      </c>
      <c r="B50" s="48"/>
      <c r="C50" s="33"/>
      <c r="D50" s="145" t="s">
        <v>395</v>
      </c>
    </row>
    <row r="51" spans="1:4">
      <c r="A51" s="45" t="s">
        <v>588</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589</v>
      </c>
      <c r="B57" s="48"/>
      <c r="C57" s="33"/>
      <c r="D57" s="144" t="s">
        <v>155</v>
      </c>
    </row>
    <row r="58" spans="1:4">
      <c r="A58" s="45" t="s">
        <v>590</v>
      </c>
      <c r="B58" s="48"/>
      <c r="C58" s="33"/>
      <c r="D58" s="144" t="s">
        <v>156</v>
      </c>
    </row>
    <row r="59" spans="1:4">
      <c r="A59" s="45" t="s">
        <v>591</v>
      </c>
      <c r="B59" s="48"/>
      <c r="C59" s="49"/>
      <c r="D59" s="144" t="s">
        <v>391</v>
      </c>
    </row>
    <row r="60" spans="1:4">
      <c r="A60" s="45" t="s">
        <v>592</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609</v>
      </c>
      <c r="B1" s="663"/>
      <c r="C1" s="663"/>
      <c r="D1" s="663"/>
      <c r="E1" s="664"/>
    </row>
    <row r="2" spans="1:5">
      <c r="A2" s="675" t="s">
        <v>396</v>
      </c>
      <c r="B2" s="680" t="s">
        <v>532</v>
      </c>
      <c r="C2" s="676"/>
      <c r="D2" s="676"/>
      <c r="E2" s="677"/>
    </row>
    <row r="3" spans="1:5">
      <c r="A3" s="678"/>
      <c r="B3" s="679"/>
      <c r="C3" s="667"/>
      <c r="D3" s="667"/>
      <c r="E3" s="668"/>
    </row>
    <row r="4" spans="1:5" s="335" customFormat="1" ht="45">
      <c r="A4" s="666" t="s">
        <v>613</v>
      </c>
      <c r="B4" s="674" t="s">
        <v>602</v>
      </c>
      <c r="C4" s="695" t="s">
        <v>624</v>
      </c>
      <c r="D4" s="696" t="s">
        <v>625</v>
      </c>
      <c r="E4" s="697" t="s">
        <v>626</v>
      </c>
    </row>
    <row r="5" spans="1:5">
      <c r="A5" s="669" t="s">
        <v>603</v>
      </c>
      <c r="B5" s="661" t="s">
        <v>604</v>
      </c>
      <c r="C5" s="692">
        <v>3.678273E-2</v>
      </c>
      <c r="D5" s="693">
        <v>0.27778000000000003</v>
      </c>
      <c r="E5" s="685">
        <f>C5*D5</f>
        <v>1.0217506739400001E-2</v>
      </c>
    </row>
    <row r="6" spans="1:5">
      <c r="A6" s="669" t="s">
        <v>603</v>
      </c>
      <c r="B6" s="661" t="s">
        <v>605</v>
      </c>
      <c r="C6" s="692">
        <v>4.2278999999999997E-2</v>
      </c>
      <c r="D6" s="693">
        <v>0.27778000000000003</v>
      </c>
      <c r="E6" s="685">
        <f t="shared" ref="E6:E21" si="0">C6*D6</f>
        <v>1.174426062E-2</v>
      </c>
    </row>
    <row r="7" spans="1:5">
      <c r="A7" s="669" t="s">
        <v>603</v>
      </c>
      <c r="B7" s="661" t="s">
        <v>606</v>
      </c>
      <c r="C7" s="692">
        <v>42.279000000000003</v>
      </c>
      <c r="D7" s="693">
        <v>0.27778000000000003</v>
      </c>
      <c r="E7" s="685">
        <f t="shared" si="0"/>
        <v>11.744260620000002</v>
      </c>
    </row>
    <row r="8" spans="1:5">
      <c r="A8" s="669" t="s">
        <v>607</v>
      </c>
      <c r="B8" s="661" t="s">
        <v>604</v>
      </c>
      <c r="C8" s="692">
        <v>3.8573799999999998E-2</v>
      </c>
      <c r="D8" s="693">
        <v>0.27778000000000003</v>
      </c>
      <c r="E8" s="685">
        <f t="shared" si="0"/>
        <v>1.0715030164E-2</v>
      </c>
    </row>
    <row r="9" spans="1:5">
      <c r="A9" s="669" t="s">
        <v>607</v>
      </c>
      <c r="B9" s="661" t="s">
        <v>605</v>
      </c>
      <c r="C9" s="692">
        <v>4.0604000000000001E-2</v>
      </c>
      <c r="D9" s="693">
        <v>0.27778000000000003</v>
      </c>
      <c r="E9" s="685">
        <f t="shared" si="0"/>
        <v>1.1278979120000001E-2</v>
      </c>
    </row>
    <row r="10" spans="1:5">
      <c r="A10" s="669" t="s">
        <v>607</v>
      </c>
      <c r="B10" s="661" t="s">
        <v>606</v>
      </c>
      <c r="C10" s="692">
        <v>40.603999999999999</v>
      </c>
      <c r="D10" s="693">
        <v>0.27778000000000003</v>
      </c>
      <c r="E10" s="685">
        <f t="shared" si="0"/>
        <v>11.278979120000001</v>
      </c>
    </row>
    <row r="11" spans="1:5">
      <c r="A11" s="669" t="s">
        <v>627</v>
      </c>
      <c r="B11" s="661" t="s">
        <v>604</v>
      </c>
      <c r="C11" s="692">
        <v>2.3511000000000001E-2</v>
      </c>
      <c r="D11" s="693">
        <v>0.27778000000000003</v>
      </c>
      <c r="E11" s="685">
        <f t="shared" si="0"/>
        <v>6.5308855800000004E-3</v>
      </c>
    </row>
    <row r="12" spans="1:5">
      <c r="A12" s="669" t="s">
        <v>627</v>
      </c>
      <c r="B12" s="661" t="s">
        <v>605</v>
      </c>
      <c r="C12" s="692">
        <v>4.6100000000000002E-2</v>
      </c>
      <c r="D12" s="693">
        <v>0.27778000000000003</v>
      </c>
      <c r="E12" s="685">
        <f t="shared" si="0"/>
        <v>1.2805658000000001E-2</v>
      </c>
    </row>
    <row r="13" spans="1:5">
      <c r="A13" s="669" t="s">
        <v>627</v>
      </c>
      <c r="B13" s="661" t="s">
        <v>606</v>
      </c>
      <c r="C13" s="692">
        <v>46.1</v>
      </c>
      <c r="D13" s="693">
        <v>0.27778000000000003</v>
      </c>
      <c r="E13" s="685">
        <f t="shared" si="0"/>
        <v>12.805658000000001</v>
      </c>
    </row>
    <row r="14" spans="1:5">
      <c r="A14" s="669" t="s">
        <v>628</v>
      </c>
      <c r="B14" s="661" t="s">
        <v>604</v>
      </c>
      <c r="C14" s="692">
        <v>2.6525139999999999E-2</v>
      </c>
      <c r="D14" s="693">
        <v>0.27778000000000003</v>
      </c>
      <c r="E14" s="685">
        <f t="shared" si="0"/>
        <v>7.3681533892000009E-3</v>
      </c>
    </row>
    <row r="15" spans="1:5">
      <c r="A15" s="669" t="s">
        <v>628</v>
      </c>
      <c r="B15" s="661" t="s">
        <v>605</v>
      </c>
      <c r="C15" s="692">
        <v>4.5733000000000003E-2</v>
      </c>
      <c r="D15" s="693">
        <v>0.27778000000000003</v>
      </c>
      <c r="E15" s="685">
        <f t="shared" si="0"/>
        <v>1.2703712740000001E-2</v>
      </c>
    </row>
    <row r="16" spans="1:5">
      <c r="A16" s="669" t="s">
        <v>628</v>
      </c>
      <c r="B16" s="661" t="s">
        <v>606</v>
      </c>
      <c r="C16" s="692">
        <v>45.732999999999997</v>
      </c>
      <c r="D16" s="693">
        <v>0.27778000000000003</v>
      </c>
      <c r="E16" s="685">
        <f t="shared" si="0"/>
        <v>12.70371274</v>
      </c>
    </row>
    <row r="17" spans="1:10">
      <c r="A17" s="669" t="s">
        <v>611</v>
      </c>
      <c r="B17" s="661" t="s">
        <v>608</v>
      </c>
      <c r="C17" s="692">
        <v>3.2923000000000001E-2</v>
      </c>
      <c r="D17" s="693">
        <f>0.27778</f>
        <v>0.27778000000000003</v>
      </c>
      <c r="E17" s="685">
        <f t="shared" si="0"/>
        <v>9.1453509400000015E-3</v>
      </c>
    </row>
    <row r="18" spans="1:10">
      <c r="A18" s="669" t="s">
        <v>612</v>
      </c>
      <c r="B18" s="661" t="s">
        <v>608</v>
      </c>
      <c r="C18" s="692">
        <v>3.8852400000000002E-2</v>
      </c>
      <c r="D18" s="693">
        <f>0.27778</f>
        <v>0.27778000000000003</v>
      </c>
      <c r="E18" s="685">
        <f t="shared" si="0"/>
        <v>1.0792419672000002E-2</v>
      </c>
    </row>
    <row r="19" spans="1:10">
      <c r="A19" s="669" t="s">
        <v>615</v>
      </c>
      <c r="B19" s="661" t="s">
        <v>604</v>
      </c>
      <c r="C19" s="692">
        <v>2.4812460000000001E-2</v>
      </c>
      <c r="D19" s="693">
        <v>0.27778000000000003</v>
      </c>
      <c r="E19" s="685">
        <f t="shared" si="0"/>
        <v>6.8924051388000009E-3</v>
      </c>
    </row>
    <row r="20" spans="1:10">
      <c r="A20" s="669" t="s">
        <v>615</v>
      </c>
      <c r="B20" s="661" t="s">
        <v>605</v>
      </c>
      <c r="C20" s="692">
        <v>4.5948999999999997E-2</v>
      </c>
      <c r="D20" s="693">
        <v>0.27778000000000003</v>
      </c>
      <c r="E20" s="685">
        <f t="shared" si="0"/>
        <v>1.276371322E-2</v>
      </c>
    </row>
    <row r="21" spans="1:10">
      <c r="A21" s="669" t="s">
        <v>615</v>
      </c>
      <c r="B21" s="661" t="s">
        <v>606</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610</v>
      </c>
      <c r="B24" s="663"/>
      <c r="C24" s="663"/>
      <c r="D24" s="663"/>
      <c r="E24" s="664"/>
    </row>
    <row r="25" spans="1:10">
      <c r="A25" s="689" t="s">
        <v>396</v>
      </c>
      <c r="B25" s="667" t="s">
        <v>743</v>
      </c>
      <c r="C25" s="667"/>
      <c r="D25" s="667"/>
      <c r="E25" s="668"/>
    </row>
    <row r="26" spans="1:10">
      <c r="A26" s="45"/>
      <c r="B26" s="44"/>
      <c r="C26" s="44"/>
      <c r="D26" s="44"/>
      <c r="E26" s="97"/>
    </row>
    <row r="27" spans="1:10" s="335" customFormat="1">
      <c r="A27" s="666" t="s">
        <v>613</v>
      </c>
      <c r="B27" s="674" t="s">
        <v>602</v>
      </c>
      <c r="C27" s="682"/>
      <c r="D27" s="681"/>
      <c r="E27" s="697" t="s">
        <v>617</v>
      </c>
    </row>
    <row r="28" spans="1:10">
      <c r="A28" s="669" t="s">
        <v>202</v>
      </c>
      <c r="B28" s="661" t="s">
        <v>604</v>
      </c>
      <c r="C28" s="683"/>
      <c r="D28" s="684"/>
      <c r="E28" s="691">
        <f>E29*0.853</f>
        <v>1.0116343055555555E-2</v>
      </c>
      <c r="G28" s="665"/>
      <c r="H28" s="841"/>
      <c r="I28" s="841"/>
      <c r="J28" s="841"/>
    </row>
    <row r="29" spans="1:10">
      <c r="A29" s="669" t="s">
        <v>202</v>
      </c>
      <c r="B29" s="661" t="s">
        <v>605</v>
      </c>
      <c r="C29" s="683"/>
      <c r="D29" s="684"/>
      <c r="E29" s="691">
        <f>0.042695/3.6</f>
        <v>1.1859722222222221E-2</v>
      </c>
      <c r="G29" s="665"/>
      <c r="H29" s="841"/>
      <c r="I29" s="841"/>
      <c r="J29" s="841"/>
    </row>
    <row r="30" spans="1:10">
      <c r="A30" s="669" t="s">
        <v>120</v>
      </c>
      <c r="B30" s="661" t="s">
        <v>604</v>
      </c>
      <c r="C30" s="683"/>
      <c r="D30" s="684"/>
      <c r="E30" s="691">
        <f>E31*0.755</f>
        <v>9.1803805555555566E-3</v>
      </c>
      <c r="H30" s="841"/>
      <c r="I30" s="841"/>
      <c r="J30" s="841"/>
    </row>
    <row r="31" spans="1:10">
      <c r="A31" s="669" t="s">
        <v>120</v>
      </c>
      <c r="B31" s="661" t="s">
        <v>605</v>
      </c>
      <c r="C31" s="683"/>
      <c r="D31" s="684"/>
      <c r="E31" s="691">
        <f>0.043774/3.6</f>
        <v>1.2159444444444445E-2</v>
      </c>
      <c r="H31" s="841"/>
      <c r="I31" s="841"/>
      <c r="J31" s="841"/>
    </row>
    <row r="32" spans="1:10">
      <c r="A32" s="669" t="s">
        <v>615</v>
      </c>
      <c r="B32" s="661" t="s">
        <v>604</v>
      </c>
      <c r="C32" s="683"/>
      <c r="D32" s="684"/>
      <c r="E32" s="691">
        <f>E33*0.55</f>
        <v>7.1139444444444453E-3</v>
      </c>
      <c r="H32" s="841"/>
    </row>
    <row r="33" spans="1:8">
      <c r="A33" s="669" t="s">
        <v>615</v>
      </c>
      <c r="B33" s="661" t="s">
        <v>605</v>
      </c>
      <c r="C33" s="683"/>
      <c r="D33" s="684"/>
      <c r="E33" s="691">
        <f>0.046564/3.6</f>
        <v>1.2934444444444445E-2</v>
      </c>
      <c r="H33" s="841"/>
    </row>
    <row r="34" spans="1:8">
      <c r="A34" s="669" t="s">
        <v>616</v>
      </c>
      <c r="B34" s="661" t="s">
        <v>604</v>
      </c>
      <c r="C34" s="683"/>
      <c r="D34" s="684"/>
      <c r="E34" s="691">
        <f>E35*0.0007</f>
        <v>9.3333333333333326E-6</v>
      </c>
      <c r="H34" s="841"/>
    </row>
    <row r="35" spans="1:8">
      <c r="A35" s="669" t="s">
        <v>616</v>
      </c>
      <c r="B35" s="661" t="s">
        <v>605</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629</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672</v>
      </c>
      <c r="C21" s="132" t="s">
        <v>597</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71022</v>
      </c>
      <c r="B1" s="1194"/>
      <c r="C1" s="1194"/>
      <c r="D1" s="1194"/>
      <c r="E1" s="1194"/>
      <c r="F1" s="1195"/>
    </row>
    <row r="3" spans="1:6" ht="19.5">
      <c r="A3" s="1196" t="s">
        <v>0</v>
      </c>
    </row>
    <row r="4" spans="1:6" ht="22.5">
      <c r="A4" s="1197" t="s">
        <v>566</v>
      </c>
    </row>
    <row r="5" spans="1:6" ht="22.5">
      <c r="A5" s="1197" t="s">
        <v>567</v>
      </c>
    </row>
    <row r="6" spans="1:6" ht="15.75" thickBot="1"/>
    <row r="7" spans="1:6" ht="20.25" thickBot="1">
      <c r="A7" s="1198" t="s">
        <v>1</v>
      </c>
      <c r="B7" s="336" t="s">
        <v>396</v>
      </c>
      <c r="C7" s="336" t="s">
        <v>666</v>
      </c>
      <c r="D7" s="336"/>
      <c r="E7" s="336"/>
      <c r="F7" s="337"/>
    </row>
    <row r="8" spans="1:6" ht="16.5" thickTop="1" thickBot="1">
      <c r="A8" s="1199" t="s">
        <v>4</v>
      </c>
      <c r="B8" s="1200">
        <v>2012</v>
      </c>
      <c r="C8" s="1200">
        <v>2020</v>
      </c>
      <c r="D8" s="1194"/>
      <c r="E8" s="1194"/>
      <c r="F8" s="1195"/>
    </row>
    <row r="9" spans="1:6">
      <c r="A9" s="1201" t="s">
        <v>2</v>
      </c>
      <c r="B9" s="338">
        <v>33745</v>
      </c>
      <c r="C9" s="338">
        <v>36094</v>
      </c>
      <c r="D9" s="338"/>
      <c r="E9" s="338"/>
      <c r="F9" s="338"/>
    </row>
    <row r="10" spans="1:6">
      <c r="A10" s="339"/>
    </row>
    <row r="11" spans="1:6" ht="15.75" thickBot="1">
      <c r="A11" s="339"/>
    </row>
    <row r="12" spans="1:6" ht="20.25" thickBot="1">
      <c r="A12" s="1198" t="s">
        <v>3</v>
      </c>
      <c r="B12" s="336" t="s">
        <v>396</v>
      </c>
      <c r="C12" s="336" t="s">
        <v>644</v>
      </c>
      <c r="D12" s="336"/>
      <c r="E12" s="336"/>
      <c r="F12" s="340"/>
    </row>
    <row r="13" spans="1:6" ht="16.5" thickTop="1" thickBot="1">
      <c r="A13" s="1202" t="s">
        <v>4</v>
      </c>
      <c r="B13" s="1203" t="s">
        <v>5</v>
      </c>
      <c r="C13" s="1203"/>
      <c r="D13" s="1203"/>
      <c r="E13" s="1203"/>
      <c r="F13" s="1204"/>
    </row>
    <row r="14" spans="1:6">
      <c r="A14" s="1205" t="s">
        <v>787</v>
      </c>
      <c r="B14" s="335">
        <v>3042</v>
      </c>
    </row>
    <row r="15" spans="1:6">
      <c r="A15" s="1205" t="s">
        <v>184</v>
      </c>
      <c r="B15" s="335">
        <v>3632</v>
      </c>
    </row>
    <row r="16" spans="1:6">
      <c r="A16" s="1205" t="s">
        <v>6</v>
      </c>
      <c r="B16" s="335">
        <v>516</v>
      </c>
    </row>
    <row r="17" spans="1:6">
      <c r="A17" s="1205" t="s">
        <v>7</v>
      </c>
      <c r="B17" s="335">
        <v>348</v>
      </c>
    </row>
    <row r="18" spans="1:6">
      <c r="A18" s="1205" t="s">
        <v>8</v>
      </c>
      <c r="B18" s="335">
        <v>562</v>
      </c>
    </row>
    <row r="19" spans="1:6">
      <c r="A19" s="1205" t="s">
        <v>9</v>
      </c>
      <c r="B19" s="335">
        <v>485</v>
      </c>
    </row>
    <row r="20" spans="1:6">
      <c r="A20" s="1205" t="s">
        <v>10</v>
      </c>
      <c r="B20" s="335">
        <v>505</v>
      </c>
    </row>
    <row r="21" spans="1:6">
      <c r="A21" s="1205" t="s">
        <v>11</v>
      </c>
      <c r="B21" s="335">
        <v>1399</v>
      </c>
    </row>
    <row r="22" spans="1:6">
      <c r="A22" s="1205" t="s">
        <v>12</v>
      </c>
      <c r="B22" s="335">
        <v>4034</v>
      </c>
    </row>
    <row r="23" spans="1:6">
      <c r="A23" s="1205" t="s">
        <v>13</v>
      </c>
      <c r="B23" s="335">
        <v>23</v>
      </c>
    </row>
    <row r="24" spans="1:6">
      <c r="A24" s="1205" t="s">
        <v>14</v>
      </c>
      <c r="B24" s="335">
        <v>19</v>
      </c>
    </row>
    <row r="25" spans="1:6">
      <c r="A25" s="1205" t="s">
        <v>15</v>
      </c>
      <c r="B25" s="335">
        <v>401</v>
      </c>
    </row>
    <row r="26" spans="1:6">
      <c r="A26" s="1205" t="s">
        <v>16</v>
      </c>
      <c r="B26" s="335">
        <v>819</v>
      </c>
    </row>
    <row r="27" spans="1:6">
      <c r="A27" s="1205" t="s">
        <v>17</v>
      </c>
      <c r="B27" s="335">
        <v>269</v>
      </c>
    </row>
    <row r="28" spans="1:6" s="341" customFormat="1">
      <c r="A28" s="1206" t="s">
        <v>18</v>
      </c>
      <c r="B28" s="1206">
        <v>47629</v>
      </c>
    </row>
    <row r="29" spans="1:6">
      <c r="A29" s="1206" t="s">
        <v>873</v>
      </c>
      <c r="B29" s="1206">
        <v>459</v>
      </c>
      <c r="C29" s="341"/>
      <c r="D29" s="341"/>
      <c r="E29" s="341"/>
      <c r="F29" s="341"/>
    </row>
    <row r="30" spans="1:6">
      <c r="A30" s="1201" t="s">
        <v>874</v>
      </c>
      <c r="B30" s="1201">
        <v>99</v>
      </c>
      <c r="C30" s="338"/>
      <c r="D30" s="338"/>
      <c r="E30" s="338"/>
      <c r="F30" s="338"/>
    </row>
    <row r="31" spans="1:6" ht="15.75" thickBot="1">
      <c r="A31" s="339"/>
    </row>
    <row r="32" spans="1:6" ht="20.25" thickBot="1">
      <c r="A32" s="1198" t="s">
        <v>19</v>
      </c>
      <c r="B32" s="336" t="s">
        <v>396</v>
      </c>
      <c r="C32" s="336" t="s">
        <v>673</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66</v>
      </c>
      <c r="D36" s="335">
        <v>15767574</v>
      </c>
      <c r="E36" s="335">
        <v>53</v>
      </c>
      <c r="F36" s="335">
        <v>3514476</v>
      </c>
    </row>
    <row r="37" spans="1:6">
      <c r="A37" s="1205" t="s">
        <v>25</v>
      </c>
      <c r="B37" s="1205" t="s">
        <v>28</v>
      </c>
      <c r="C37" s="335">
        <v>0</v>
      </c>
      <c r="D37" s="335">
        <v>0</v>
      </c>
      <c r="E37" s="335">
        <v>0</v>
      </c>
      <c r="F37" s="335">
        <v>0</v>
      </c>
    </row>
    <row r="38" spans="1:6">
      <c r="A38" s="1205" t="s">
        <v>25</v>
      </c>
      <c r="B38" s="1205" t="s">
        <v>29</v>
      </c>
      <c r="C38" s="335">
        <v>0</v>
      </c>
      <c r="D38" s="335">
        <v>0</v>
      </c>
      <c r="E38" s="335">
        <v>2</v>
      </c>
      <c r="F38" s="335">
        <v>562578</v>
      </c>
    </row>
    <row r="39" spans="1:6">
      <c r="A39" s="1205" t="s">
        <v>30</v>
      </c>
      <c r="B39" s="1205" t="s">
        <v>31</v>
      </c>
      <c r="C39" s="335">
        <v>21699</v>
      </c>
      <c r="D39" s="335">
        <v>331307329</v>
      </c>
      <c r="E39" s="335">
        <v>34448</v>
      </c>
      <c r="F39" s="335">
        <v>125872522</v>
      </c>
    </row>
    <row r="40" spans="1:6">
      <c r="A40" s="1205" t="s">
        <v>30</v>
      </c>
      <c r="B40" s="1205" t="s">
        <v>29</v>
      </c>
      <c r="C40" s="335">
        <v>0</v>
      </c>
      <c r="D40" s="335">
        <v>0</v>
      </c>
      <c r="E40" s="335">
        <v>0</v>
      </c>
      <c r="F40" s="335">
        <v>0</v>
      </c>
    </row>
    <row r="41" spans="1:6">
      <c r="A41" s="1205" t="s">
        <v>32</v>
      </c>
      <c r="B41" s="1205" t="s">
        <v>33</v>
      </c>
      <c r="C41" s="335">
        <v>266</v>
      </c>
      <c r="D41" s="335">
        <v>18803026</v>
      </c>
      <c r="E41" s="335">
        <v>594</v>
      </c>
      <c r="F41" s="335">
        <v>34579629</v>
      </c>
    </row>
    <row r="42" spans="1:6">
      <c r="A42" s="1205" t="s">
        <v>32</v>
      </c>
      <c r="B42" s="1205" t="s">
        <v>34</v>
      </c>
      <c r="C42" s="335">
        <v>6</v>
      </c>
      <c r="D42" s="335">
        <v>1120378</v>
      </c>
      <c r="E42" s="335">
        <v>7</v>
      </c>
      <c r="F42" s="335">
        <v>357009</v>
      </c>
    </row>
    <row r="43" spans="1:6">
      <c r="A43" s="1205" t="s">
        <v>32</v>
      </c>
      <c r="B43" s="1205" t="s">
        <v>35</v>
      </c>
      <c r="C43" s="335">
        <v>0</v>
      </c>
      <c r="D43" s="335">
        <v>0</v>
      </c>
      <c r="E43" s="335">
        <v>0</v>
      </c>
      <c r="F43" s="335">
        <v>0</v>
      </c>
    </row>
    <row r="44" spans="1:6">
      <c r="A44" s="1205" t="s">
        <v>32</v>
      </c>
      <c r="B44" s="1205" t="s">
        <v>36</v>
      </c>
      <c r="C44" s="335">
        <v>24</v>
      </c>
      <c r="D44" s="335">
        <v>4941248</v>
      </c>
      <c r="E44" s="335">
        <v>82</v>
      </c>
      <c r="F44" s="335">
        <v>4176545</v>
      </c>
    </row>
    <row r="45" spans="1:6">
      <c r="A45" s="1205" t="s">
        <v>32</v>
      </c>
      <c r="B45" s="1205" t="s">
        <v>37</v>
      </c>
      <c r="C45" s="335">
        <v>9</v>
      </c>
      <c r="D45" s="335">
        <v>64656712</v>
      </c>
      <c r="E45" s="335">
        <v>20</v>
      </c>
      <c r="F45" s="335">
        <v>13288497</v>
      </c>
    </row>
    <row r="46" spans="1:6">
      <c r="A46" s="1205" t="s">
        <v>32</v>
      </c>
      <c r="B46" s="1205" t="s">
        <v>38</v>
      </c>
      <c r="C46" s="335">
        <v>0</v>
      </c>
      <c r="D46" s="335">
        <v>0</v>
      </c>
      <c r="E46" s="335">
        <v>0</v>
      </c>
      <c r="F46" s="335">
        <v>0</v>
      </c>
    </row>
    <row r="47" spans="1:6">
      <c r="A47" s="1205" t="s">
        <v>32</v>
      </c>
      <c r="B47" s="1205" t="s">
        <v>39</v>
      </c>
      <c r="C47" s="335">
        <v>12</v>
      </c>
      <c r="D47" s="335">
        <v>3868208</v>
      </c>
      <c r="E47" s="335">
        <v>21</v>
      </c>
      <c r="F47" s="335">
        <v>4132924</v>
      </c>
    </row>
    <row r="48" spans="1:6">
      <c r="A48" s="1205" t="s">
        <v>32</v>
      </c>
      <c r="B48" s="1205" t="s">
        <v>29</v>
      </c>
      <c r="C48" s="335">
        <v>1</v>
      </c>
      <c r="D48" s="335">
        <v>26126</v>
      </c>
      <c r="E48" s="335">
        <v>2</v>
      </c>
      <c r="F48" s="335">
        <v>68615</v>
      </c>
    </row>
    <row r="49" spans="1:6">
      <c r="A49" s="1205" t="s">
        <v>32</v>
      </c>
      <c r="B49" s="1205" t="s">
        <v>40</v>
      </c>
      <c r="C49" s="335">
        <v>12</v>
      </c>
      <c r="D49" s="335">
        <v>289835</v>
      </c>
      <c r="E49" s="335">
        <v>21</v>
      </c>
      <c r="F49" s="335">
        <v>451175</v>
      </c>
    </row>
    <row r="50" spans="1:6">
      <c r="A50" s="1205" t="s">
        <v>32</v>
      </c>
      <c r="B50" s="1205" t="s">
        <v>41</v>
      </c>
      <c r="C50" s="335">
        <v>41</v>
      </c>
      <c r="D50" s="335">
        <v>12407794</v>
      </c>
      <c r="E50" s="335">
        <v>103</v>
      </c>
      <c r="F50" s="335">
        <v>12149157</v>
      </c>
    </row>
    <row r="51" spans="1:6">
      <c r="A51" s="1205" t="s">
        <v>42</v>
      </c>
      <c r="B51" s="1205" t="s">
        <v>43</v>
      </c>
      <c r="C51" s="335">
        <v>27</v>
      </c>
      <c r="D51" s="335">
        <v>2569172</v>
      </c>
      <c r="E51" s="335">
        <v>121</v>
      </c>
      <c r="F51" s="335">
        <v>3383685</v>
      </c>
    </row>
    <row r="52" spans="1:6">
      <c r="A52" s="1205" t="s">
        <v>42</v>
      </c>
      <c r="B52" s="1205" t="s">
        <v>29</v>
      </c>
      <c r="C52" s="335">
        <v>0</v>
      </c>
      <c r="D52" s="335">
        <v>0</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358</v>
      </c>
      <c r="F54" s="335">
        <v>4953417</v>
      </c>
    </row>
    <row r="55" spans="1:6">
      <c r="A55" s="1205" t="s">
        <v>46</v>
      </c>
      <c r="B55" s="1205" t="s">
        <v>29</v>
      </c>
      <c r="C55" s="335">
        <v>0</v>
      </c>
      <c r="D55" s="335">
        <v>0</v>
      </c>
      <c r="E55" s="335">
        <v>0</v>
      </c>
      <c r="F55" s="335">
        <v>0</v>
      </c>
    </row>
    <row r="56" spans="1:6">
      <c r="A56" s="1205" t="s">
        <v>48</v>
      </c>
      <c r="B56" s="1205" t="s">
        <v>29</v>
      </c>
      <c r="C56" s="335">
        <v>415</v>
      </c>
      <c r="D56" s="335">
        <v>27761110</v>
      </c>
      <c r="E56" s="335">
        <v>882</v>
      </c>
      <c r="F56" s="335">
        <v>5435084</v>
      </c>
    </row>
    <row r="57" spans="1:6">
      <c r="A57" s="1205" t="s">
        <v>49</v>
      </c>
      <c r="B57" s="1205" t="s">
        <v>50</v>
      </c>
      <c r="C57" s="335">
        <v>253</v>
      </c>
      <c r="D57" s="335">
        <v>20019617</v>
      </c>
      <c r="E57" s="335">
        <v>536</v>
      </c>
      <c r="F57" s="335">
        <v>16016562</v>
      </c>
    </row>
    <row r="58" spans="1:6">
      <c r="A58" s="1205" t="s">
        <v>49</v>
      </c>
      <c r="B58" s="1205" t="s">
        <v>51</v>
      </c>
      <c r="C58" s="335">
        <v>192</v>
      </c>
      <c r="D58" s="335">
        <v>32313025</v>
      </c>
      <c r="E58" s="335">
        <v>317</v>
      </c>
      <c r="F58" s="335">
        <v>18615224</v>
      </c>
    </row>
    <row r="59" spans="1:6">
      <c r="A59" s="1205" t="s">
        <v>49</v>
      </c>
      <c r="B59" s="1205" t="s">
        <v>52</v>
      </c>
      <c r="C59" s="335">
        <v>674</v>
      </c>
      <c r="D59" s="335">
        <v>36489852</v>
      </c>
      <c r="E59" s="335">
        <v>1348</v>
      </c>
      <c r="F59" s="335">
        <v>62778497</v>
      </c>
    </row>
    <row r="60" spans="1:6">
      <c r="A60" s="1205" t="s">
        <v>49</v>
      </c>
      <c r="B60" s="1205" t="s">
        <v>53</v>
      </c>
      <c r="C60" s="335">
        <v>290</v>
      </c>
      <c r="D60" s="335">
        <v>19800920</v>
      </c>
      <c r="E60" s="335">
        <v>426</v>
      </c>
      <c r="F60" s="335">
        <v>18603760</v>
      </c>
    </row>
    <row r="61" spans="1:6">
      <c r="A61" s="1205" t="s">
        <v>49</v>
      </c>
      <c r="B61" s="1205" t="s">
        <v>54</v>
      </c>
      <c r="C61" s="335">
        <v>924</v>
      </c>
      <c r="D61" s="335">
        <v>83535969</v>
      </c>
      <c r="E61" s="335">
        <v>2332</v>
      </c>
      <c r="F61" s="335">
        <v>71433758</v>
      </c>
    </row>
    <row r="62" spans="1:6">
      <c r="A62" s="1205" t="s">
        <v>49</v>
      </c>
      <c r="B62" s="1205" t="s">
        <v>55</v>
      </c>
      <c r="C62" s="335">
        <v>62</v>
      </c>
      <c r="D62" s="335">
        <v>22758965</v>
      </c>
      <c r="E62" s="335">
        <v>92</v>
      </c>
      <c r="F62" s="335">
        <v>9139233</v>
      </c>
    </row>
    <row r="63" spans="1:6">
      <c r="A63" s="1205" t="s">
        <v>49</v>
      </c>
      <c r="B63" s="1205" t="s">
        <v>29</v>
      </c>
      <c r="C63" s="335">
        <v>0</v>
      </c>
      <c r="D63" s="335">
        <v>0</v>
      </c>
      <c r="E63" s="335">
        <v>0</v>
      </c>
      <c r="F63" s="335">
        <v>0</v>
      </c>
    </row>
    <row r="64" spans="1:6">
      <c r="A64" s="1205" t="s">
        <v>56</v>
      </c>
      <c r="B64" s="1205" t="s">
        <v>57</v>
      </c>
      <c r="C64" s="335">
        <v>0</v>
      </c>
      <c r="D64" s="335">
        <v>0</v>
      </c>
      <c r="E64" s="335">
        <v>0</v>
      </c>
      <c r="F64" s="335">
        <v>0</v>
      </c>
    </row>
    <row r="65" spans="1:6">
      <c r="A65" s="1205" t="s">
        <v>56</v>
      </c>
      <c r="B65" s="1205" t="s">
        <v>29</v>
      </c>
      <c r="C65" s="335">
        <v>2</v>
      </c>
      <c r="D65" s="335">
        <v>2418559</v>
      </c>
      <c r="E65" s="335">
        <v>2</v>
      </c>
      <c r="F65" s="335">
        <v>921</v>
      </c>
    </row>
    <row r="66" spans="1:6">
      <c r="A66" s="1205" t="s">
        <v>56</v>
      </c>
      <c r="B66" s="1205" t="s">
        <v>58</v>
      </c>
      <c r="C66" s="335">
        <v>0</v>
      </c>
      <c r="D66" s="335">
        <v>0</v>
      </c>
      <c r="E66" s="335">
        <v>5</v>
      </c>
      <c r="F66" s="335">
        <v>43305</v>
      </c>
    </row>
    <row r="67" spans="1:6">
      <c r="A67" s="1206" t="s">
        <v>56</v>
      </c>
      <c r="B67" s="1206" t="s">
        <v>59</v>
      </c>
      <c r="C67" s="335">
        <v>0</v>
      </c>
      <c r="D67" s="335">
        <v>0</v>
      </c>
      <c r="E67" s="335">
        <v>0</v>
      </c>
      <c r="F67" s="335">
        <v>0</v>
      </c>
    </row>
    <row r="68" spans="1:6">
      <c r="A68" s="1201" t="s">
        <v>56</v>
      </c>
      <c r="B68" s="1201" t="s">
        <v>60</v>
      </c>
      <c r="C68" s="335">
        <v>24</v>
      </c>
      <c r="D68" s="335">
        <v>2391546</v>
      </c>
      <c r="E68" s="335">
        <v>40</v>
      </c>
      <c r="F68" s="335">
        <v>1106120</v>
      </c>
    </row>
    <row r="69" spans="1:6" ht="15.75" thickBot="1">
      <c r="A69" s="339"/>
    </row>
    <row r="70" spans="1:6" ht="19.5">
      <c r="A70" s="1198" t="s">
        <v>61</v>
      </c>
      <c r="B70" s="336"/>
      <c r="C70" s="336" t="s">
        <v>414</v>
      </c>
      <c r="D70" s="336" t="s">
        <v>830</v>
      </c>
      <c r="E70" s="336"/>
      <c r="F70" s="340"/>
    </row>
    <row r="71" spans="1:6" ht="20.25" thickBot="1">
      <c r="A71" s="1213"/>
      <c r="B71" s="342"/>
      <c r="C71" s="342"/>
      <c r="D71" s="343" t="s">
        <v>456</v>
      </c>
      <c r="E71" s="342"/>
      <c r="F71" s="344"/>
    </row>
    <row r="72" spans="1:6" ht="16.5" thickTop="1" thickBot="1">
      <c r="A72" s="1202" t="s">
        <v>62</v>
      </c>
      <c r="B72" s="1203" t="s">
        <v>63</v>
      </c>
      <c r="C72" s="1214" t="s">
        <v>766</v>
      </c>
      <c r="D72" s="1215">
        <v>2012</v>
      </c>
      <c r="E72" s="1215">
        <v>2020</v>
      </c>
      <c r="F72" s="1204"/>
    </row>
    <row r="73" spans="1:6">
      <c r="A73" s="1205" t="s">
        <v>64</v>
      </c>
      <c r="B73" s="1205" t="s">
        <v>773</v>
      </c>
      <c r="C73" s="1216" t="s">
        <v>767</v>
      </c>
      <c r="D73" s="335">
        <v>344376010</v>
      </c>
      <c r="E73" s="335">
        <v>465643721.14458215</v>
      </c>
    </row>
    <row r="74" spans="1:6">
      <c r="A74" s="1205" t="s">
        <v>64</v>
      </c>
      <c r="B74" s="1205" t="s">
        <v>774</v>
      </c>
      <c r="C74" s="1216" t="s">
        <v>768</v>
      </c>
      <c r="D74" s="335">
        <v>23643953.506165449</v>
      </c>
      <c r="E74" s="335">
        <v>31153518.472615205</v>
      </c>
    </row>
    <row r="75" spans="1:6">
      <c r="A75" s="1205" t="s">
        <v>65</v>
      </c>
      <c r="B75" s="1205" t="s">
        <v>773</v>
      </c>
      <c r="C75" s="1216" t="s">
        <v>769</v>
      </c>
      <c r="D75" s="335">
        <v>93950179</v>
      </c>
      <c r="E75" s="335">
        <v>132782186.18107045</v>
      </c>
    </row>
    <row r="76" spans="1:6">
      <c r="A76" s="1205" t="s">
        <v>65</v>
      </c>
      <c r="B76" s="1205" t="s">
        <v>774</v>
      </c>
      <c r="C76" s="1216" t="s">
        <v>770</v>
      </c>
      <c r="D76" s="335">
        <v>238343.90000000002</v>
      </c>
      <c r="E76" s="335">
        <v>781028.01626734482</v>
      </c>
    </row>
    <row r="77" spans="1:6">
      <c r="A77" s="1205" t="s">
        <v>66</v>
      </c>
      <c r="B77" s="1205" t="s">
        <v>773</v>
      </c>
      <c r="C77" s="1216" t="s">
        <v>771</v>
      </c>
      <c r="D77" s="335">
        <v>208571607</v>
      </c>
      <c r="E77" s="335">
        <v>229387139.12407723</v>
      </c>
    </row>
    <row r="78" spans="1:6">
      <c r="A78" s="1201" t="s">
        <v>66</v>
      </c>
      <c r="B78" s="1201" t="s">
        <v>774</v>
      </c>
      <c r="C78" s="1201" t="s">
        <v>772</v>
      </c>
      <c r="D78" s="1201">
        <v>23693104</v>
      </c>
      <c r="E78" s="1201">
        <v>24059922.493268732</v>
      </c>
      <c r="F78" s="338"/>
    </row>
    <row r="79" spans="1:6">
      <c r="A79" s="1217"/>
      <c r="B79" s="1217"/>
    </row>
    <row r="80" spans="1:6" ht="15.75" thickBot="1">
      <c r="A80" s="1217"/>
      <c r="B80" s="1217"/>
    </row>
    <row r="81" spans="1:6" ht="20.25" thickBot="1">
      <c r="A81" s="1198" t="s">
        <v>334</v>
      </c>
      <c r="B81" s="1218" t="s">
        <v>396</v>
      </c>
      <c r="C81" s="336" t="s">
        <v>831</v>
      </c>
      <c r="D81" s="336"/>
      <c r="E81" s="336"/>
      <c r="F81" s="340"/>
    </row>
    <row r="82" spans="1:6" ht="16.5" thickTop="1" thickBot="1">
      <c r="A82" s="1202" t="s">
        <v>335</v>
      </c>
      <c r="B82" s="1215">
        <v>2012</v>
      </c>
      <c r="C82" s="1215">
        <v>2020</v>
      </c>
      <c r="D82" s="1203"/>
      <c r="E82" s="1203"/>
      <c r="F82" s="1204"/>
    </row>
    <row r="83" spans="1:6">
      <c r="A83" s="1205" t="s">
        <v>336</v>
      </c>
      <c r="B83" s="335">
        <v>5033968.9876691019</v>
      </c>
      <c r="C83" s="335">
        <v>4760445.0188903017</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568</v>
      </c>
      <c r="B89" s="335">
        <v>0</v>
      </c>
    </row>
    <row r="90" spans="1:6">
      <c r="A90" s="1205" t="s">
        <v>569</v>
      </c>
      <c r="B90" s="1220">
        <v>14237.021407305889</v>
      </c>
    </row>
    <row r="91" spans="1:6">
      <c r="A91" s="1205" t="s">
        <v>68</v>
      </c>
      <c r="B91" s="335">
        <v>11247.390253785123</v>
      </c>
    </row>
    <row r="92" spans="1:6">
      <c r="A92" s="1201" t="s">
        <v>69</v>
      </c>
      <c r="B92" s="338">
        <v>8465.8427791311587</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12607</v>
      </c>
    </row>
    <row r="98" spans="1:6">
      <c r="A98" s="1205" t="s">
        <v>72</v>
      </c>
      <c r="B98" s="335">
        <v>2</v>
      </c>
    </row>
    <row r="99" spans="1:6">
      <c r="A99" s="1205" t="s">
        <v>73</v>
      </c>
      <c r="B99" s="335">
        <v>137</v>
      </c>
    </row>
    <row r="100" spans="1:6">
      <c r="A100" s="1205" t="s">
        <v>74</v>
      </c>
      <c r="B100" s="335">
        <v>1808</v>
      </c>
    </row>
    <row r="101" spans="1:6">
      <c r="A101" s="1205" t="s">
        <v>75</v>
      </c>
      <c r="B101" s="335">
        <v>132</v>
      </c>
    </row>
    <row r="102" spans="1:6">
      <c r="A102" s="1205" t="s">
        <v>76</v>
      </c>
      <c r="B102" s="335">
        <v>416</v>
      </c>
    </row>
    <row r="103" spans="1:6">
      <c r="A103" s="1205" t="s">
        <v>77</v>
      </c>
      <c r="B103" s="335">
        <v>298</v>
      </c>
    </row>
    <row r="104" spans="1:6">
      <c r="A104" s="1205" t="s">
        <v>78</v>
      </c>
      <c r="B104" s="335">
        <v>12509</v>
      </c>
    </row>
    <row r="105" spans="1:6">
      <c r="A105" s="1201" t="s">
        <v>79</v>
      </c>
      <c r="B105" s="1201">
        <v>11</v>
      </c>
      <c r="C105" s="338"/>
      <c r="D105" s="338"/>
      <c r="E105" s="338"/>
      <c r="F105" s="338"/>
    </row>
    <row r="106" spans="1:6">
      <c r="A106" s="339"/>
    </row>
    <row r="107" spans="1:6" ht="15.75" thickBot="1">
      <c r="A107" s="339"/>
    </row>
    <row r="108" spans="1:6" ht="20.25" thickBot="1">
      <c r="A108" s="1198" t="s">
        <v>710</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711</v>
      </c>
      <c r="B110" s="335">
        <v>0</v>
      </c>
    </row>
    <row r="111" spans="1:6">
      <c r="A111" s="1221" t="s">
        <v>712</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38</v>
      </c>
      <c r="C123" s="335">
        <v>53</v>
      </c>
    </row>
    <row r="124" spans="1:6">
      <c r="A124" s="1201" t="s">
        <v>89</v>
      </c>
      <c r="B124" s="335">
        <v>3</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196</v>
      </c>
    </row>
    <row r="130" spans="1:6">
      <c r="A130" s="1205" t="s">
        <v>295</v>
      </c>
      <c r="B130" s="335">
        <v>0</v>
      </c>
    </row>
    <row r="131" spans="1:6">
      <c r="A131" s="1205" t="s">
        <v>296</v>
      </c>
      <c r="B131" s="335">
        <v>0</v>
      </c>
    </row>
    <row r="132" spans="1:6">
      <c r="A132" s="1201" t="s">
        <v>297</v>
      </c>
      <c r="B132" s="338">
        <v>34</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753</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753</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754</v>
      </c>
      <c r="B44" s="520"/>
      <c r="D44" s="665"/>
    </row>
    <row r="45" spans="1:14">
      <c r="A45" s="45"/>
      <c r="B45" s="520"/>
      <c r="D45" s="665"/>
    </row>
    <row r="46" spans="1:14" ht="18">
      <c r="A46" s="138" t="s">
        <v>190</v>
      </c>
      <c r="B46" s="521" t="s">
        <v>595</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647</v>
      </c>
      <c r="B1" s="534"/>
      <c r="C1" s="535"/>
    </row>
    <row r="2" spans="1:3" s="335" customFormat="1">
      <c r="A2" s="377"/>
      <c r="B2" s="500"/>
      <c r="C2" s="537"/>
    </row>
    <row r="3" spans="1:3" s="335" customFormat="1">
      <c r="A3" s="375"/>
      <c r="B3" s="538">
        <v>2012</v>
      </c>
      <c r="C3" s="378" t="s">
        <v>182</v>
      </c>
    </row>
    <row r="4" spans="1:3">
      <c r="A4" s="121" t="s">
        <v>301</v>
      </c>
      <c r="B4" s="539">
        <v>3704.1355821353</v>
      </c>
      <c r="C4" s="140" t="s">
        <v>752</v>
      </c>
    </row>
    <row r="5" spans="1:3" ht="15.75" thickBot="1">
      <c r="A5" s="116" t="s">
        <v>646</v>
      </c>
      <c r="B5" s="540">
        <v>671603</v>
      </c>
      <c r="C5" s="141" t="s">
        <v>644</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414724.86000195832</v>
      </c>
      <c r="C3" s="44" t="s">
        <v>170</v>
      </c>
      <c r="D3" s="44"/>
      <c r="E3" s="157"/>
      <c r="F3" s="44"/>
      <c r="G3" s="44"/>
      <c r="H3" s="44"/>
      <c r="I3" s="44"/>
      <c r="J3" s="44"/>
      <c r="K3" s="97"/>
    </row>
    <row r="4" spans="1:11">
      <c r="A4" s="365" t="s">
        <v>171</v>
      </c>
      <c r="B4" s="50">
        <f>IF(ISERROR('SEAP template'!B69),0,'SEAP template'!B69)</f>
        <v>37413.90444022217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842</v>
      </c>
      <c r="G6" s="44" t="s">
        <v>848</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529.03800000000012</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0.20233838689763484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755.76857142857159</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3180.2142857142858</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766</v>
      </c>
      <c r="B1" s="956" t="s">
        <v>308</v>
      </c>
      <c r="C1" s="956" t="s">
        <v>312</v>
      </c>
      <c r="D1" s="956" t="s">
        <v>313</v>
      </c>
      <c r="E1" s="956" t="s">
        <v>314</v>
      </c>
      <c r="F1" s="956" t="s">
        <v>315</v>
      </c>
      <c r="H1" s="967" t="s">
        <v>788</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776</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776</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776</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776</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773</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773</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773</v>
      </c>
      <c r="C9" s="955" t="s">
        <v>64</v>
      </c>
      <c r="D9" s="955" t="s">
        <v>735</v>
      </c>
      <c r="E9" s="955" t="s">
        <v>735</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773</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773</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773</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773</v>
      </c>
      <c r="C13" s="955" t="s">
        <v>64</v>
      </c>
      <c r="D13" s="955" t="s">
        <v>778</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773</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773</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773</v>
      </c>
      <c r="C16" s="955" t="s">
        <v>65</v>
      </c>
      <c r="D16" s="955" t="s">
        <v>735</v>
      </c>
      <c r="E16" s="955" t="s">
        <v>735</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773</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773</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773</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773</v>
      </c>
      <c r="C20" s="955" t="s">
        <v>65</v>
      </c>
      <c r="D20" s="955" t="s">
        <v>778</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773</v>
      </c>
      <c r="C21" s="955" t="s">
        <v>777</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773</v>
      </c>
      <c r="C22" s="955" t="s">
        <v>777</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773</v>
      </c>
      <c r="C23" s="955" t="s">
        <v>777</v>
      </c>
      <c r="D23" s="955" t="s">
        <v>735</v>
      </c>
      <c r="E23" s="955" t="s">
        <v>735</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773</v>
      </c>
      <c r="C24" s="955" t="s">
        <v>777</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773</v>
      </c>
      <c r="C25" s="955" t="s">
        <v>777</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773</v>
      </c>
      <c r="C26" s="955" t="s">
        <v>777</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773</v>
      </c>
      <c r="C27" s="955" t="s">
        <v>777</v>
      </c>
      <c r="D27" s="955" t="s">
        <v>778</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774</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774</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774</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774</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774</v>
      </c>
      <c r="C32" s="955" t="s">
        <v>777</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774</v>
      </c>
      <c r="C33" s="955" t="s">
        <v>777</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709</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4953.4170000000004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4953.4170000000004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0.20233838689763484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1002.2664054113218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125872.522</v>
      </c>
      <c r="C5" s="18">
        <f>IF(ISERROR('Eigen informatie GS &amp; warmtenet'!B57),0,'Eigen informatie GS &amp; warmtenet'!B57)</f>
        <v>0</v>
      </c>
      <c r="D5" s="31">
        <f>(SUM(HH_hh_gas_kWh,HH_rest_gas_kWh)/1000)*0.902</f>
        <v>298839.21075800003</v>
      </c>
      <c r="E5" s="18">
        <f>B46*B57</f>
        <v>11111.979641363952</v>
      </c>
      <c r="F5" s="18">
        <f>B51*B62</f>
        <v>85398.687413827938</v>
      </c>
      <c r="G5" s="19"/>
      <c r="H5" s="18"/>
      <c r="I5" s="18"/>
      <c r="J5" s="18">
        <f>B50*B61+C50*C61</f>
        <v>0</v>
      </c>
      <c r="K5" s="18"/>
      <c r="L5" s="18"/>
      <c r="M5" s="18"/>
      <c r="N5" s="18">
        <f>B48*B59+C48*C59</f>
        <v>34769.595287681761</v>
      </c>
      <c r="O5" s="18">
        <f>B69*B70*B71</f>
        <v>389.27</v>
      </c>
      <c r="P5" s="18">
        <f>B77*B78*B79/1000-B77*B78*B79/1000/B80</f>
        <v>1430</v>
      </c>
    </row>
    <row r="6" spans="1:16">
      <c r="A6" s="17" t="s">
        <v>641</v>
      </c>
      <c r="B6" s="831">
        <f>kWh_PV_kleiner_dan_10kW</f>
        <v>11247.390253785123</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137119.91225378512</v>
      </c>
      <c r="C8" s="22">
        <f>C5</f>
        <v>0</v>
      </c>
      <c r="D8" s="22">
        <f>D5</f>
        <v>298839.21075800003</v>
      </c>
      <c r="E8" s="22">
        <f>E5</f>
        <v>11111.979641363952</v>
      </c>
      <c r="F8" s="22">
        <f>F5</f>
        <v>85398.687413827938</v>
      </c>
      <c r="G8" s="22"/>
      <c r="H8" s="22"/>
      <c r="I8" s="22"/>
      <c r="J8" s="22">
        <f>J5</f>
        <v>0</v>
      </c>
      <c r="K8" s="22"/>
      <c r="L8" s="22">
        <f>L5</f>
        <v>0</v>
      </c>
      <c r="M8" s="22">
        <f>M5</f>
        <v>0</v>
      </c>
      <c r="N8" s="22">
        <f>N5</f>
        <v>34769.595287681761</v>
      </c>
      <c r="O8" s="22">
        <f>O5</f>
        <v>389.27</v>
      </c>
      <c r="P8" s="22">
        <f>P5</f>
        <v>1430</v>
      </c>
    </row>
    <row r="9" spans="1:16">
      <c r="B9" s="20"/>
      <c r="C9" s="20"/>
      <c r="D9" s="262"/>
      <c r="E9" s="20"/>
      <c r="F9" s="20"/>
      <c r="G9" s="20"/>
      <c r="H9" s="20"/>
      <c r="I9" s="20"/>
      <c r="J9" s="20"/>
      <c r="K9" s="20"/>
      <c r="L9" s="20"/>
      <c r="M9" s="20"/>
      <c r="N9" s="20"/>
      <c r="O9" s="20"/>
      <c r="P9" s="20"/>
    </row>
    <row r="10" spans="1:16">
      <c r="A10" s="25" t="s">
        <v>214</v>
      </c>
      <c r="B10" s="26">
        <f ca="1">'EF ele_warmte'!B12</f>
        <v>0.20233838689763484</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27744.621856976115</v>
      </c>
      <c r="C12" s="24">
        <f ca="1">C10*C8</f>
        <v>0</v>
      </c>
      <c r="D12" s="24">
        <f>D8*D10</f>
        <v>60365.520573116009</v>
      </c>
      <c r="E12" s="24">
        <f>E10*E8</f>
        <v>2522.4193785896173</v>
      </c>
      <c r="F12" s="24">
        <f>F10*F8</f>
        <v>22801.44953949206</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12607</v>
      </c>
      <c r="C18" s="169" t="s">
        <v>111</v>
      </c>
      <c r="D18" s="231"/>
      <c r="E18" s="16"/>
    </row>
    <row r="19" spans="1:7">
      <c r="A19" s="174" t="s">
        <v>72</v>
      </c>
      <c r="B19" s="38">
        <f>aantalw2001_ander</f>
        <v>2</v>
      </c>
      <c r="C19" s="169" t="s">
        <v>111</v>
      </c>
      <c r="D19" s="232"/>
      <c r="E19" s="16"/>
    </row>
    <row r="20" spans="1:7">
      <c r="A20" s="174" t="s">
        <v>73</v>
      </c>
      <c r="B20" s="38">
        <f>aantalw2001_propaan</f>
        <v>137</v>
      </c>
      <c r="C20" s="170">
        <f>IF(ISERROR(B20/SUM($B$20,$B$21,$B$22)*100),0,B20/SUM($B$20,$B$21,$B$22)*100)</f>
        <v>6.5960519980741452</v>
      </c>
      <c r="D20" s="232"/>
      <c r="E20" s="16"/>
    </row>
    <row r="21" spans="1:7">
      <c r="A21" s="174" t="s">
        <v>74</v>
      </c>
      <c r="B21" s="38">
        <f>aantalw2001_elektriciteit</f>
        <v>1808</v>
      </c>
      <c r="C21" s="170">
        <f>IF(ISERROR(B21/SUM($B$20,$B$21,$B$22)*100),0,B21/SUM($B$20,$B$21,$B$22)*100)</f>
        <v>87.048627828598939</v>
      </c>
      <c r="D21" s="232"/>
      <c r="E21" s="16"/>
    </row>
    <row r="22" spans="1:7">
      <c r="A22" s="174" t="s">
        <v>75</v>
      </c>
      <c r="B22" s="38">
        <f>aantalw2001_hout</f>
        <v>132</v>
      </c>
      <c r="C22" s="170">
        <f>IF(ISERROR(B22/SUM($B$20,$B$21,$B$22)*100),0,B22/SUM($B$20,$B$21,$B$22)*100)</f>
        <v>6.3553201733269145</v>
      </c>
      <c r="D22" s="232"/>
      <c r="E22" s="16"/>
    </row>
    <row r="23" spans="1:7">
      <c r="A23" s="174" t="s">
        <v>76</v>
      </c>
      <c r="B23" s="38">
        <f>aantalw2001_niet_gespec</f>
        <v>416</v>
      </c>
      <c r="C23" s="169" t="s">
        <v>111</v>
      </c>
      <c r="D23" s="231"/>
      <c r="E23" s="16"/>
    </row>
    <row r="24" spans="1:7">
      <c r="A24" s="174" t="s">
        <v>77</v>
      </c>
      <c r="B24" s="38">
        <f>aantalw2001_steenkool</f>
        <v>298</v>
      </c>
      <c r="C24" s="169" t="s">
        <v>111</v>
      </c>
      <c r="D24" s="232"/>
      <c r="E24" s="16"/>
    </row>
    <row r="25" spans="1:7">
      <c r="A25" s="174" t="s">
        <v>78</v>
      </c>
      <c r="B25" s="38">
        <f>aantalw2001_stookolie</f>
        <v>12509</v>
      </c>
      <c r="C25" s="169" t="s">
        <v>111</v>
      </c>
      <c r="D25" s="231"/>
      <c r="E25" s="53"/>
    </row>
    <row r="26" spans="1:7">
      <c r="A26" s="174" t="s">
        <v>79</v>
      </c>
      <c r="B26" s="38">
        <f>aantalw2001_WP</f>
        <v>11</v>
      </c>
      <c r="C26" s="169" t="s">
        <v>111</v>
      </c>
      <c r="D26" s="231"/>
      <c r="E26" s="16"/>
    </row>
    <row r="27" spans="1:7" s="16" customFormat="1">
      <c r="A27" s="174"/>
      <c r="B27" s="30"/>
      <c r="C27" s="37"/>
      <c r="D27" s="231"/>
    </row>
    <row r="28" spans="1:7" s="16" customFormat="1">
      <c r="A28" s="233" t="s">
        <v>667</v>
      </c>
      <c r="B28" s="38">
        <f>aantalHuishoudens2011</f>
        <v>33745</v>
      </c>
      <c r="C28" s="37"/>
      <c r="D28" s="231"/>
    </row>
    <row r="29" spans="1:7" s="16" customFormat="1">
      <c r="A29" s="233" t="s">
        <v>668</v>
      </c>
      <c r="B29" s="38">
        <f>SUM(HH_hh_gas_aantal,HH_rest_gas_aantal)</f>
        <v>21699</v>
      </c>
      <c r="C29" s="37"/>
      <c r="D29" s="231"/>
    </row>
    <row r="30" spans="1:7" s="16" customFormat="1">
      <c r="A30" s="234"/>
      <c r="B30" s="30"/>
      <c r="C30" s="37"/>
      <c r="D30" s="235"/>
    </row>
    <row r="31" spans="1:7">
      <c r="A31" s="175" t="s">
        <v>669</v>
      </c>
      <c r="B31" s="171" t="s">
        <v>216</v>
      </c>
      <c r="C31" s="168" t="s">
        <v>217</v>
      </c>
      <c r="D31" s="177"/>
      <c r="G31" s="16"/>
    </row>
    <row r="32" spans="1:7">
      <c r="A32" s="174" t="s">
        <v>71</v>
      </c>
      <c r="B32" s="38">
        <f>B29</f>
        <v>21699</v>
      </c>
      <c r="C32" s="170">
        <f>IF(ISERROR(B32/SUM($B$32,$B$34,$B$35,$B$36,$B$38,$B$39)*100),0,B32/SUM($B$32,$B$34,$B$35,$B$36,$B$38,$B$39)*100)</f>
        <v>64.446094446094449</v>
      </c>
      <c r="D32" s="236"/>
      <c r="G32" s="16"/>
    </row>
    <row r="33" spans="1:7">
      <c r="A33" s="174" t="s">
        <v>72</v>
      </c>
      <c r="B33" s="35" t="s">
        <v>111</v>
      </c>
      <c r="C33" s="170"/>
      <c r="D33" s="236"/>
      <c r="G33" s="16"/>
    </row>
    <row r="34" spans="1:7">
      <c r="A34" s="174" t="s">
        <v>73</v>
      </c>
      <c r="B34" s="34">
        <f>IF((($B$28-$B$32-$B$39-$B$77-$B$38)*C20/100)&lt;0,0,($B$28-$B$32-$B$39-$B$77-$B$38)*C20/100)</f>
        <v>504.25498314877228</v>
      </c>
      <c r="C34" s="170">
        <f>IF(ISERROR(B34/SUM($B$32,$B$34,$B$35,$B$36,$B$38,$B$39)*100),0,B34/SUM($B$32,$B$34,$B$35,$B$36,$B$38,$B$39)*100)</f>
        <v>1.4976387975906513</v>
      </c>
      <c r="D34" s="236"/>
      <c r="G34" s="16"/>
    </row>
    <row r="35" spans="1:7">
      <c r="A35" s="174" t="s">
        <v>74</v>
      </c>
      <c r="B35" s="34">
        <f>IF((($B$28-$B$32-$B$39-$B$77-$B$38)*C21/100)&lt;0,0,($B$28-$B$32-$B$39-$B$77-$B$38)*C21/100)</f>
        <v>6654.6935002407317</v>
      </c>
      <c r="C35" s="170">
        <f>IF(ISERROR(B35/SUM($B$32,$B$34,$B$35,$B$36,$B$38,$B$39)*100),0,B35/SUM($B$32,$B$34,$B$35,$B$36,$B$38,$B$39)*100)</f>
        <v>19.764459460174432</v>
      </c>
      <c r="D35" s="236"/>
      <c r="G35" s="16"/>
    </row>
    <row r="36" spans="1:7">
      <c r="A36" s="174" t="s">
        <v>75</v>
      </c>
      <c r="B36" s="34">
        <f>IF((($B$28-$B$32-$B$39-$B$77-$B$38)*C22/100)&lt;0,0,($B$28-$B$32-$B$39-$B$77-$B$38)*C22/100)</f>
        <v>485.85151661049599</v>
      </c>
      <c r="C36" s="170">
        <f>IF(ISERROR(B36/SUM($B$32,$B$34,$B$35,$B$36,$B$38,$B$39)*100),0,B36/SUM($B$32,$B$34,$B$35,$B$36,$B$38,$B$39)*100)</f>
        <v>1.4429804473136205</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4326.2</v>
      </c>
      <c r="C39" s="170">
        <f>IF(ISERROR(B39/SUM($B$32,$B$34,$B$35,$B$36,$B$38,$B$39)*100),0,B39/SUM($B$32,$B$34,$B$35,$B$36,$B$38,$B$39)*100)</f>
        <v>12.848826848826848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670</v>
      </c>
      <c r="C43" s="172" t="s">
        <v>671</v>
      </c>
      <c r="D43" s="177"/>
    </row>
    <row r="44" spans="1:7">
      <c r="A44" s="174" t="s">
        <v>71</v>
      </c>
      <c r="B44" s="34">
        <f t="shared" ref="B44:B52" si="0">B32</f>
        <v>21699</v>
      </c>
      <c r="C44" s="35" t="s">
        <v>111</v>
      </c>
      <c r="D44" s="177"/>
    </row>
    <row r="45" spans="1:7">
      <c r="A45" s="174" t="s">
        <v>72</v>
      </c>
      <c r="B45" s="34" t="str">
        <f t="shared" si="0"/>
        <v>-</v>
      </c>
      <c r="C45" s="35" t="s">
        <v>111</v>
      </c>
      <c r="D45" s="177"/>
    </row>
    <row r="46" spans="1:7">
      <c r="A46" s="174" t="s">
        <v>73</v>
      </c>
      <c r="B46" s="34">
        <f t="shared" si="0"/>
        <v>504.25498314877228</v>
      </c>
      <c r="C46" s="35" t="s">
        <v>111</v>
      </c>
      <c r="D46" s="177"/>
    </row>
    <row r="47" spans="1:7">
      <c r="A47" s="174" t="s">
        <v>74</v>
      </c>
      <c r="B47" s="34">
        <f t="shared" si="0"/>
        <v>6654.6935002407317</v>
      </c>
      <c r="C47" s="35" t="s">
        <v>111</v>
      </c>
      <c r="D47" s="177"/>
    </row>
    <row r="48" spans="1:7">
      <c r="A48" s="174" t="s">
        <v>75</v>
      </c>
      <c r="B48" s="34">
        <f t="shared" si="0"/>
        <v>485.85151661049599</v>
      </c>
      <c r="C48" s="34">
        <f>B48*10</f>
        <v>4858.5151661049604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4326.2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706</v>
      </c>
      <c r="C54" s="168" t="s">
        <v>707</v>
      </c>
      <c r="D54" s="303" t="s">
        <v>705</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249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75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196587.03400000001</v>
      </c>
      <c r="C5" s="18">
        <f>IF(ISERROR('Eigen informatie GS &amp; warmtenet'!B58),0,'Eigen informatie GS &amp; warmtenet'!B58)</f>
        <v>0</v>
      </c>
      <c r="D5" s="31">
        <f>SUM(D6:D12)</f>
        <v>193856.349896</v>
      </c>
      <c r="E5" s="18">
        <f>SUM(E6:E12)</f>
        <v>1575.8201407322131</v>
      </c>
      <c r="F5" s="18">
        <f>SUM(F6:F12)</f>
        <v>40143.064318267207</v>
      </c>
      <c r="G5" s="19"/>
      <c r="H5" s="18"/>
      <c r="I5" s="18"/>
      <c r="J5" s="18">
        <f>SUM(J6:J12)</f>
        <v>0</v>
      </c>
      <c r="K5" s="18"/>
      <c r="L5" s="18"/>
      <c r="M5" s="18"/>
      <c r="N5" s="18">
        <f>SUM(N6:N12)</f>
        <v>9758.1501768027392</v>
      </c>
      <c r="O5" s="18">
        <f>B38*B39*B40</f>
        <v>0</v>
      </c>
      <c r="P5" s="18">
        <f>B46*B47*B48/1000-B46*B47*B48/1000/B49</f>
        <v>0</v>
      </c>
      <c r="R5" s="33"/>
    </row>
    <row r="6" spans="1:18">
      <c r="A6" s="33" t="s">
        <v>54</v>
      </c>
      <c r="B6" s="38">
        <f>B26</f>
        <v>71433.758000000002</v>
      </c>
      <c r="C6" s="34"/>
      <c r="D6" s="38">
        <f>IF(ISERROR(TER_kantoor_gas_kWh/1000),0,TER_kantoor_gas_kWh/1000)*0.902</f>
        <v>75349.444038000001</v>
      </c>
      <c r="E6" s="34">
        <f>$C$26*'E Balans VL '!I12/100/3.6*1000000</f>
        <v>117.23727477554843</v>
      </c>
      <c r="F6" s="34">
        <f>$C$26*('E Balans VL '!L12+'E Balans VL '!N12)/100/3.6*1000000</f>
        <v>8420.3593231463547</v>
      </c>
      <c r="G6" s="35"/>
      <c r="H6" s="34"/>
      <c r="I6" s="34"/>
      <c r="J6" s="34">
        <f>$C$26*('E Balans VL '!D12+'E Balans VL '!E12)/100/3.6*1000000</f>
        <v>0</v>
      </c>
      <c r="K6" s="34"/>
      <c r="L6" s="34"/>
      <c r="M6" s="34"/>
      <c r="N6" s="34">
        <f>$C$26*'E Balans VL '!Y12/100/3.6*1000000</f>
        <v>14.432852537362869</v>
      </c>
      <c r="O6" s="34"/>
      <c r="P6" s="34"/>
      <c r="R6" s="33"/>
    </row>
    <row r="7" spans="1:18">
      <c r="A7" s="33" t="s">
        <v>53</v>
      </c>
      <c r="B7" s="38">
        <f t="shared" ref="B7:B12" si="0">B27</f>
        <v>18603.759999999998</v>
      </c>
      <c r="C7" s="34"/>
      <c r="D7" s="38">
        <f>IF(ISERROR(TER_horeca_gas_kWh/1000),0,TER_horeca_gas_kWh/1000)*0.902</f>
        <v>17860.429840000001</v>
      </c>
      <c r="E7" s="34">
        <f>$C$27*'E Balans VL '!I9/100/3.6*1000000</f>
        <v>965.40052431188576</v>
      </c>
      <c r="F7" s="34">
        <f>$C$27*('E Balans VL '!L9+'E Balans VL '!N9)/100/3.6*1000000</f>
        <v>4245.3915309551585</v>
      </c>
      <c r="G7" s="35"/>
      <c r="H7" s="34"/>
      <c r="I7" s="34"/>
      <c r="J7" s="34">
        <f>$C$27*('E Balans VL '!D9+'E Balans VL '!E9)/100/3.6*1000000</f>
        <v>0</v>
      </c>
      <c r="K7" s="34"/>
      <c r="L7" s="34"/>
      <c r="M7" s="34"/>
      <c r="N7" s="34">
        <f>$C$27*'E Balans VL '!Y9/100/3.6*1000000</f>
        <v>1.9645485304550321</v>
      </c>
      <c r="O7" s="34"/>
      <c r="P7" s="34"/>
      <c r="R7" s="33"/>
    </row>
    <row r="8" spans="1:18">
      <c r="A8" s="6" t="s">
        <v>52</v>
      </c>
      <c r="B8" s="38">
        <f t="shared" si="0"/>
        <v>62778.497000000003</v>
      </c>
      <c r="C8" s="34"/>
      <c r="D8" s="38">
        <f>IF(ISERROR(TER_handel_gas_kWh/1000),0,TER_handel_gas_kWh/1000)*0.902</f>
        <v>32913.846504000001</v>
      </c>
      <c r="E8" s="34">
        <f>$C$28*'E Balans VL '!I13/100/3.6*1000000</f>
        <v>338.06992079694777</v>
      </c>
      <c r="F8" s="34">
        <f>$C$28*('E Balans VL '!L13+'E Balans VL '!N13)/100/3.6*1000000</f>
        <v>12802.401147201484</v>
      </c>
      <c r="G8" s="35"/>
      <c r="H8" s="34"/>
      <c r="I8" s="34"/>
      <c r="J8" s="34">
        <f>$C$28*('E Balans VL '!D13+'E Balans VL '!E13)/100/3.6*1000000</f>
        <v>0</v>
      </c>
      <c r="K8" s="34"/>
      <c r="L8" s="34"/>
      <c r="M8" s="34"/>
      <c r="N8" s="34">
        <f>$C$28*'E Balans VL '!Y13/100/3.6*1000000</f>
        <v>312.16431320656909</v>
      </c>
      <c r="O8" s="34"/>
      <c r="P8" s="34"/>
      <c r="R8" s="33"/>
    </row>
    <row r="9" spans="1:18">
      <c r="A9" s="33" t="s">
        <v>51</v>
      </c>
      <c r="B9" s="38">
        <f t="shared" si="0"/>
        <v>18615.223999999998</v>
      </c>
      <c r="C9" s="34"/>
      <c r="D9" s="38">
        <f>IF(ISERROR(TER_gezond_gas_kWh/1000),0,TER_gezond_gas_kWh/1000)*0.902</f>
        <v>29146.348550000002</v>
      </c>
      <c r="E9" s="34">
        <f>$C$29*'E Balans VL '!I10/100/3.6*1000000</f>
        <v>18.447898675451221</v>
      </c>
      <c r="F9" s="34">
        <f>$C$29*('E Balans VL '!L10+'E Balans VL '!N10)/100/3.6*1000000</f>
        <v>6458.9461647531034</v>
      </c>
      <c r="G9" s="35"/>
      <c r="H9" s="34"/>
      <c r="I9" s="34"/>
      <c r="J9" s="34">
        <f>$C$29*('E Balans VL '!D10+'E Balans VL '!E10)/100/3.6*1000000</f>
        <v>0</v>
      </c>
      <c r="K9" s="34"/>
      <c r="L9" s="34"/>
      <c r="M9" s="34"/>
      <c r="N9" s="34">
        <f>$C$29*'E Balans VL '!Y10/100/3.6*1000000</f>
        <v>160.40577257887634</v>
      </c>
      <c r="O9" s="34"/>
      <c r="P9" s="34"/>
      <c r="R9" s="33"/>
    </row>
    <row r="10" spans="1:18">
      <c r="A10" s="33" t="s">
        <v>50</v>
      </c>
      <c r="B10" s="38">
        <f t="shared" si="0"/>
        <v>16016.562</v>
      </c>
      <c r="C10" s="34"/>
      <c r="D10" s="38">
        <f>IF(ISERROR(TER_ander_gas_kWh/1000),0,TER_ander_gas_kWh/1000)*0.902</f>
        <v>18057.694533999998</v>
      </c>
      <c r="E10" s="34">
        <f>$C$30*'E Balans VL '!I14/100/3.6*1000000</f>
        <v>131.0314845737056</v>
      </c>
      <c r="F10" s="34">
        <f>$C$30*('E Balans VL '!L14+'E Balans VL '!N14)/100/3.6*1000000</f>
        <v>4682.5906675548858</v>
      </c>
      <c r="G10" s="35"/>
      <c r="H10" s="34"/>
      <c r="I10" s="34"/>
      <c r="J10" s="34">
        <f>$C$30*('E Balans VL '!D14+'E Balans VL '!E14)/100/3.6*1000000</f>
        <v>0</v>
      </c>
      <c r="K10" s="34"/>
      <c r="L10" s="34"/>
      <c r="M10" s="34"/>
      <c r="N10" s="34">
        <f>$C$30*'E Balans VL '!Y14/100/3.6*1000000</f>
        <v>9239.4547234962902</v>
      </c>
      <c r="O10" s="34"/>
      <c r="P10" s="34"/>
      <c r="R10" s="33"/>
    </row>
    <row r="11" spans="1:18">
      <c r="A11" s="33" t="s">
        <v>55</v>
      </c>
      <c r="B11" s="38">
        <f t="shared" si="0"/>
        <v>9139.2330000000002</v>
      </c>
      <c r="C11" s="34"/>
      <c r="D11" s="38">
        <f>IF(ISERROR(TER_onderwijs_gas_kWh/1000),0,TER_onderwijs_gas_kWh/1000)*0.902</f>
        <v>20528.586429999999</v>
      </c>
      <c r="E11" s="34">
        <f>$C$31*'E Balans VL '!I11/100/3.6*1000000</f>
        <v>5.6330375986744246</v>
      </c>
      <c r="F11" s="34">
        <f>$C$31*('E Balans VL '!L11+'E Balans VL '!N11)/100/3.6*1000000</f>
        <v>3533.3754846562256</v>
      </c>
      <c r="G11" s="35"/>
      <c r="H11" s="34"/>
      <c r="I11" s="34"/>
      <c r="J11" s="34">
        <f>$C$31*('E Balans VL '!D11+'E Balans VL '!E11)/100/3.6*1000000</f>
        <v>0</v>
      </c>
      <c r="K11" s="34"/>
      <c r="L11" s="34"/>
      <c r="M11" s="34"/>
      <c r="N11" s="34">
        <f>$C$31*'E Balans VL '!Y11/100/3.6*1000000</f>
        <v>29.727966453184809</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3238.65</v>
      </c>
      <c r="C13" s="250">
        <f ca="1">'lokale energieproductie'!O90+'lokale energieproductie'!O59</f>
        <v>2858.7857142857142</v>
      </c>
      <c r="D13" s="312">
        <f ca="1">('lokale energieproductie'!P59+'lokale energieproductie'!P90)*(-1)</f>
        <v>-5717.5714285714294</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-3535.7142857142858</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199825.68400000001</v>
      </c>
      <c r="C16" s="22">
        <f t="shared" ca="1" si="1"/>
        <v>2858.7857142857142</v>
      </c>
      <c r="D16" s="22">
        <f t="shared" ca="1" si="1"/>
        <v>188138.77846742858</v>
      </c>
      <c r="E16" s="22">
        <f t="shared" si="1"/>
        <v>1575.8201407322131</v>
      </c>
      <c r="F16" s="22">
        <f t="shared" ca="1" si="1"/>
        <v>40143.064318267207</v>
      </c>
      <c r="G16" s="22">
        <f t="shared" si="1"/>
        <v>0</v>
      </c>
      <c r="H16" s="22">
        <f t="shared" si="1"/>
        <v>0</v>
      </c>
      <c r="I16" s="22">
        <f t="shared" si="1"/>
        <v>0</v>
      </c>
      <c r="J16" s="22">
        <f t="shared" si="1"/>
        <v>0</v>
      </c>
      <c r="K16" s="22">
        <f t="shared" si="1"/>
        <v>0</v>
      </c>
      <c r="L16" s="22">
        <f t="shared" ca="1" si="1"/>
        <v>0</v>
      </c>
      <c r="M16" s="22">
        <f t="shared" si="1"/>
        <v>0</v>
      </c>
      <c r="N16" s="22">
        <f t="shared" ca="1" si="1"/>
        <v>6222.435891088453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0.20233838689763484</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40432.406561276519</v>
      </c>
      <c r="C20" s="24">
        <f t="shared" ref="C20:P20" ca="1" si="2">C16*C18</f>
        <v>679.38201680672285</v>
      </c>
      <c r="D20" s="24">
        <f t="shared" ca="1" si="2"/>
        <v>38004.033250420573</v>
      </c>
      <c r="E20" s="24">
        <f t="shared" si="2"/>
        <v>357.7111719462124</v>
      </c>
      <c r="F20" s="24">
        <f t="shared" ca="1" si="2"/>
        <v>10718.198172977345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71433.758000000002</v>
      </c>
      <c r="C26" s="40">
        <f>IF(ISERROR(B26*3.6/1000000/'E Balans VL '!Z12*100),0,B26*3.6/1000000/'E Balans VL '!Z12*100)</f>
        <v>1.5179161301345701</v>
      </c>
      <c r="D26" s="240" t="s">
        <v>709</v>
      </c>
      <c r="F26" s="6"/>
    </row>
    <row r="27" spans="1:18">
      <c r="A27" s="234" t="s">
        <v>53</v>
      </c>
      <c r="B27" s="34">
        <f>IF(ISERROR(TER_horeca_ele_kWh/1000),0,TER_horeca_ele_kWh/1000)</f>
        <v>18603.759999999998</v>
      </c>
      <c r="C27" s="40">
        <f>IF(ISERROR(B27*3.6/1000000/'E Balans VL '!Z9*100),0,B27*3.6/1000000/'E Balans VL '!Z9*100)</f>
        <v>1.4642597742521981</v>
      </c>
      <c r="D27" s="240" t="s">
        <v>709</v>
      </c>
      <c r="F27" s="6"/>
    </row>
    <row r="28" spans="1:18">
      <c r="A28" s="174" t="s">
        <v>52</v>
      </c>
      <c r="B28" s="34">
        <f>IF(ISERROR(TER_handel_ele_kWh/1000),0,TER_handel_ele_kWh/1000)</f>
        <v>62778.497000000003</v>
      </c>
      <c r="C28" s="40">
        <f>IF(ISERROR(B28*3.6/1000000/'E Balans VL '!Z13*100),0,B28*3.6/1000000/'E Balans VL '!Z13*100)</f>
        <v>1.7584592986951662</v>
      </c>
      <c r="D28" s="240" t="s">
        <v>709</v>
      </c>
      <c r="F28" s="6"/>
    </row>
    <row r="29" spans="1:18">
      <c r="A29" s="234" t="s">
        <v>51</v>
      </c>
      <c r="B29" s="34">
        <f>IF(ISERROR(TER_gezond_ele_kWh/1000),0,TER_gezond_ele_kWh/1000)</f>
        <v>18615.223999999998</v>
      </c>
      <c r="C29" s="40">
        <f>IF(ISERROR(B29*3.6/1000000/'E Balans VL '!Z10*100),0,B29*3.6/1000000/'E Balans VL '!Z10*100)</f>
        <v>2.3814500513032364</v>
      </c>
      <c r="D29" s="240" t="s">
        <v>709</v>
      </c>
      <c r="F29" s="6"/>
    </row>
    <row r="30" spans="1:18">
      <c r="A30" s="234" t="s">
        <v>50</v>
      </c>
      <c r="B30" s="34">
        <f>IF(ISERROR(TER_ander_ele_kWh/1000),0,TER_ander_ele_kWh/1000)</f>
        <v>16016.562</v>
      </c>
      <c r="C30" s="40">
        <f>IF(ISERROR(B30*3.6/1000000/'E Balans VL '!Z14*100),0,B30*3.6/1000000/'E Balans VL '!Z14*100)</f>
        <v>1.1979038796910217</v>
      </c>
      <c r="D30" s="240" t="s">
        <v>709</v>
      </c>
      <c r="F30" s="6"/>
    </row>
    <row r="31" spans="1:18">
      <c r="A31" s="234" t="s">
        <v>55</v>
      </c>
      <c r="B31" s="34">
        <f>IF(ISERROR(TER_onderwijs_ele_kWh/1000),0,TER_onderwijs_ele_kWh/1000)</f>
        <v>9139.2330000000002</v>
      </c>
      <c r="C31" s="40">
        <f>IF(ISERROR(B31*3.6/1000000/'E Balans VL '!Z11*100),0,B31*3.6/1000000/'E Balans VL '!Z11*100)</f>
        <v>1.929760886282688</v>
      </c>
      <c r="D31" s="240" t="s">
        <v>709</v>
      </c>
    </row>
    <row r="32" spans="1:18">
      <c r="A32" s="234" t="s">
        <v>260</v>
      </c>
      <c r="B32" s="34">
        <f>IF(ISERROR(TER_rest_ele_kWh/1000),0,TER_rest_ele_kWh/1000)</f>
        <v>0</v>
      </c>
      <c r="C32" s="40">
        <f>IF(ISERROR(B32*3.6/1000000/'E Balans VL '!Z8*100),0,B32*3.6/1000000/'E Balans VL '!Z8*100)</f>
        <v>0</v>
      </c>
      <c r="D32" s="240" t="s">
        <v>709</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69203.551000000007</v>
      </c>
      <c r="C5" s="18">
        <f>IF(ISERROR('Eigen informatie GS &amp; warmtenet'!B59),0,'Eigen informatie GS &amp; warmtenet'!B59)</f>
        <v>0</v>
      </c>
      <c r="D5" s="31">
        <f>SUM(D6:D15)</f>
        <v>95714.220954000019</v>
      </c>
      <c r="E5" s="18">
        <f>SUM(E6:E15)</f>
        <v>839.22316727889245</v>
      </c>
      <c r="F5" s="18">
        <f>SUM(F6:F15)</f>
        <v>33804.569876145426</v>
      </c>
      <c r="G5" s="19"/>
      <c r="H5" s="18"/>
      <c r="I5" s="18"/>
      <c r="J5" s="18">
        <f>SUM(J6:J15)</f>
        <v>159.91296162691609</v>
      </c>
      <c r="K5" s="18"/>
      <c r="L5" s="18"/>
      <c r="M5" s="18"/>
      <c r="N5" s="18">
        <f>SUM(N6:N15)</f>
        <v>4341.8786544085615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4176.5450000000001</v>
      </c>
      <c r="C8" s="34"/>
      <c r="D8" s="38">
        <f>IF( ISERROR(IND_metaal_Gas_kWH/1000),0,IND_metaal_Gas_kWH/1000)*0.902</f>
        <v>4457.0056960000002</v>
      </c>
      <c r="E8" s="34">
        <f>C30*'E Balans VL '!I18/100/3.6*1000000</f>
        <v>38.03504264999215</v>
      </c>
      <c r="F8" s="34">
        <f>C30*'E Balans VL '!L18/100/3.6*1000000+C30*'E Balans VL '!N18/100/3.6*1000000</f>
        <v>550.85456827250948</v>
      </c>
      <c r="G8" s="35"/>
      <c r="H8" s="34"/>
      <c r="I8" s="34"/>
      <c r="J8" s="41">
        <f>C30*'E Balans VL '!D18/100/3.6*1000000+C30*'E Balans VL '!E18/100/3.6*1000000</f>
        <v>68.48927387502259</v>
      </c>
      <c r="K8" s="34"/>
      <c r="L8" s="34"/>
      <c r="M8" s="34"/>
      <c r="N8" s="34">
        <f>C30*'E Balans VL '!Y18/100/3.6*1000000</f>
        <v>14.353126036754736</v>
      </c>
      <c r="O8" s="34"/>
      <c r="P8" s="34"/>
      <c r="R8" s="33"/>
    </row>
    <row r="9" spans="1:18">
      <c r="A9" s="6" t="s">
        <v>33</v>
      </c>
      <c r="B9" s="38">
        <f t="shared" si="0"/>
        <v>34579.629000000001</v>
      </c>
      <c r="C9" s="34"/>
      <c r="D9" s="38">
        <f>IF( ISERROR(IND_andere_gas_kWh/1000),0,IND_andere_gas_kWh/1000)*0.902</f>
        <v>16960.329452000002</v>
      </c>
      <c r="E9" s="34">
        <f>C31*'E Balans VL '!I19/100/3.6*1000000</f>
        <v>199.87542311813485</v>
      </c>
      <c r="F9" s="34">
        <f>C31*'E Balans VL '!L19/100/3.6*1000000+C31*'E Balans VL '!N19/100/3.6*1000000</f>
        <v>27509.758775404305</v>
      </c>
      <c r="G9" s="35"/>
      <c r="H9" s="34"/>
      <c r="I9" s="34"/>
      <c r="J9" s="41">
        <f>C31*'E Balans VL '!D19/100/3.6*1000000+C31*'E Balans VL '!E19/100/3.6*1000000</f>
        <v>3.2708488037602286</v>
      </c>
      <c r="K9" s="34"/>
      <c r="L9" s="34"/>
      <c r="M9" s="34"/>
      <c r="N9" s="34">
        <f>C31*'E Balans VL '!Y19/100/3.6*1000000</f>
        <v>2619.9302009002645</v>
      </c>
      <c r="O9" s="34"/>
      <c r="P9" s="34"/>
      <c r="R9" s="33"/>
    </row>
    <row r="10" spans="1:18">
      <c r="A10" s="6" t="s">
        <v>41</v>
      </c>
      <c r="B10" s="38">
        <f t="shared" si="0"/>
        <v>12149.156999999999</v>
      </c>
      <c r="C10" s="34"/>
      <c r="D10" s="38">
        <f>IF( ISERROR(IND_voed_gas_kWh/1000),0,IND_voed_gas_kWh/1000)*0.902</f>
        <v>11191.830188</v>
      </c>
      <c r="E10" s="34">
        <f>C32*'E Balans VL '!I20/100/3.6*1000000</f>
        <v>119.45799734305817</v>
      </c>
      <c r="F10" s="34">
        <f>C32*'E Balans VL '!L20/100/3.6*1000000+C32*'E Balans VL '!N20/100/3.6*1000000</f>
        <v>1349.3224634759786</v>
      </c>
      <c r="G10" s="35"/>
      <c r="H10" s="34"/>
      <c r="I10" s="34"/>
      <c r="J10" s="41">
        <f>C32*'E Balans VL '!D20/100/3.6*1000000+C32*'E Balans VL '!E20/100/3.6*1000000</f>
        <v>4.7885343122404549E-2</v>
      </c>
      <c r="K10" s="34"/>
      <c r="L10" s="34"/>
      <c r="M10" s="34"/>
      <c r="N10" s="34">
        <f>C32*'E Balans VL '!Y20/100/3.6*1000000</f>
        <v>179.90043734041191</v>
      </c>
      <c r="O10" s="34"/>
      <c r="P10" s="34"/>
      <c r="R10" s="33"/>
    </row>
    <row r="11" spans="1:18">
      <c r="A11" s="6" t="s">
        <v>40</v>
      </c>
      <c r="B11" s="38">
        <f t="shared" si="0"/>
        <v>451.17500000000001</v>
      </c>
      <c r="C11" s="34"/>
      <c r="D11" s="38">
        <f>IF( ISERROR(IND_textiel_gas_kWh/1000),0,IND_textiel_gas_kWh/1000)*0.902</f>
        <v>261.43117000000001</v>
      </c>
      <c r="E11" s="34">
        <f>C33*'E Balans VL '!I21/100/3.6*1000000</f>
        <v>0.87854249092375969</v>
      </c>
      <c r="F11" s="34">
        <f>C33*'E Balans VL '!L21/100/3.6*1000000+C33*'E Balans VL '!N21/100/3.6*1000000</f>
        <v>14.881232032378753</v>
      </c>
      <c r="G11" s="35"/>
      <c r="H11" s="34"/>
      <c r="I11" s="34"/>
      <c r="J11" s="41">
        <f>C33*'E Balans VL '!D21/100/3.6*1000000+C33*'E Balans VL '!E21/100/3.6*1000000</f>
        <v>0</v>
      </c>
      <c r="K11" s="34"/>
      <c r="L11" s="34"/>
      <c r="M11" s="34"/>
      <c r="N11" s="34">
        <f>C33*'E Balans VL '!Y21/100/3.6*1000000</f>
        <v>4.6798714202405023</v>
      </c>
      <c r="O11" s="34"/>
      <c r="P11" s="34"/>
      <c r="R11" s="33"/>
    </row>
    <row r="12" spans="1:18">
      <c r="A12" s="6" t="s">
        <v>37</v>
      </c>
      <c r="B12" s="38">
        <f t="shared" si="0"/>
        <v>13288.496999999999</v>
      </c>
      <c r="C12" s="34"/>
      <c r="D12" s="38">
        <f>IF( ISERROR(IND_min_gas_kWh/1000),0,IND_min_gas_kWh/1000)*0.902</f>
        <v>58320.354224000002</v>
      </c>
      <c r="E12" s="34">
        <f>C34*'E Balans VL '!I22/100/3.6*1000000</f>
        <v>336.88704576500385</v>
      </c>
      <c r="F12" s="34">
        <f>C34*'E Balans VL '!L22/100/3.6*1000000+C34*'E Balans VL '!N22/100/3.6*1000000</f>
        <v>3676.9734381559351</v>
      </c>
      <c r="G12" s="35"/>
      <c r="H12" s="34"/>
      <c r="I12" s="34"/>
      <c r="J12" s="41">
        <f>C34*'E Balans VL '!D22/100/3.6*1000000+C34*'E Balans VL '!E22/100/3.6*1000000</f>
        <v>87.75990452380168</v>
      </c>
      <c r="K12" s="34"/>
      <c r="L12" s="34"/>
      <c r="M12" s="34"/>
      <c r="N12" s="34">
        <f>C34*'E Balans VL '!Y22/100/3.6*1000000</f>
        <v>0</v>
      </c>
      <c r="O12" s="34"/>
      <c r="P12" s="34"/>
      <c r="R12" s="33"/>
    </row>
    <row r="13" spans="1:18">
      <c r="A13" s="6" t="s">
        <v>39</v>
      </c>
      <c r="B13" s="38">
        <f t="shared" si="0"/>
        <v>4132.924</v>
      </c>
      <c r="C13" s="34"/>
      <c r="D13" s="38">
        <f>IF( ISERROR(IND_papier_gas_kWh/1000),0,IND_papier_gas_kWh/1000)*0.902</f>
        <v>3489.1236160000003</v>
      </c>
      <c r="E13" s="34">
        <f>C35*'E Balans VL '!I23/100/3.6*1000000</f>
        <v>140.77338379237943</v>
      </c>
      <c r="F13" s="34">
        <f>C35*'E Balans VL '!L23/100/3.6*1000000+C35*'E Balans VL '!N23/100/3.6*1000000</f>
        <v>682.66204716164941</v>
      </c>
      <c r="G13" s="35"/>
      <c r="H13" s="34"/>
      <c r="I13" s="34"/>
      <c r="J13" s="41">
        <f>C35*'E Balans VL '!D23/100/3.6*1000000+C35*'E Balans VL '!E23/100/3.6*1000000</f>
        <v>0</v>
      </c>
      <c r="K13" s="34"/>
      <c r="L13" s="34"/>
      <c r="M13" s="34"/>
      <c r="N13" s="34">
        <f>C35*'E Balans VL '!Y23/100/3.6*1000000</f>
        <v>1520.8051955703659</v>
      </c>
      <c r="O13" s="34"/>
      <c r="P13" s="34"/>
      <c r="R13" s="33"/>
    </row>
    <row r="14" spans="1:18">
      <c r="A14" s="6" t="s">
        <v>34</v>
      </c>
      <c r="B14" s="38">
        <f t="shared" si="0"/>
        <v>357.00900000000001</v>
      </c>
      <c r="C14" s="34"/>
      <c r="D14" s="38">
        <f>IF( ISERROR(IND_chemie_gas_kWh/1000),0,IND_chemie_gas_kWh/1000)*0.902</f>
        <v>1010.580956</v>
      </c>
      <c r="E14" s="34">
        <f>C36*'E Balans VL '!I24/100/3.6*1000000</f>
        <v>2.6991789351568451</v>
      </c>
      <c r="F14" s="34">
        <f>C36*'E Balans VL '!L24/100/3.6*1000000+C36*'E Balans VL '!N24/100/3.6*1000000</f>
        <v>6.605653563392659</v>
      </c>
      <c r="G14" s="35"/>
      <c r="H14" s="34"/>
      <c r="I14" s="34"/>
      <c r="J14" s="41">
        <f>C36*'E Balans VL '!D24/100/3.6*1000000+C36*'E Balans VL '!E24/100/3.6*1000000</f>
        <v>0</v>
      </c>
      <c r="K14" s="34"/>
      <c r="L14" s="34"/>
      <c r="M14" s="34"/>
      <c r="N14" s="34">
        <f>C36*'E Balans VL '!Y24/100/3.6*1000000</f>
        <v>0.10352340411649216</v>
      </c>
      <c r="O14" s="34"/>
      <c r="P14" s="34"/>
      <c r="R14" s="33"/>
    </row>
    <row r="15" spans="1:18">
      <c r="A15" s="6" t="s">
        <v>270</v>
      </c>
      <c r="B15" s="38">
        <f t="shared" si="0"/>
        <v>68.614999999999995</v>
      </c>
      <c r="C15" s="34"/>
      <c r="D15" s="38">
        <f>IF( ISERROR(IND_rest_gas_kWh/1000),0,IND_rest_gas_kWh/1000)*0.902</f>
        <v>23.565652</v>
      </c>
      <c r="E15" s="34">
        <f>C37*'E Balans VL '!I15/100/3.6*1000000</f>
        <v>0.61655318424339334</v>
      </c>
      <c r="F15" s="34">
        <f>C37*'E Balans VL '!L15/100/3.6*1000000+C37*'E Balans VL '!N15/100/3.6*1000000</f>
        <v>13.511698079277581</v>
      </c>
      <c r="G15" s="35"/>
      <c r="H15" s="34"/>
      <c r="I15" s="34"/>
      <c r="J15" s="41">
        <f>C37*'E Balans VL '!D15/100/3.6*1000000+C37*'E Balans VL '!E15/100/3.6*1000000</f>
        <v>0.34504908120915939</v>
      </c>
      <c r="K15" s="34"/>
      <c r="L15" s="34"/>
      <c r="M15" s="34"/>
      <c r="N15" s="34">
        <f>C37*'E Balans VL '!Y15/100/3.6*1000000</f>
        <v>2.1062997364070539</v>
      </c>
      <c r="O15" s="34"/>
      <c r="P15" s="34"/>
      <c r="R15" s="33"/>
    </row>
    <row r="16" spans="1:18">
      <c r="A16" s="17" t="s">
        <v>502</v>
      </c>
      <c r="B16" s="250">
        <f>'lokale energieproductie'!N89+'lokale energieproductie'!N58</f>
        <v>225</v>
      </c>
      <c r="C16" s="250">
        <f>'lokale energieproductie'!O89+'lokale energieproductie'!O58</f>
        <v>321.42857142857144</v>
      </c>
      <c r="D16" s="312">
        <f>('lokale energieproductie'!P58+'lokale energieproductie'!P89)*(-1)</f>
        <v>-642.85714285714289</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69428.551000000007</v>
      </c>
      <c r="C18" s="22">
        <f>C5+C16</f>
        <v>321.42857142857144</v>
      </c>
      <c r="D18" s="22">
        <f>MAX((D5+D16),0)</f>
        <v>95071.363811142874</v>
      </c>
      <c r="E18" s="22">
        <f>MAX((E5+E16),0)</f>
        <v>839.22316727889245</v>
      </c>
      <c r="F18" s="22">
        <f>MAX((F5+F16),0)</f>
        <v>33804.569876145426</v>
      </c>
      <c r="G18" s="22"/>
      <c r="H18" s="22"/>
      <c r="I18" s="22"/>
      <c r="J18" s="22">
        <f>MAX((J5+J16),0)</f>
        <v>159.91296162691609</v>
      </c>
      <c r="K18" s="22"/>
      <c r="L18" s="22">
        <f>MAX((L5+L16),0)</f>
        <v>0</v>
      </c>
      <c r="M18" s="22"/>
      <c r="N18" s="22">
        <f>MAX((N5+N16),0)</f>
        <v>4341.8786544085615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0.20233838689763484</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14048.061013980174</v>
      </c>
      <c r="C22" s="24">
        <f ca="1">C18*C20</f>
        <v>76.386554621848759</v>
      </c>
      <c r="D22" s="24">
        <f>D18*D20</f>
        <v>19204.41548985086</v>
      </c>
      <c r="E22" s="24">
        <f>E18*E20</f>
        <v>190.50365897230859</v>
      </c>
      <c r="F22" s="24">
        <f>F18*F20</f>
        <v>9025.8201569308294</v>
      </c>
      <c r="G22" s="24"/>
      <c r="H22" s="24"/>
      <c r="I22" s="24"/>
      <c r="J22" s="24">
        <f>J18*J20</f>
        <v>56.609188415928294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709</v>
      </c>
    </row>
    <row r="29" spans="1:18">
      <c r="A29" s="174" t="s">
        <v>38</v>
      </c>
      <c r="B29" s="38">
        <f>IF( ISERROR(IND_nonf_ele_kWh/1000),0,IND_nonf_ele_kWh/1000)</f>
        <v>0</v>
      </c>
      <c r="C29" s="40">
        <f>IF(ISERROR(B29*3.6/1000000/'E Balans VL '!Z17*100),0,B29*3.6/1000000/'E Balans VL '!Z17*100)</f>
        <v>0</v>
      </c>
      <c r="D29" s="240" t="s">
        <v>709</v>
      </c>
    </row>
    <row r="30" spans="1:18">
      <c r="A30" s="174" t="s">
        <v>36</v>
      </c>
      <c r="B30" s="38">
        <f>IF( ISERROR(IND_metaal_ele_kWh/1000),0,IND_metaal_ele_kWh/1000)</f>
        <v>4176.5450000000001</v>
      </c>
      <c r="C30" s="40">
        <f>IF(ISERROR(B30*3.6/1000000/'E Balans VL '!Z18*100),0,B30*3.6/1000000/'E Balans VL '!Z18*100)</f>
        <v>0.2323968009332027</v>
      </c>
      <c r="D30" s="240" t="s">
        <v>709</v>
      </c>
    </row>
    <row r="31" spans="1:18">
      <c r="A31" s="6" t="s">
        <v>33</v>
      </c>
      <c r="B31" s="38">
        <f>IF( ISERROR(IND_ander_ele_kWh/1000),0,IND_ander_ele_kWh/1000)</f>
        <v>34579.629000000001</v>
      </c>
      <c r="C31" s="40">
        <f>IF(ISERROR(B31*3.6/1000000/'E Balans VL '!Z19*100),0,B31*3.6/1000000/'E Balans VL '!Z19*100)</f>
        <v>1.6075161356364265</v>
      </c>
      <c r="D31" s="240" t="s">
        <v>709</v>
      </c>
    </row>
    <row r="32" spans="1:18">
      <c r="A32" s="174" t="s">
        <v>41</v>
      </c>
      <c r="B32" s="38">
        <f>IF( ISERROR(IND_voed_ele_kWh/1000),0,IND_voed_ele_kWh/1000)</f>
        <v>12149.156999999999</v>
      </c>
      <c r="C32" s="40">
        <f>IF(ISERROR(B32*3.6/1000000/'E Balans VL '!Z20*100),0,B32*3.6/1000000/'E Balans VL '!Z20*100)</f>
        <v>0.42944816368831706</v>
      </c>
      <c r="D32" s="240" t="s">
        <v>709</v>
      </c>
    </row>
    <row r="33" spans="1:5">
      <c r="A33" s="174" t="s">
        <v>40</v>
      </c>
      <c r="B33" s="38">
        <f>IF( ISERROR(IND_textiel_ele_kWh/1000),0,IND_textiel_ele_kWh/1000)</f>
        <v>451.17500000000001</v>
      </c>
      <c r="C33" s="40">
        <f>IF(ISERROR(B33*3.6/1000000/'E Balans VL '!Z21*100),0,B33*3.6/1000000/'E Balans VL '!Z21*100)</f>
        <v>6.0938029850854725E-2</v>
      </c>
      <c r="D33" s="240" t="s">
        <v>709</v>
      </c>
    </row>
    <row r="34" spans="1:5">
      <c r="A34" s="174" t="s">
        <v>37</v>
      </c>
      <c r="B34" s="38">
        <f>IF( ISERROR(IND_min_ele_kWh/1000),0,IND_min_ele_kWh/1000)</f>
        <v>13288.496999999999</v>
      </c>
      <c r="C34" s="40">
        <f>IF(ISERROR(B34*3.6/1000000/'E Balans VL '!Z22*100),0,B34*3.6/1000000/'E Balans VL '!Z22*100)</f>
        <v>2.670613174044278</v>
      </c>
      <c r="D34" s="240" t="s">
        <v>709</v>
      </c>
    </row>
    <row r="35" spans="1:5">
      <c r="A35" s="174" t="s">
        <v>39</v>
      </c>
      <c r="B35" s="38">
        <f>IF( ISERROR(IND_papier_ele_kWh/1000),0,IND_papier_ele_kWh/1000)</f>
        <v>4132.924</v>
      </c>
      <c r="C35" s="40">
        <f>IF(ISERROR(B35*3.6/1000000/'E Balans VL '!Z22*100),0,B35*3.6/1000000/'E Balans VL '!Z22*100)</f>
        <v>0.8306011794805519</v>
      </c>
      <c r="D35" s="240" t="s">
        <v>709</v>
      </c>
    </row>
    <row r="36" spans="1:5">
      <c r="A36" s="174" t="s">
        <v>34</v>
      </c>
      <c r="B36" s="38">
        <f>IF( ISERROR(IND_chemie_ele_kWh/1000),0,IND_chemie_ele_kWh/1000)</f>
        <v>357.00900000000001</v>
      </c>
      <c r="C36" s="40">
        <f>IF(ISERROR(B36*3.6/1000000/'E Balans VL '!Z24*100),0,B36*3.6/1000000/'E Balans VL '!Z24*100)</f>
        <v>8.7914265372594762E-3</v>
      </c>
      <c r="D36" s="240" t="s">
        <v>709</v>
      </c>
    </row>
    <row r="37" spans="1:5">
      <c r="A37" s="174" t="s">
        <v>270</v>
      </c>
      <c r="B37" s="38">
        <f>IF( ISERROR(IND_rest_ele_kWh/1000),0,IND_rest_ele_kWh/1000)</f>
        <v>68.614999999999995</v>
      </c>
      <c r="C37" s="40">
        <f>IF(ISERROR(B37*3.6/1000000/'E Balans VL '!Z15*100),0,B37*3.6/1000000/'E Balans VL '!Z15*100)</f>
        <v>5.1814460968210103E-4</v>
      </c>
      <c r="D37" s="240" t="s">
        <v>709</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3383.6849999999999</v>
      </c>
      <c r="C5" s="18">
        <f>'Eigen informatie GS &amp; warmtenet'!B60</f>
        <v>0</v>
      </c>
      <c r="D5" s="31">
        <f>IF(ISERROR(SUM(LB_lb_gas_kWh,LB_rest_gas_kWh,onbekend_gas_kWh)/1000),0,SUM(LB_lb_gas_kWh,LB_rest_gas_kWh,onbekend_gas_kWh)/1000)*0.902</f>
        <v>2317.3931440000001</v>
      </c>
      <c r="E5" s="18">
        <f>B17*'E Balans VL '!I25/3.6*1000000/100</f>
        <v>31.876579843319323</v>
      </c>
      <c r="F5" s="18">
        <f>B17*('E Balans VL '!L25/3.6*1000000+'E Balans VL '!N25/3.6*1000000)/100</f>
        <v>11042.087101430681</v>
      </c>
      <c r="G5" s="19"/>
      <c r="H5" s="18"/>
      <c r="I5" s="18"/>
      <c r="J5" s="18">
        <f>('E Balans VL '!D25+'E Balans VL '!E25)/3.6*1000000*landbouw!B17/100</f>
        <v>418.57829274067853</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3383.6849999999999</v>
      </c>
      <c r="C8" s="22">
        <f>C5+C6</f>
        <v>0</v>
      </c>
      <c r="D8" s="22">
        <f>MAX((D5+D6),0)</f>
        <v>2317.3931440000001</v>
      </c>
      <c r="E8" s="22">
        <f>MAX((E5+E6),0)</f>
        <v>31.876579843319323</v>
      </c>
      <c r="F8" s="22">
        <f>MAX((F5+F6),0)</f>
        <v>11042.087101430681</v>
      </c>
      <c r="G8" s="22"/>
      <c r="H8" s="22"/>
      <c r="I8" s="22"/>
      <c r="J8" s="22">
        <f>MAX((J5+J6),0)</f>
        <v>418.57829274067853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0.20233838689763484</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684.64936466972347</v>
      </c>
      <c r="C12" s="24">
        <f ca="1">C8*C10</f>
        <v>0</v>
      </c>
      <c r="D12" s="24">
        <f>D8*D10</f>
        <v>468.11341508800007</v>
      </c>
      <c r="E12" s="24">
        <f>E8*E10</f>
        <v>7.2359836244334863</v>
      </c>
      <c r="F12" s="24">
        <f>F8*F10</f>
        <v>2948.2372560819922</v>
      </c>
      <c r="G12" s="24"/>
      <c r="H12" s="24"/>
      <c r="I12" s="24"/>
      <c r="J12" s="24">
        <f>J8*J10</f>
        <v>148.17671563020019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0.45809687944213989</v>
      </c>
      <c r="C17" s="240" t="s">
        <v>709</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211.83112128369157</v>
      </c>
      <c r="C26" s="250">
        <f>B26*'GWP N2O_CH4'!B5</f>
        <v>4448.453546957523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71.41139853126819</v>
      </c>
      <c r="C27" s="250">
        <f>B27*'GWP N2O_CH4'!B5</f>
        <v>1499.639369156632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5.8522690099997092</v>
      </c>
      <c r="C28" s="250">
        <f>B28*'GWP N2O_CH4'!B4</f>
        <v>1814.2033930999098</v>
      </c>
      <c r="D28" s="51"/>
    </row>
    <row r="29" spans="1:4">
      <c r="A29" s="42" t="s">
        <v>277</v>
      </c>
      <c r="B29" s="250">
        <f>B34*'ha_N2O bodem landbouw'!B4</f>
        <v>16.777739886295301</v>
      </c>
      <c r="C29" s="250">
        <f>B29*'GWP N2O_CH4'!B4</f>
        <v>5201.0993647515434</v>
      </c>
      <c r="D29" s="51"/>
    </row>
    <row r="31" spans="1:4">
      <c r="A31" s="196" t="s">
        <v>509</v>
      </c>
      <c r="B31" s="206"/>
      <c r="C31" s="228"/>
    </row>
    <row r="32" spans="1:4">
      <c r="A32" s="239"/>
      <c r="B32" s="33"/>
      <c r="C32" s="240"/>
    </row>
    <row r="33" spans="1:5">
      <c r="A33" s="241"/>
      <c r="B33" s="227" t="s">
        <v>645</v>
      </c>
      <c r="C33" s="242" t="s">
        <v>182</v>
      </c>
    </row>
    <row r="34" spans="1:5">
      <c r="A34" s="260" t="s">
        <v>112</v>
      </c>
      <c r="B34" s="36">
        <f>IF(ISERROR(aantalCultuurgronden/'ha_N2O bodem landbouw'!B5),0,aantalCultuurgronden/'ha_N2O bodem landbouw'!B5)</f>
        <v>4.5294616015711664E-3</v>
      </c>
      <c r="C34" s="261" t="s">
        <v>644</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4.8998693423667466E-5</v>
      </c>
      <c r="C5" s="447" t="s">
        <v>211</v>
      </c>
      <c r="D5" s="432">
        <f>SUM(D6:D11)</f>
        <v>1.3480423261700043E-4</v>
      </c>
      <c r="E5" s="432">
        <f>SUM(E6:E11)</f>
        <v>8.4324961020638915E-3</v>
      </c>
      <c r="F5" s="445" t="s">
        <v>211</v>
      </c>
      <c r="G5" s="432">
        <f>SUM(G6:G11)</f>
        <v>1.6040973428036018</v>
      </c>
      <c r="H5" s="432">
        <f>SUM(H6:H11)</f>
        <v>0.30499621754352607</v>
      </c>
      <c r="I5" s="447" t="s">
        <v>211</v>
      </c>
      <c r="J5" s="447" t="s">
        <v>211</v>
      </c>
      <c r="K5" s="447" t="s">
        <v>211</v>
      </c>
      <c r="L5" s="447" t="s">
        <v>211</v>
      </c>
      <c r="M5" s="432">
        <f>SUM(M6:M11)</f>
        <v>8.5382382702851797E-2</v>
      </c>
      <c r="N5" s="447" t="s">
        <v>211</v>
      </c>
      <c r="O5" s="447" t="s">
        <v>211</v>
      </c>
      <c r="P5" s="448" t="s">
        <v>211</v>
      </c>
    </row>
    <row r="6" spans="1:18">
      <c r="A6" s="265" t="s">
        <v>767</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2.6084452042955859E-5</v>
      </c>
      <c r="C6" s="433"/>
      <c r="D6" s="433">
        <f>vkm_2011_GW_PW*SUMIFS(TableVerdeelsleutelVkm[CNG],TableVerdeelsleutelVkm[Voertuigtype],"Lichte voertuigen")*SUMIFS(TableECFTransport[EnergieConsumptieFactor (PJ per km)],TableECFTransport[Index],CONCATENATE($A6,"_CNG_CNG"))</f>
        <v>6.3698668727993213E-5</v>
      </c>
      <c r="E6" s="435">
        <f>vkm_2011_GW_PW*SUMIFS(TableVerdeelsleutelVkm[LPG],TableVerdeelsleutelVkm[Voertuigtype],"Lichte voertuigen")*SUMIFS(TableECFTransport[EnergieConsumptieFactor (PJ per km)],TableECFTransport[Index],CONCATENATE($A6,"_LPG_LPG"))</f>
        <v>3.7757278963281575E-3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0.54582588310018942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0.14304528267341768</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3.0848919437404327E-2</v>
      </c>
      <c r="N6" s="433"/>
      <c r="O6" s="433"/>
      <c r="P6" s="434"/>
    </row>
    <row r="7" spans="1:18">
      <c r="A7" s="265" t="s">
        <v>768</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0.21983061422482106</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8.8693082364450627E-5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9.7933858485999784E-3</v>
      </c>
      <c r="N7" s="433"/>
      <c r="O7" s="433"/>
      <c r="P7" s="434"/>
    </row>
    <row r="8" spans="1:18">
      <c r="A8" s="265" t="s">
        <v>769</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7.1161720543559904E-6</v>
      </c>
      <c r="C8" s="433"/>
      <c r="D8" s="435">
        <f>vkm_2011_NGW_PW*SUMIFS(TableVerdeelsleutelVkm[CNG],TableVerdeelsleutelVkm[Voertuigtype],"Lichte voertuigen")*SUMIFS(TableECFTransport[EnergieConsumptieFactor (PJ per km)],TableECFTransport[Index],CONCATENATE($A8,"_CNG_CNG"))</f>
        <v>3.1178746038826912E-5</v>
      </c>
      <c r="E8" s="435">
        <f>vkm_2011_NGW_PW*SUMIFS(TableVerdeelsleutelVkm[LPG],TableVerdeelsleutelVkm[Voertuigtype],"Lichte voertuigen")*SUMIFS(TableECFTransport[EnergieConsumptieFactor (PJ per km)],TableECFTransport[Index],CONCATENATE($A8,"_LPG_LPG"))</f>
        <v>1.6954601257336205E-3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0.23154106050596329</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6.7047822613574795E-2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1.337744902619932E-2</v>
      </c>
      <c r="N8" s="433"/>
      <c r="O8" s="433"/>
      <c r="P8" s="434"/>
    </row>
    <row r="9" spans="1:18">
      <c r="A9" s="265" t="s">
        <v>770</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3.072251711446883E-3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1.079256612677816E-6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1.3686053242545845E-4</v>
      </c>
      <c r="N9" s="433"/>
      <c r="O9" s="433"/>
      <c r="P9" s="434"/>
    </row>
    <row r="10" spans="1:18">
      <c r="A10" s="265" t="s">
        <v>771</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1.579806932635562E-5</v>
      </c>
      <c r="C10" s="433"/>
      <c r="D10" s="435">
        <f>vkm_2011_SW_PW*SUMIFS(TableVerdeelsleutelVkm[CNG],TableVerdeelsleutelVkm[Voertuigtype],"Lichte voertuigen")*SUMIFS(TableECFTransport[EnergieConsumptieFactor (PJ per km)],TableECFTransport[Index],CONCATENATE($A10,"_CNG_CNG"))</f>
        <v>3.992681785018031E-5</v>
      </c>
      <c r="E10" s="435">
        <f>vkm_2011_SW_PW*SUMIFS(TableVerdeelsleutelVkm[LPG],TableVerdeelsleutelVkm[Voertuigtype],"Lichte voertuigen")*SUMIFS(TableECFTransport[EnergieConsumptieFactor (PJ per km)],TableECFTransport[Index],CONCATENATE($A10,"_LPG_LPG"))</f>
        <v>2.9613080800021136E-3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0.39013577684528866</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9.4721868863197251E-2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2.1705625882907371E-2</v>
      </c>
      <c r="N10" s="433"/>
      <c r="O10" s="433"/>
      <c r="P10" s="434"/>
    </row>
    <row r="11" spans="1:18">
      <c r="A11" s="4" t="s">
        <v>772</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0.21369175641589244</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9.1471054359204142E-5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9.520141975315333E-3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13.610748173240962</v>
      </c>
      <c r="C14" s="22"/>
      <c r="D14" s="22">
        <f t="shared" ref="D14:M14" si="0">((D5)*10^9/3600)+D12</f>
        <v>37.44562017138901</v>
      </c>
      <c r="E14" s="22">
        <f t="shared" si="0"/>
        <v>2342.3600283510809</v>
      </c>
      <c r="F14" s="22"/>
      <c r="G14" s="22">
        <f t="shared" si="0"/>
        <v>445582.59522322268</v>
      </c>
      <c r="H14" s="22">
        <f t="shared" si="0"/>
        <v>84721.171539868345</v>
      </c>
      <c r="I14" s="22"/>
      <c r="J14" s="22"/>
      <c r="K14" s="22"/>
      <c r="L14" s="22"/>
      <c r="M14" s="22">
        <f t="shared" si="0"/>
        <v>23717.328528569946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0.20233838689763484</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2.7539768298435066</v>
      </c>
      <c r="C18" s="24"/>
      <c r="D18" s="24">
        <f t="shared" ref="D18:M18" si="1">D14*D16</f>
        <v>7.56401527462058</v>
      </c>
      <c r="E18" s="24">
        <f t="shared" si="1"/>
        <v>531.71572643569539</v>
      </c>
      <c r="F18" s="24"/>
      <c r="G18" s="24">
        <f t="shared" si="1"/>
        <v>118970.55292460046</v>
      </c>
      <c r="H18" s="24">
        <f t="shared" si="1"/>
        <v>21095.571713427216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779</v>
      </c>
      <c r="D23" s="974" t="s">
        <v>780</v>
      </c>
      <c r="E23" s="974" t="s">
        <v>781</v>
      </c>
      <c r="F23" s="974" t="s">
        <v>735</v>
      </c>
      <c r="G23" s="974" t="s">
        <v>782</v>
      </c>
      <c r="H23" s="974" t="s">
        <v>783</v>
      </c>
      <c r="I23" s="974" t="s">
        <v>119</v>
      </c>
      <c r="J23" s="974" t="s">
        <v>784</v>
      </c>
      <c r="K23" s="974" t="s">
        <v>785</v>
      </c>
      <c r="L23" s="975" t="s">
        <v>786</v>
      </c>
      <c r="M23" s="130" t="s">
        <v>182</v>
      </c>
      <c r="N23" s="271" t="s">
        <v>316</v>
      </c>
    </row>
    <row r="24" spans="1:18">
      <c r="A24" s="33" t="s">
        <v>773</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789</v>
      </c>
      <c r="N24" s="957">
        <f>SUM(B24:K24)</f>
        <v>1.0000891107096537</v>
      </c>
    </row>
    <row r="25" spans="1:18">
      <c r="A25" s="33" t="s">
        <v>774</v>
      </c>
      <c r="B25" s="977" t="s">
        <v>791</v>
      </c>
      <c r="C25" s="976">
        <v>0.99938226685951392</v>
      </c>
      <c r="D25" s="977"/>
      <c r="E25" s="977"/>
      <c r="F25" s="976" t="s">
        <v>791</v>
      </c>
      <c r="G25" s="977" t="s">
        <v>791</v>
      </c>
      <c r="H25" s="977"/>
      <c r="I25" s="977" t="s">
        <v>791</v>
      </c>
      <c r="J25" s="977">
        <v>6.1773314048609224E-4</v>
      </c>
      <c r="K25" s="977" t="s">
        <v>791</v>
      </c>
      <c r="L25" s="955"/>
      <c r="M25" s="272" t="s">
        <v>789</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805</v>
      </c>
      <c r="F31" s="54"/>
      <c r="G31" s="44"/>
      <c r="H31" s="44"/>
      <c r="I31" s="44"/>
      <c r="J31" s="44"/>
      <c r="K31" s="44"/>
      <c r="L31" s="177"/>
    </row>
    <row r="32" spans="1:18">
      <c r="A32" s="280" t="s">
        <v>321</v>
      </c>
      <c r="B32" s="281"/>
      <c r="C32" s="282"/>
      <c r="D32" s="281">
        <v>3.73E-2</v>
      </c>
      <c r="E32" s="333" t="s">
        <v>805</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790</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805</v>
      </c>
      <c r="F38" s="284"/>
      <c r="G38" s="59"/>
      <c r="H38" s="59"/>
      <c r="I38" s="59"/>
      <c r="J38" s="59"/>
      <c r="K38" s="59"/>
      <c r="L38" s="286"/>
    </row>
    <row r="39" spans="1:16">
      <c r="A39" s="280" t="s">
        <v>326</v>
      </c>
      <c r="B39" s="281"/>
      <c r="C39" s="282"/>
      <c r="D39" s="281">
        <v>2.8799999999999999E-2</v>
      </c>
      <c r="E39" s="333" t="s">
        <v>805</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790</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6.5981582590538795E-2</v>
      </c>
      <c r="H50" s="323">
        <f t="shared" si="2"/>
        <v>0</v>
      </c>
      <c r="I50" s="323">
        <f t="shared" si="2"/>
        <v>0</v>
      </c>
      <c r="J50" s="323">
        <f t="shared" si="2"/>
        <v>0</v>
      </c>
      <c r="K50" s="323">
        <f t="shared" si="2"/>
        <v>0</v>
      </c>
      <c r="L50" s="323">
        <f t="shared" si="2"/>
        <v>0</v>
      </c>
      <c r="M50" s="323">
        <f t="shared" si="2"/>
        <v>2.8973601349793167E-3</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6.5981582590538795E-2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2.8973601349793167E-3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18328.217386260774</v>
      </c>
      <c r="H54" s="22">
        <f t="shared" si="3"/>
        <v>0</v>
      </c>
      <c r="I54" s="22">
        <f t="shared" si="3"/>
        <v>0</v>
      </c>
      <c r="J54" s="22">
        <f t="shared" si="3"/>
        <v>0</v>
      </c>
      <c r="K54" s="22">
        <f t="shared" si="3"/>
        <v>0</v>
      </c>
      <c r="L54" s="22">
        <f t="shared" si="3"/>
        <v>0</v>
      </c>
      <c r="M54" s="22">
        <f t="shared" si="3"/>
        <v>804.82225971647676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0.20233838689763484</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4893.6340421316272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579</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829</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580</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3"/>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14237.021407305889</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19713.23303291628</v>
      </c>
      <c r="C6" s="1135"/>
      <c r="D6" s="1138"/>
      <c r="E6" s="1138"/>
      <c r="F6" s="1141"/>
      <c r="G6" s="1144"/>
      <c r="H6" s="1132"/>
      <c r="I6" s="1138"/>
      <c r="J6" s="1138"/>
      <c r="K6" s="1138"/>
      <c r="L6" s="1168"/>
      <c r="M6" s="560"/>
      <c r="N6" s="1180"/>
      <c r="O6" s="1181"/>
      <c r="Q6" s="558"/>
      <c r="R6" s="1165"/>
      <c r="S6" s="1165"/>
    </row>
    <row r="7" spans="1:19" s="548" customFormat="1">
      <c r="A7" s="561" t="s">
        <v>252</v>
      </c>
      <c r="B7" s="562">
        <f>N57</f>
        <v>2226.15</v>
      </c>
      <c r="C7" s="563">
        <f>B100</f>
        <v>2619.0000000000005</v>
      </c>
      <c r="D7" s="564"/>
      <c r="E7" s="564">
        <f>E100</f>
        <v>0</v>
      </c>
      <c r="F7" s="565"/>
      <c r="G7" s="566"/>
      <c r="H7" s="564">
        <f>I100</f>
        <v>0</v>
      </c>
      <c r="I7" s="564">
        <f>G100+F100</f>
        <v>0</v>
      </c>
      <c r="J7" s="564">
        <f>H100+D100+C100</f>
        <v>0</v>
      </c>
      <c r="K7" s="564"/>
      <c r="L7" s="567"/>
      <c r="M7" s="568">
        <f>C7*$C$11+D7*$D$11+E7*$E$11+F7*$F$11+G7*$G$11+H7*$H$11+I7*$I$11+J7*$J$11</f>
        <v>529.03800000000012</v>
      </c>
      <c r="N7" s="1180"/>
      <c r="O7" s="1181"/>
      <c r="Q7" s="558"/>
      <c r="R7" s="1165"/>
      <c r="S7" s="1165"/>
    </row>
    <row r="8" spans="1:19" s="548" customFormat="1" ht="17.45" customHeight="1" thickBot="1">
      <c r="A8" s="569" t="s">
        <v>248</v>
      </c>
      <c r="B8" s="570">
        <f>N88+'Eigen informatie GS &amp; warmtenet'!B12</f>
        <v>1237.5</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3535.7142857142858</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37413.90444022217</v>
      </c>
      <c r="C9" s="579">
        <f t="shared" ref="C9:L9" si="0">SUM(C7:C8)</f>
        <v>2619.0000000000005</v>
      </c>
      <c r="D9" s="579">
        <f t="shared" si="0"/>
        <v>0</v>
      </c>
      <c r="E9" s="579">
        <f t="shared" si="0"/>
        <v>0</v>
      </c>
      <c r="F9" s="579">
        <f t="shared" si="0"/>
        <v>0</v>
      </c>
      <c r="G9" s="579">
        <f t="shared" si="0"/>
        <v>0</v>
      </c>
      <c r="H9" s="579">
        <f t="shared" si="0"/>
        <v>0</v>
      </c>
      <c r="I9" s="579">
        <f t="shared" si="0"/>
        <v>0</v>
      </c>
      <c r="J9" s="579">
        <f t="shared" si="0"/>
        <v>3535.7142857142858</v>
      </c>
      <c r="K9" s="579">
        <f t="shared" si="0"/>
        <v>0</v>
      </c>
      <c r="L9" s="579">
        <f t="shared" si="0"/>
        <v>0</v>
      </c>
      <c r="M9" s="580">
        <f>SUM(M4:M8)</f>
        <v>529.03800000000012</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3180.2142857142858</v>
      </c>
      <c r="C16" s="595">
        <f>B101</f>
        <v>3741.428571428572</v>
      </c>
      <c r="D16" s="596"/>
      <c r="E16" s="596">
        <f>E101</f>
        <v>0</v>
      </c>
      <c r="F16" s="597"/>
      <c r="G16" s="598"/>
      <c r="H16" s="595">
        <f>I101</f>
        <v>0</v>
      </c>
      <c r="I16" s="596">
        <f>G101+F101</f>
        <v>0</v>
      </c>
      <c r="J16" s="596">
        <f>H101+D101+C101</f>
        <v>0</v>
      </c>
      <c r="K16" s="596"/>
      <c r="L16" s="599"/>
      <c r="M16" s="600">
        <f>C16*$C$21+E16*$E$21+H16*$H$21+I16*$I$21+J16*$J$21+D16*$D$21+F16*$F$21+G16*$G$21+K16*$K$21+L16*$L$21</f>
        <v>755.76857142857159</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3180.2142857142858</v>
      </c>
      <c r="C19" s="578">
        <f>SUM(C16:C18)</f>
        <v>3741.428571428572</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755.76857142857159</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63.75">
      <c r="A27" s="609"/>
      <c r="B27" s="840">
        <v>71022</v>
      </c>
      <c r="C27" s="840">
        <v>3500</v>
      </c>
      <c r="D27" s="657" t="s">
        <v>877</v>
      </c>
      <c r="E27" s="656" t="s">
        <v>878</v>
      </c>
      <c r="F27" s="656" t="s">
        <v>879</v>
      </c>
      <c r="G27" s="656" t="s">
        <v>880</v>
      </c>
      <c r="H27" s="656" t="s">
        <v>881</v>
      </c>
      <c r="I27" s="656" t="s">
        <v>878</v>
      </c>
      <c r="J27" s="839">
        <v>39310</v>
      </c>
      <c r="K27" s="839">
        <v>39508</v>
      </c>
      <c r="L27" s="656" t="s">
        <v>882</v>
      </c>
      <c r="M27" s="656">
        <v>4.7</v>
      </c>
      <c r="N27" s="656">
        <v>21.150000000000002</v>
      </c>
      <c r="O27" s="656">
        <v>30.214285714285719</v>
      </c>
      <c r="P27" s="656">
        <v>60.428571428571438</v>
      </c>
      <c r="Q27" s="656">
        <v>0</v>
      </c>
      <c r="R27" s="656">
        <v>0</v>
      </c>
      <c r="S27" s="656">
        <v>0</v>
      </c>
      <c r="T27" s="656">
        <v>0</v>
      </c>
      <c r="U27" s="656">
        <v>0</v>
      </c>
      <c r="V27" s="656">
        <v>0</v>
      </c>
      <c r="W27" s="656"/>
      <c r="X27" s="656">
        <v>1600</v>
      </c>
      <c r="Y27" s="656" t="s">
        <v>50</v>
      </c>
      <c r="Z27" s="658" t="s">
        <v>156</v>
      </c>
    </row>
    <row r="28" spans="1:26" s="610" customFormat="1" ht="38.25">
      <c r="A28" s="609"/>
      <c r="B28" s="840">
        <v>71022</v>
      </c>
      <c r="C28" s="840">
        <v>3500</v>
      </c>
      <c r="D28" s="657" t="s">
        <v>883</v>
      </c>
      <c r="E28" s="656" t="s">
        <v>884</v>
      </c>
      <c r="F28" s="656" t="s">
        <v>885</v>
      </c>
      <c r="G28" s="656" t="s">
        <v>880</v>
      </c>
      <c r="H28" s="656" t="s">
        <v>881</v>
      </c>
      <c r="I28" s="656" t="s">
        <v>884</v>
      </c>
      <c r="J28" s="839">
        <v>39365</v>
      </c>
      <c r="K28" s="839">
        <v>39471</v>
      </c>
      <c r="L28" s="656" t="s">
        <v>882</v>
      </c>
      <c r="M28" s="656">
        <v>220</v>
      </c>
      <c r="N28" s="656">
        <v>990</v>
      </c>
      <c r="O28" s="656">
        <v>1414.2857142857142</v>
      </c>
      <c r="P28" s="656">
        <v>2828.5714285714289</v>
      </c>
      <c r="Q28" s="656">
        <v>0</v>
      </c>
      <c r="R28" s="656">
        <v>0</v>
      </c>
      <c r="S28" s="656">
        <v>0</v>
      </c>
      <c r="T28" s="656">
        <v>0</v>
      </c>
      <c r="U28" s="656">
        <v>0</v>
      </c>
      <c r="V28" s="656">
        <v>0</v>
      </c>
      <c r="W28" s="656"/>
      <c r="X28" s="656">
        <v>1500</v>
      </c>
      <c r="Y28" s="656" t="s">
        <v>51</v>
      </c>
      <c r="Z28" s="658" t="s">
        <v>156</v>
      </c>
    </row>
    <row r="29" spans="1:26" s="610" customFormat="1" ht="38.25">
      <c r="A29" s="609"/>
      <c r="B29" s="840">
        <v>71022</v>
      </c>
      <c r="C29" s="840">
        <v>3511</v>
      </c>
      <c r="D29" s="657" t="s">
        <v>886</v>
      </c>
      <c r="E29" s="656" t="s">
        <v>887</v>
      </c>
      <c r="F29" s="656" t="s">
        <v>888</v>
      </c>
      <c r="G29" s="656" t="s">
        <v>880</v>
      </c>
      <c r="H29" s="656" t="s">
        <v>881</v>
      </c>
      <c r="I29" s="656" t="s">
        <v>887</v>
      </c>
      <c r="J29" s="839">
        <v>40424</v>
      </c>
      <c r="K29" s="839">
        <v>40725</v>
      </c>
      <c r="L29" s="656" t="s">
        <v>882</v>
      </c>
      <c r="M29" s="656">
        <v>50</v>
      </c>
      <c r="N29" s="656">
        <v>225</v>
      </c>
      <c r="O29" s="656">
        <v>321.42857142857144</v>
      </c>
      <c r="P29" s="656">
        <v>642.85714285714289</v>
      </c>
      <c r="Q29" s="656">
        <v>0</v>
      </c>
      <c r="R29" s="656">
        <v>0</v>
      </c>
      <c r="S29" s="656">
        <v>0</v>
      </c>
      <c r="T29" s="656">
        <v>0</v>
      </c>
      <c r="U29" s="656">
        <v>0</v>
      </c>
      <c r="V29" s="656">
        <v>0</v>
      </c>
      <c r="W29" s="656"/>
      <c r="X29" s="656">
        <v>800</v>
      </c>
      <c r="Y29" s="656" t="s">
        <v>36</v>
      </c>
      <c r="Z29" s="658" t="s">
        <v>391</v>
      </c>
    </row>
    <row r="30" spans="1:26" s="610" customFormat="1" ht="38.25">
      <c r="A30" s="609"/>
      <c r="B30" s="840">
        <v>71022</v>
      </c>
      <c r="C30" s="840">
        <v>3500</v>
      </c>
      <c r="D30" s="657" t="s">
        <v>889</v>
      </c>
      <c r="E30" s="656" t="s">
        <v>890</v>
      </c>
      <c r="F30" s="656" t="s">
        <v>891</v>
      </c>
      <c r="G30" s="656" t="s">
        <v>880</v>
      </c>
      <c r="H30" s="656" t="s">
        <v>881</v>
      </c>
      <c r="I30" s="656" t="s">
        <v>890</v>
      </c>
      <c r="J30" s="839">
        <v>40904</v>
      </c>
      <c r="K30" s="839">
        <v>40904</v>
      </c>
      <c r="L30" s="656" t="s">
        <v>882</v>
      </c>
      <c r="M30" s="656">
        <v>220</v>
      </c>
      <c r="N30" s="656">
        <v>990</v>
      </c>
      <c r="O30" s="656">
        <v>1414.2857142857142</v>
      </c>
      <c r="P30" s="656">
        <v>2828.5714285714289</v>
      </c>
      <c r="Q30" s="656">
        <v>0</v>
      </c>
      <c r="R30" s="656">
        <v>0</v>
      </c>
      <c r="S30" s="656">
        <v>0</v>
      </c>
      <c r="T30" s="656">
        <v>0</v>
      </c>
      <c r="U30" s="656">
        <v>0</v>
      </c>
      <c r="V30" s="656">
        <v>0</v>
      </c>
      <c r="W30" s="656"/>
      <c r="X30" s="656">
        <v>1500</v>
      </c>
      <c r="Y30" s="656" t="s">
        <v>51</v>
      </c>
      <c r="Z30" s="658" t="s">
        <v>156</v>
      </c>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494.7</v>
      </c>
      <c r="N57" s="614">
        <f>SUM(N27:N56)</f>
        <v>2226.15</v>
      </c>
      <c r="O57" s="614">
        <f t="shared" ref="O57:W57" si="2">SUM(O27:O56)</f>
        <v>3180.2142857142858</v>
      </c>
      <c r="P57" s="614">
        <f t="shared" si="2"/>
        <v>6360.4285714285725</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50</v>
      </c>
      <c r="N58" s="614">
        <f t="shared" ref="N58:W58" si="3">SUMIF($Z$27:$Z$56,"industrie",N27:N56)</f>
        <v>225</v>
      </c>
      <c r="O58" s="614">
        <f t="shared" si="3"/>
        <v>321.42857142857144</v>
      </c>
      <c r="P58" s="614">
        <f t="shared" si="3"/>
        <v>642.85714285714289</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444.7</v>
      </c>
      <c r="N59" s="614">
        <f ca="1">SUMIF($Z$27:AB56,"tertiair",N27:N56)</f>
        <v>2001.15</v>
      </c>
      <c r="O59" s="614">
        <f ca="1">SUMIF($Z$27:AC56,"tertiair",O27:O56)</f>
        <v>2858.7857142857142</v>
      </c>
      <c r="P59" s="614">
        <f ca="1">SUMIF($Z$27:AD56,"tertiair",P27:P56)</f>
        <v>5717.5714285714294</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63.75">
      <c r="A63" s="611"/>
      <c r="B63" s="840">
        <v>71022</v>
      </c>
      <c r="C63" s="840">
        <v>3511</v>
      </c>
      <c r="D63" s="659" t="s">
        <v>892</v>
      </c>
      <c r="E63" s="659" t="s">
        <v>893</v>
      </c>
      <c r="F63" s="659" t="s">
        <v>894</v>
      </c>
      <c r="G63" s="659" t="s">
        <v>895</v>
      </c>
      <c r="H63" s="659" t="s">
        <v>896</v>
      </c>
      <c r="I63" s="659" t="s">
        <v>897</v>
      </c>
      <c r="J63" s="839">
        <v>32143</v>
      </c>
      <c r="K63" s="839">
        <v>37316</v>
      </c>
      <c r="L63" s="659" t="s">
        <v>882</v>
      </c>
      <c r="M63" s="659">
        <v>275</v>
      </c>
      <c r="N63" s="659">
        <v>1237.5</v>
      </c>
      <c r="O63" s="659">
        <v>0</v>
      </c>
      <c r="P63" s="659">
        <v>0</v>
      </c>
      <c r="Q63" s="659">
        <v>3535.7142857142858</v>
      </c>
      <c r="R63" s="659">
        <v>0</v>
      </c>
      <c r="S63" s="659">
        <v>0</v>
      </c>
      <c r="T63" s="659">
        <v>0</v>
      </c>
      <c r="U63" s="659">
        <v>0</v>
      </c>
      <c r="V63" s="659">
        <v>0</v>
      </c>
      <c r="W63" s="659"/>
      <c r="X63" s="659">
        <v>1600</v>
      </c>
      <c r="Y63" s="659" t="s">
        <v>50</v>
      </c>
      <c r="Z63" s="660" t="s">
        <v>156</v>
      </c>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275</v>
      </c>
      <c r="N88" s="614">
        <f t="shared" ref="N88:W88" si="5">SUM(N63:N87)</f>
        <v>1237.5</v>
      </c>
      <c r="O88" s="614">
        <f t="shared" si="5"/>
        <v>0</v>
      </c>
      <c r="P88" s="614">
        <f t="shared" si="5"/>
        <v>0</v>
      </c>
      <c r="Q88" s="614">
        <f t="shared" si="5"/>
        <v>3535.7142857142858</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275</v>
      </c>
      <c r="N90" s="614">
        <f t="shared" ref="N90:W90" si="7">SUMIF($Z$63:$Z$88,"tertiair",N63:N88)</f>
        <v>1237.5</v>
      </c>
      <c r="O90" s="614">
        <f t="shared" si="7"/>
        <v>0</v>
      </c>
      <c r="P90" s="614">
        <f t="shared" si="7"/>
        <v>0</v>
      </c>
      <c r="Q90" s="614">
        <f t="shared" si="7"/>
        <v>3535.7142857142858</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2619.0000000000005</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3741.428571428572</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796</v>
      </c>
      <c r="B2" s="983" t="s">
        <v>797</v>
      </c>
      <c r="C2" s="982" t="s">
        <v>193</v>
      </c>
      <c r="D2" s="982" t="s">
        <v>798</v>
      </c>
      <c r="E2" s="984"/>
      <c r="F2" s="985" t="s">
        <v>799</v>
      </c>
      <c r="G2" s="985" t="s">
        <v>800</v>
      </c>
      <c r="H2" s="985" t="s">
        <v>801</v>
      </c>
    </row>
    <row r="3" spans="1:8" s="12" customFormat="1">
      <c r="A3" s="982" t="s">
        <v>805</v>
      </c>
      <c r="B3" s="986" t="s">
        <v>825</v>
      </c>
      <c r="C3" s="982" t="s">
        <v>193</v>
      </c>
      <c r="D3" s="982" t="s">
        <v>826</v>
      </c>
      <c r="E3" s="984"/>
      <c r="F3" s="988" t="s">
        <v>806</v>
      </c>
      <c r="G3" s="988" t="s">
        <v>807</v>
      </c>
      <c r="H3" s="354" t="s">
        <v>808</v>
      </c>
    </row>
    <row r="4" spans="1:8" s="12" customFormat="1">
      <c r="A4" s="982" t="s">
        <v>790</v>
      </c>
      <c r="B4" s="986" t="s">
        <v>797</v>
      </c>
      <c r="C4" s="982" t="s">
        <v>193</v>
      </c>
      <c r="D4" s="987" t="s">
        <v>809</v>
      </c>
      <c r="E4" s="984"/>
      <c r="F4" s="985" t="s">
        <v>799</v>
      </c>
      <c r="G4" s="985" t="s">
        <v>800</v>
      </c>
      <c r="H4" s="985" t="s">
        <v>801</v>
      </c>
    </row>
    <row r="5" spans="1:8" s="955" customFormat="1">
      <c r="A5" s="982" t="s">
        <v>417</v>
      </c>
      <c r="B5" s="993">
        <v>2013</v>
      </c>
      <c r="C5" s="982" t="s">
        <v>417</v>
      </c>
      <c r="D5" s="982" t="s">
        <v>824</v>
      </c>
      <c r="E5" s="984"/>
      <c r="F5" s="985" t="s">
        <v>802</v>
      </c>
      <c r="G5" s="985" t="s">
        <v>803</v>
      </c>
      <c r="H5" s="985" t="s">
        <v>804</v>
      </c>
    </row>
    <row r="6" spans="1:8">
      <c r="A6" s="350" t="s">
        <v>405</v>
      </c>
      <c r="B6" s="351" t="s">
        <v>674</v>
      </c>
      <c r="C6" s="350" t="s">
        <v>405</v>
      </c>
      <c r="D6" s="350" t="s">
        <v>675</v>
      </c>
      <c r="E6" s="352"/>
      <c r="F6" s="353" t="s">
        <v>407</v>
      </c>
      <c r="G6" s="353" t="s">
        <v>408</v>
      </c>
      <c r="H6" s="354" t="s">
        <v>409</v>
      </c>
    </row>
    <row r="7" spans="1:8">
      <c r="A7" s="350" t="s">
        <v>410</v>
      </c>
      <c r="B7" s="351" t="s">
        <v>677</v>
      </c>
      <c r="C7" s="350" t="s">
        <v>410</v>
      </c>
      <c r="D7" s="350" t="s">
        <v>676</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810</v>
      </c>
      <c r="B9" s="848">
        <v>2012</v>
      </c>
      <c r="C9" s="355" t="s">
        <v>417</v>
      </c>
      <c r="D9" s="355" t="s">
        <v>811</v>
      </c>
      <c r="E9" s="989" t="s">
        <v>812</v>
      </c>
      <c r="F9" s="353"/>
      <c r="G9" s="353"/>
      <c r="H9" s="354"/>
    </row>
    <row r="10" spans="1:8" s="12" customFormat="1">
      <c r="A10" s="982" t="s">
        <v>844</v>
      </c>
      <c r="B10" s="986" t="s">
        <v>847</v>
      </c>
      <c r="C10" s="982" t="s">
        <v>846</v>
      </c>
      <c r="D10" s="982" t="s">
        <v>845</v>
      </c>
      <c r="E10" s="984" t="s">
        <v>843</v>
      </c>
      <c r="F10" s="988"/>
      <c r="G10" s="988"/>
      <c r="H10" s="354"/>
    </row>
    <row r="11" spans="1:8">
      <c r="A11" s="355" t="s">
        <v>648</v>
      </c>
      <c r="B11" s="351" t="s">
        <v>649</v>
      </c>
      <c r="C11" s="355" t="s">
        <v>653</v>
      </c>
      <c r="D11" s="355" t="s">
        <v>654</v>
      </c>
      <c r="E11" s="352"/>
      <c r="F11" s="353" t="s">
        <v>650</v>
      </c>
      <c r="G11" s="353" t="s">
        <v>651</v>
      </c>
      <c r="H11" s="354" t="s">
        <v>652</v>
      </c>
    </row>
    <row r="12" spans="1:8" s="955" customFormat="1">
      <c r="A12" s="982" t="s">
        <v>827</v>
      </c>
      <c r="B12" s="993">
        <v>2017</v>
      </c>
      <c r="C12" s="982" t="s">
        <v>436</v>
      </c>
      <c r="D12" s="982" t="s">
        <v>828</v>
      </c>
      <c r="E12" s="989"/>
      <c r="F12" s="988" t="s">
        <v>806</v>
      </c>
      <c r="G12" s="988" t="s">
        <v>807</v>
      </c>
      <c r="H12" s="354" t="s">
        <v>808</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860</v>
      </c>
      <c r="G15" s="353" t="s">
        <v>861</v>
      </c>
      <c r="H15" s="354" t="s">
        <v>862</v>
      </c>
    </row>
    <row r="16" spans="1:8" s="955" customFormat="1">
      <c r="A16" s="991" t="s">
        <v>817</v>
      </c>
      <c r="B16" s="992" t="s">
        <v>818</v>
      </c>
      <c r="C16" s="991" t="s">
        <v>819</v>
      </c>
      <c r="D16" s="991" t="s">
        <v>820</v>
      </c>
      <c r="E16" s="702"/>
      <c r="F16" s="988" t="s">
        <v>821</v>
      </c>
      <c r="G16" s="988" t="s">
        <v>822</v>
      </c>
      <c r="H16" s="354" t="s">
        <v>823</v>
      </c>
    </row>
    <row r="17" spans="1:9">
      <c r="A17" s="350" t="s">
        <v>524</v>
      </c>
      <c r="B17" s="351" t="s">
        <v>382</v>
      </c>
      <c r="C17" s="350" t="s">
        <v>380</v>
      </c>
      <c r="D17" s="359" t="s">
        <v>381</v>
      </c>
      <c r="E17" s="352" t="s">
        <v>383</v>
      </c>
      <c r="F17" s="990" t="s">
        <v>813</v>
      </c>
      <c r="G17" s="990" t="s">
        <v>814</v>
      </c>
      <c r="H17" s="354" t="s">
        <v>815</v>
      </c>
      <c r="I17" s="955"/>
    </row>
    <row r="18" spans="1:9" s="955" customFormat="1">
      <c r="A18" s="350" t="s">
        <v>524</v>
      </c>
      <c r="B18" s="351" t="s">
        <v>852</v>
      </c>
      <c r="C18" s="350" t="s">
        <v>856</v>
      </c>
      <c r="D18" s="359" t="s">
        <v>857</v>
      </c>
      <c r="E18" s="352"/>
      <c r="F18" s="990" t="s">
        <v>813</v>
      </c>
      <c r="G18" s="990" t="s">
        <v>814</v>
      </c>
      <c r="H18" s="354" t="s">
        <v>815</v>
      </c>
    </row>
    <row r="19" spans="1:9">
      <c r="A19" s="355" t="s">
        <v>523</v>
      </c>
      <c r="B19" s="358" t="s">
        <v>406</v>
      </c>
      <c r="C19" s="355" t="s">
        <v>436</v>
      </c>
      <c r="D19" s="355" t="s">
        <v>378</v>
      </c>
      <c r="E19" s="352"/>
      <c r="F19" s="985" t="s">
        <v>813</v>
      </c>
      <c r="G19" s="990" t="s">
        <v>814</v>
      </c>
      <c r="H19" s="354" t="s">
        <v>815</v>
      </c>
      <c r="I19" s="955"/>
    </row>
    <row r="20" spans="1:9">
      <c r="A20" s="355" t="s">
        <v>523</v>
      </c>
      <c r="B20" s="920" t="s">
        <v>674</v>
      </c>
      <c r="C20" s="355" t="s">
        <v>436</v>
      </c>
      <c r="D20" s="355" t="s">
        <v>708</v>
      </c>
      <c r="E20" s="352"/>
      <c r="F20" s="985" t="s">
        <v>813</v>
      </c>
      <c r="G20" s="990" t="s">
        <v>816</v>
      </c>
      <c r="H20" s="354" t="s">
        <v>815</v>
      </c>
    </row>
    <row r="21" spans="1:9" s="11" customFormat="1">
      <c r="A21" s="355" t="s">
        <v>522</v>
      </c>
      <c r="B21" s="358" t="s">
        <v>521</v>
      </c>
      <c r="C21" s="355" t="s">
        <v>520</v>
      </c>
      <c r="D21" s="355" t="s">
        <v>519</v>
      </c>
      <c r="E21" s="348"/>
      <c r="F21" s="349"/>
      <c r="G21" s="349"/>
      <c r="H21" s="356"/>
    </row>
    <row r="22" spans="1:9">
      <c r="A22" s="355" t="s">
        <v>193</v>
      </c>
      <c r="B22" s="848" t="s">
        <v>751</v>
      </c>
      <c r="C22" s="355" t="s">
        <v>437</v>
      </c>
      <c r="D22" s="355" t="s">
        <v>438</v>
      </c>
      <c r="E22" s="352"/>
      <c r="F22" s="353" t="s">
        <v>439</v>
      </c>
      <c r="G22" s="353" t="s">
        <v>440</v>
      </c>
      <c r="H22" s="354" t="s">
        <v>441</v>
      </c>
    </row>
    <row r="23" spans="1:9">
      <c r="A23" s="355" t="s">
        <v>418</v>
      </c>
      <c r="B23" s="351" t="s">
        <v>852</v>
      </c>
      <c r="C23" s="355" t="s">
        <v>418</v>
      </c>
      <c r="D23" s="355" t="s">
        <v>853</v>
      </c>
      <c r="E23" s="352" t="s">
        <v>433</v>
      </c>
      <c r="F23" s="353" t="s">
        <v>863</v>
      </c>
      <c r="G23" s="353" t="s">
        <v>864</v>
      </c>
      <c r="H23" s="354" t="s">
        <v>865</v>
      </c>
    </row>
    <row r="24" spans="1:9" s="955" customFormat="1">
      <c r="A24" s="355" t="s">
        <v>418</v>
      </c>
      <c r="B24" s="351" t="s">
        <v>854</v>
      </c>
      <c r="C24" s="355" t="s">
        <v>418</v>
      </c>
      <c r="D24" s="355" t="s">
        <v>855</v>
      </c>
      <c r="E24" s="352"/>
      <c r="F24" s="353" t="s">
        <v>866</v>
      </c>
      <c r="G24" s="353" t="s">
        <v>867</v>
      </c>
      <c r="H24" s="354" t="s">
        <v>868</v>
      </c>
    </row>
    <row r="25" spans="1:9">
      <c r="A25" s="350" t="s">
        <v>416</v>
      </c>
      <c r="B25" s="351" t="s">
        <v>678</v>
      </c>
      <c r="C25" s="350" t="s">
        <v>416</v>
      </c>
      <c r="D25" s="359" t="s">
        <v>679</v>
      </c>
      <c r="E25" s="352" t="s">
        <v>433</v>
      </c>
      <c r="F25" s="353" t="s">
        <v>869</v>
      </c>
      <c r="G25" s="353" t="s">
        <v>870</v>
      </c>
      <c r="H25" s="354" t="s">
        <v>871</v>
      </c>
    </row>
    <row r="26" spans="1:9" s="955" customFormat="1">
      <c r="A26" s="355" t="s">
        <v>416</v>
      </c>
      <c r="B26" s="351" t="s">
        <v>678</v>
      </c>
      <c r="C26" s="355" t="s">
        <v>416</v>
      </c>
      <c r="D26" s="355" t="s">
        <v>858</v>
      </c>
      <c r="E26" s="352" t="s">
        <v>859</v>
      </c>
      <c r="F26" s="353" t="s">
        <v>869</v>
      </c>
      <c r="G26" s="353" t="s">
        <v>870</v>
      </c>
      <c r="H26" s="354" t="s">
        <v>871</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637</v>
      </c>
      <c r="B1" s="821" t="s">
        <v>638</v>
      </c>
      <c r="C1" s="821" t="s">
        <v>640</v>
      </c>
      <c r="D1" s="821" t="s">
        <v>639</v>
      </c>
    </row>
    <row r="2" spans="1:4">
      <c r="A2" t="s">
        <v>657</v>
      </c>
      <c r="B2" s="819">
        <v>41877</v>
      </c>
      <c r="C2" t="s">
        <v>662</v>
      </c>
      <c r="D2" s="834" t="s">
        <v>658</v>
      </c>
    </row>
    <row r="3" spans="1:4">
      <c r="A3" t="s">
        <v>657</v>
      </c>
      <c r="B3" s="819">
        <v>41877</v>
      </c>
      <c r="C3" t="s">
        <v>660</v>
      </c>
      <c r="D3" s="820" t="s">
        <v>659</v>
      </c>
    </row>
    <row r="4" spans="1:4">
      <c r="A4" t="s">
        <v>657</v>
      </c>
      <c r="B4" s="819">
        <v>41877</v>
      </c>
      <c r="C4" t="s">
        <v>661</v>
      </c>
      <c r="D4" s="834" t="s">
        <v>663</v>
      </c>
    </row>
    <row r="5" spans="1:4">
      <c r="A5" t="s">
        <v>657</v>
      </c>
      <c r="B5" s="819">
        <v>41877</v>
      </c>
      <c r="C5" t="s">
        <v>664</v>
      </c>
      <c r="D5" s="820" t="s">
        <v>665</v>
      </c>
    </row>
    <row r="6" spans="1:4">
      <c r="A6" t="s">
        <v>657</v>
      </c>
      <c r="B6" s="819">
        <v>41883</v>
      </c>
      <c r="C6" t="s">
        <v>682</v>
      </c>
      <c r="D6" s="820" t="s">
        <v>683</v>
      </c>
    </row>
    <row r="7" spans="1:4">
      <c r="A7" t="s">
        <v>657</v>
      </c>
      <c r="B7" s="819">
        <v>41885</v>
      </c>
      <c r="C7" t="s">
        <v>699</v>
      </c>
      <c r="D7" s="820" t="s">
        <v>698</v>
      </c>
    </row>
    <row r="8" spans="1:4">
      <c r="A8" t="s">
        <v>657</v>
      </c>
      <c r="B8" s="819">
        <v>41885</v>
      </c>
      <c r="C8" t="s">
        <v>699</v>
      </c>
      <c r="D8" s="820" t="s">
        <v>700</v>
      </c>
    </row>
    <row r="9" spans="1:4">
      <c r="A9" t="s">
        <v>657</v>
      </c>
      <c r="B9" s="819">
        <v>41892</v>
      </c>
      <c r="C9" t="s">
        <v>701</v>
      </c>
      <c r="D9" s="820" t="s">
        <v>702</v>
      </c>
    </row>
    <row r="10" spans="1:4">
      <c r="A10" t="s">
        <v>657</v>
      </c>
      <c r="B10" s="819">
        <v>41892</v>
      </c>
      <c r="C10" t="s">
        <v>703</v>
      </c>
      <c r="D10" s="820" t="s">
        <v>704</v>
      </c>
    </row>
    <row r="11" spans="1:4">
      <c r="A11" t="s">
        <v>657</v>
      </c>
      <c r="B11" s="819">
        <v>41892</v>
      </c>
      <c r="C11" t="s">
        <v>714</v>
      </c>
      <c r="D11" s="820" t="s">
        <v>713</v>
      </c>
    </row>
    <row r="12" spans="1:4">
      <c r="A12" t="s">
        <v>657</v>
      </c>
      <c r="B12" s="948">
        <v>41914</v>
      </c>
      <c r="C12" s="950" t="s">
        <v>721</v>
      </c>
      <c r="D12" s="949" t="s">
        <v>715</v>
      </c>
    </row>
    <row r="13" spans="1:4">
      <c r="A13" t="s">
        <v>657</v>
      </c>
      <c r="B13" s="948">
        <v>41914</v>
      </c>
      <c r="C13" s="950" t="s">
        <v>722</v>
      </c>
      <c r="D13" s="949" t="s">
        <v>716</v>
      </c>
    </row>
    <row r="14" spans="1:4">
      <c r="A14" t="s">
        <v>657</v>
      </c>
      <c r="B14" s="948">
        <v>41914</v>
      </c>
      <c r="C14" s="947" t="s">
        <v>717</v>
      </c>
      <c r="D14" s="949" t="s">
        <v>718</v>
      </c>
    </row>
    <row r="15" spans="1:4">
      <c r="A15" t="s">
        <v>657</v>
      </c>
      <c r="B15" s="948">
        <v>41914</v>
      </c>
      <c r="C15" s="947" t="s">
        <v>719</v>
      </c>
      <c r="D15" s="949" t="s">
        <v>720</v>
      </c>
    </row>
    <row r="16" spans="1:4">
      <c r="A16" t="s">
        <v>657</v>
      </c>
      <c r="B16" s="952">
        <v>41914</v>
      </c>
      <c r="C16" s="951" t="s">
        <v>723</v>
      </c>
      <c r="D16" s="834" t="s">
        <v>724</v>
      </c>
    </row>
    <row r="17" spans="1:4">
      <c r="A17" s="955" t="s">
        <v>657</v>
      </c>
      <c r="B17" s="952">
        <v>41914</v>
      </c>
      <c r="C17" t="s">
        <v>738</v>
      </c>
      <c r="D17" s="954" t="s">
        <v>725</v>
      </c>
    </row>
    <row r="18" spans="1:4">
      <c r="A18" s="955" t="s">
        <v>657</v>
      </c>
      <c r="B18" s="952">
        <v>41914</v>
      </c>
      <c r="C18" t="s">
        <v>726</v>
      </c>
      <c r="D18" s="961" t="s">
        <v>727</v>
      </c>
    </row>
    <row r="19" spans="1:4">
      <c r="A19" s="955" t="s">
        <v>657</v>
      </c>
      <c r="B19" s="952">
        <v>41914</v>
      </c>
      <c r="C19" t="s">
        <v>728</v>
      </c>
      <c r="D19" s="961" t="s">
        <v>729</v>
      </c>
    </row>
    <row r="20" spans="1:4">
      <c r="A20" s="955" t="s">
        <v>657</v>
      </c>
      <c r="B20" s="952">
        <v>41914</v>
      </c>
      <c r="C20" t="s">
        <v>739</v>
      </c>
      <c r="D20" s="961" t="s">
        <v>730</v>
      </c>
    </row>
    <row r="21" spans="1:4">
      <c r="A21" s="955" t="s">
        <v>657</v>
      </c>
      <c r="B21" s="952">
        <v>41914</v>
      </c>
      <c r="C21" t="s">
        <v>731</v>
      </c>
      <c r="D21" s="960" t="s">
        <v>736</v>
      </c>
    </row>
    <row r="22" spans="1:4">
      <c r="A22" s="955" t="s">
        <v>657</v>
      </c>
      <c r="B22" s="952">
        <v>41914</v>
      </c>
      <c r="C22" t="s">
        <v>732</v>
      </c>
      <c r="D22" s="961" t="s">
        <v>733</v>
      </c>
    </row>
    <row r="23" spans="1:4">
      <c r="A23" s="955" t="s">
        <v>657</v>
      </c>
      <c r="B23" s="952">
        <v>41914</v>
      </c>
      <c r="C23" t="s">
        <v>737</v>
      </c>
      <c r="D23" s="961" t="s">
        <v>734</v>
      </c>
    </row>
    <row r="24" spans="1:4">
      <c r="A24" s="955" t="s">
        <v>657</v>
      </c>
      <c r="B24" s="952">
        <v>41925</v>
      </c>
      <c r="C24" t="s">
        <v>740</v>
      </c>
      <c r="D24" s="961" t="s">
        <v>741</v>
      </c>
    </row>
    <row r="25" spans="1:4">
      <c r="A25" t="s">
        <v>657</v>
      </c>
      <c r="B25" s="952">
        <v>41967</v>
      </c>
      <c r="C25" t="s">
        <v>746</v>
      </c>
      <c r="D25" s="960" t="s">
        <v>745</v>
      </c>
    </row>
    <row r="26" spans="1:4">
      <c r="A26" t="s">
        <v>747</v>
      </c>
      <c r="B26" s="952">
        <v>42275</v>
      </c>
      <c r="C26" t="s">
        <v>748</v>
      </c>
      <c r="D26" s="960" t="s">
        <v>755</v>
      </c>
    </row>
    <row r="27" spans="1:4">
      <c r="A27" t="s">
        <v>747</v>
      </c>
      <c r="B27" s="952">
        <v>42275</v>
      </c>
      <c r="C27" t="s">
        <v>749</v>
      </c>
      <c r="D27" s="960" t="s">
        <v>756</v>
      </c>
    </row>
    <row r="28" spans="1:4">
      <c r="A28" t="s">
        <v>747</v>
      </c>
      <c r="B28" s="952">
        <v>42275</v>
      </c>
      <c r="C28" t="s">
        <v>750</v>
      </c>
      <c r="D28" s="960" t="s">
        <v>757</v>
      </c>
    </row>
    <row r="29" spans="1:4">
      <c r="A29" t="s">
        <v>747</v>
      </c>
      <c r="B29" s="952">
        <v>42283</v>
      </c>
      <c r="C29" t="s">
        <v>758</v>
      </c>
      <c r="D29" s="961" t="s">
        <v>759</v>
      </c>
    </row>
    <row r="30" spans="1:4">
      <c r="A30" s="955" t="s">
        <v>775</v>
      </c>
      <c r="B30" s="964">
        <v>42538</v>
      </c>
      <c r="C30" s="964" t="s">
        <v>760</v>
      </c>
      <c r="D30" s="964"/>
    </row>
    <row r="31" spans="1:4">
      <c r="A31" s="955" t="s">
        <v>775</v>
      </c>
      <c r="B31" s="964">
        <v>42538</v>
      </c>
      <c r="C31" s="964" t="s">
        <v>761</v>
      </c>
      <c r="D31" s="965" t="s">
        <v>762</v>
      </c>
    </row>
    <row r="32" spans="1:4">
      <c r="A32" s="955" t="s">
        <v>775</v>
      </c>
      <c r="B32" s="964">
        <v>42538</v>
      </c>
      <c r="C32" s="964" t="s">
        <v>763</v>
      </c>
      <c r="D32" s="966" t="s">
        <v>764</v>
      </c>
    </row>
    <row r="33" spans="1:4">
      <c r="A33" s="955" t="s">
        <v>775</v>
      </c>
      <c r="B33" s="964">
        <v>42538</v>
      </c>
      <c r="C33" s="964" t="s">
        <v>765</v>
      </c>
      <c r="D33" s="965" t="s">
        <v>724</v>
      </c>
    </row>
    <row r="34" spans="1:4">
      <c r="A34" t="s">
        <v>792</v>
      </c>
      <c r="B34" s="819">
        <v>42877</v>
      </c>
      <c r="C34" s="955" t="s">
        <v>849</v>
      </c>
      <c r="D34" s="960" t="s">
        <v>793</v>
      </c>
    </row>
    <row r="35" spans="1:4">
      <c r="A35" s="955" t="s">
        <v>792</v>
      </c>
      <c r="B35" s="819">
        <v>42877</v>
      </c>
      <c r="C35" s="955" t="s">
        <v>850</v>
      </c>
      <c r="D35" s="961" t="s">
        <v>794</v>
      </c>
    </row>
    <row r="36" spans="1:4">
      <c r="A36" s="955" t="s">
        <v>792</v>
      </c>
      <c r="B36" s="819">
        <v>42877</v>
      </c>
      <c r="C36" s="955" t="s">
        <v>851</v>
      </c>
      <c r="D36" s="961" t="s">
        <v>795</v>
      </c>
    </row>
    <row r="37" spans="1:4">
      <c r="A37" t="s">
        <v>833</v>
      </c>
      <c r="B37" s="819">
        <v>43166</v>
      </c>
      <c r="C37" s="964" t="s">
        <v>834</v>
      </c>
      <c r="D37" s="961" t="s">
        <v>835</v>
      </c>
    </row>
    <row r="38" spans="1:4">
      <c r="A38" t="s">
        <v>833</v>
      </c>
      <c r="B38" s="819">
        <v>43166</v>
      </c>
      <c r="C38" s="964" t="s">
        <v>836</v>
      </c>
      <c r="D38" s="960" t="s">
        <v>837</v>
      </c>
    </row>
    <row r="39" spans="1:4">
      <c r="A39" t="s">
        <v>833</v>
      </c>
      <c r="B39" s="819">
        <v>43166</v>
      </c>
      <c r="C39" s="964" t="s">
        <v>838</v>
      </c>
      <c r="D39" s="960" t="s">
        <v>839</v>
      </c>
    </row>
    <row r="40" spans="1:4">
      <c r="A40" t="s">
        <v>833</v>
      </c>
      <c r="B40" s="819">
        <v>43166</v>
      </c>
      <c r="C40" s="964" t="s">
        <v>840</v>
      </c>
      <c r="D40" s="960" t="s">
        <v>841</v>
      </c>
    </row>
    <row r="41" spans="1:4">
      <c r="A41" t="s">
        <v>833</v>
      </c>
      <c r="B41" s="819">
        <v>43278</v>
      </c>
      <c r="C41" s="964" t="s">
        <v>872</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2018-06-27T09:20:35Z</dcterms:modified>
</cp:coreProperties>
</file>