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R8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G19" s="1"/>
  <c r="F17"/>
  <c r="G79" i="14" s="1"/>
  <c r="E17" i="18"/>
  <c r="D17"/>
  <c r="C17"/>
  <c r="B17"/>
  <c r="K11"/>
  <c r="J11"/>
  <c r="I11"/>
  <c r="H11"/>
  <c r="G11"/>
  <c r="F11"/>
  <c r="E11"/>
  <c r="D11"/>
  <c r="C11"/>
  <c r="L8"/>
  <c r="L9" s="1"/>
  <c r="K8"/>
  <c r="K9" s="1"/>
  <c r="G8"/>
  <c r="G9" s="1"/>
  <c r="F8"/>
  <c r="F9" s="1"/>
  <c r="E8"/>
  <c r="F68" i="14" s="1"/>
  <c r="D8" i="18"/>
  <c r="D9" s="1"/>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E79"/>
  <c r="B79"/>
  <c r="M78"/>
  <c r="L78"/>
  <c r="H78"/>
  <c r="G78"/>
  <c r="E7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C18" i="16" l="1"/>
  <c r="C8" i="48" s="1"/>
  <c r="F16" i="16"/>
  <c r="K19" i="18"/>
  <c r="L68" i="14"/>
  <c r="L69" s="1"/>
  <c r="B16" i="18"/>
  <c r="B78" i="14" s="1"/>
  <c r="C13" i="15"/>
  <c r="D12" i="22"/>
  <c r="E17" i="14"/>
  <c r="D13" i="48"/>
  <c r="D30" s="1"/>
  <c r="D31" i="20"/>
  <c r="E43" i="14" s="1"/>
  <c r="E12" i="22"/>
  <c r="F17" i="14"/>
  <c r="E13" i="48"/>
  <c r="I101" i="18"/>
  <c r="H16" s="1"/>
  <c r="I78" i="14" s="1"/>
  <c r="I81" s="1"/>
  <c r="E101" i="18"/>
  <c r="E16" s="1"/>
  <c r="F78" i="14" s="1"/>
  <c r="H101" i="18"/>
  <c r="D101"/>
  <c r="G101"/>
  <c r="I16" s="1"/>
  <c r="J78" i="14" s="1"/>
  <c r="C101" i="18"/>
  <c r="F101"/>
  <c r="B101"/>
  <c r="C16" s="1"/>
  <c r="D78" i="14" s="1"/>
  <c r="I11" i="48"/>
  <c r="N19" i="19"/>
  <c r="O35" i="14" s="1"/>
  <c r="B8" i="9"/>
  <c r="B6" i="48" s="1"/>
  <c r="Q6" s="1"/>
  <c r="P22" i="16"/>
  <c r="Q39" i="14" s="1"/>
  <c r="P18" i="16"/>
  <c r="P8" i="48" s="1"/>
  <c r="P25" s="1"/>
  <c r="G22" i="14"/>
  <c r="F8" i="17"/>
  <c r="K22" i="14"/>
  <c r="J8" i="17"/>
  <c r="O80" i="14"/>
  <c r="C97" i="18"/>
  <c r="I19" i="19"/>
  <c r="J35" i="14" s="1"/>
  <c r="B12" i="22"/>
  <c r="B13" i="48"/>
  <c r="C17" i="14"/>
  <c r="E31" i="20"/>
  <c r="F43" i="14" s="1"/>
  <c r="L16" i="16"/>
  <c r="L18" s="1"/>
  <c r="N6" i="17"/>
  <c r="N5" s="1"/>
  <c r="J9" i="14"/>
  <c r="J15" s="1"/>
  <c r="B81"/>
  <c r="D11" i="48"/>
  <c r="D14" i="15"/>
  <c r="F19" i="19"/>
  <c r="G35" i="14" s="1"/>
  <c r="L19" i="19"/>
  <c r="M35" i="14" s="1"/>
  <c r="E7" i="15"/>
  <c r="O5" i="16"/>
  <c r="O9" i="14"/>
  <c r="L11" i="48"/>
  <c r="L28" s="1"/>
  <c r="L12" i="13"/>
  <c r="M37" i="14" s="1"/>
  <c r="J7" i="15"/>
  <c r="B13" i="16"/>
  <c r="C35"/>
  <c r="E19" i="18"/>
  <c r="I19"/>
  <c r="C80" i="14"/>
  <c r="C16" i="15"/>
  <c r="D10" i="14" s="1"/>
  <c r="L6" i="17"/>
  <c r="N13" i="15"/>
  <c r="L13"/>
  <c r="L16" s="1"/>
  <c r="K5" i="48"/>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J20"/>
  <c r="O20"/>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H21"/>
  <c r="K24"/>
  <c r="K25"/>
  <c r="Q11" i="14"/>
  <c r="P12" i="13"/>
  <c r="Q37" i="14" s="1"/>
  <c r="P4" i="48"/>
  <c r="P21" s="1"/>
  <c r="D12" i="13"/>
  <c r="E37" i="14" s="1"/>
  <c r="D4" i="48"/>
  <c r="D21" s="1"/>
  <c r="E11" i="14"/>
  <c r="F23" i="48"/>
  <c r="J23"/>
  <c r="N23"/>
  <c r="N26"/>
  <c r="D28"/>
  <c r="H28"/>
  <c r="F30"/>
  <c r="J30"/>
  <c r="N30"/>
  <c r="K22"/>
  <c r="G23"/>
  <c r="K23"/>
  <c r="O23"/>
  <c r="G25"/>
  <c r="F26"/>
  <c r="J26"/>
  <c r="O26"/>
  <c r="J27"/>
  <c r="I28"/>
  <c r="D29"/>
  <c r="H29"/>
  <c r="P29"/>
  <c r="K30"/>
  <c r="O30"/>
  <c r="C22" i="13"/>
  <c r="C21"/>
  <c r="C20"/>
  <c r="D23" i="48"/>
  <c r="H23"/>
  <c r="P23"/>
  <c r="H25"/>
  <c r="P26"/>
  <c r="F28"/>
  <c r="J28"/>
  <c r="N28"/>
  <c r="P30"/>
  <c r="E23"/>
  <c r="I23"/>
  <c r="O24"/>
  <c r="I25"/>
  <c r="P11" i="14"/>
  <c r="O12" i="13"/>
  <c r="P37" i="14" s="1"/>
  <c r="B10" i="48"/>
  <c r="C18" i="14"/>
  <c r="F7" i="48"/>
  <c r="F24" s="1"/>
  <c r="B50" i="13"/>
  <c r="J12" i="17"/>
  <c r="K48" i="14" s="1"/>
  <c r="J7" i="48"/>
  <c r="J24" s="1"/>
  <c r="P24"/>
  <c r="E5" i="17"/>
  <c r="C8"/>
  <c r="G24" i="48"/>
  <c r="I24"/>
  <c r="G81" i="14"/>
  <c r="D79"/>
  <c r="H79"/>
  <c r="H81" s="1"/>
  <c r="L79"/>
  <c r="L81" s="1"/>
  <c r="F79"/>
  <c r="F81" s="1"/>
  <c r="J79"/>
  <c r="E68"/>
  <c r="E69" s="1"/>
  <c r="I68"/>
  <c r="M68"/>
  <c r="M69" s="1"/>
  <c r="D19" i="18"/>
  <c r="H19"/>
  <c r="L19"/>
  <c r="B68" i="14"/>
  <c r="C68" s="1"/>
  <c r="G68"/>
  <c r="G69" s="1"/>
  <c r="K68"/>
  <c r="E81"/>
  <c r="M81"/>
  <c r="B19" i="18"/>
  <c r="F19"/>
  <c r="D11" i="14"/>
  <c r="C4" i="48"/>
  <c r="M8" i="18"/>
  <c r="M17"/>
  <c r="M18"/>
  <c r="L8" i="17" l="1"/>
  <c r="L7" i="48" s="1"/>
  <c r="L24" s="1"/>
  <c r="L5" i="17"/>
  <c r="J81" i="14"/>
  <c r="L27" i="48"/>
  <c r="L29"/>
  <c r="O78" i="14"/>
  <c r="O81" s="1"/>
  <c r="B17" i="6" s="1"/>
  <c r="C19" i="18"/>
  <c r="D13" i="14"/>
  <c r="D8" i="48"/>
  <c r="D25"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F19" i="14"/>
  <c r="E14" i="22"/>
  <c r="K14" i="48"/>
  <c r="B34" i="13"/>
  <c r="B46" s="1"/>
  <c r="E5" s="1"/>
  <c r="E8" s="1"/>
  <c r="E12" s="1"/>
  <c r="F37" i="14" s="1"/>
  <c r="O18" i="16"/>
  <c r="L12" i="17"/>
  <c r="M48" i="14" s="1"/>
  <c r="M13" i="48"/>
  <c r="M30" s="1"/>
  <c r="M51" i="22"/>
  <c r="M50" s="1"/>
  <c r="M54" s="1"/>
  <c r="M10" i="48" s="1"/>
  <c r="M27" s="1"/>
  <c r="H31" i="20"/>
  <c r="I43" i="14" s="1"/>
  <c r="H13" i="48"/>
  <c r="H30" s="1"/>
  <c r="M31" i="20"/>
  <c r="N43" i="14" s="1"/>
  <c r="G50" i="22"/>
  <c r="G54" s="1"/>
  <c r="H18" i="14" s="1"/>
  <c r="G13" i="48"/>
  <c r="F20" i="14"/>
  <c r="H17"/>
  <c r="R17" s="1"/>
  <c r="G30" i="48"/>
  <c r="M5" i="22"/>
  <c r="M14" s="1"/>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29"/>
  <c r="M25"/>
  <c r="M24"/>
  <c r="I31"/>
  <c r="C50" i="13"/>
  <c r="J5" s="1"/>
  <c r="J8" s="1"/>
  <c r="E7" i="48"/>
  <c r="E24" s="1"/>
  <c r="E12" i="17"/>
  <c r="F48" i="14" s="1"/>
  <c r="C5" i="48"/>
  <c r="C14" s="1"/>
  <c r="E13" i="14" l="1"/>
  <c r="M22"/>
  <c r="J7" i="18"/>
  <c r="M7" s="1"/>
  <c r="M9" s="1"/>
  <c r="E10" i="14"/>
  <c r="D5" i="48"/>
  <c r="D22" s="1"/>
  <c r="D31" s="1"/>
  <c r="J16" i="15"/>
  <c r="K10" i="14" s="1"/>
  <c r="C9" i="18"/>
  <c r="D67" i="14"/>
  <c r="N7" i="48"/>
  <c r="N24" s="1"/>
  <c r="N12" i="17"/>
  <c r="O48" i="14" s="1"/>
  <c r="K78"/>
  <c r="M16" i="18"/>
  <c r="M19" s="1"/>
  <c r="J19"/>
  <c r="O22" i="14"/>
  <c r="O8" i="48"/>
  <c r="O25" s="1"/>
  <c r="P13" i="14"/>
  <c r="P15" s="1"/>
  <c r="P23" s="1"/>
  <c r="F67"/>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N46" i="14" l="1"/>
  <c r="N53" s="1"/>
  <c r="K67"/>
  <c r="K69" s="1"/>
  <c r="E15"/>
  <c r="E23" s="1"/>
  <c r="J9" i="18"/>
  <c r="B14" i="48"/>
  <c r="R22" i="14"/>
  <c r="D14" i="48"/>
  <c r="N18" i="16"/>
  <c r="N8" i="48" s="1"/>
  <c r="J18" i="16"/>
  <c r="J8" i="48" s="1"/>
  <c r="J25" s="1"/>
  <c r="D69" i="14"/>
  <c r="O67"/>
  <c r="F18" i="16"/>
  <c r="G13" i="14" s="1"/>
  <c r="G15" s="1"/>
  <c r="G23" s="1"/>
  <c r="E18" i="16"/>
  <c r="E8" i="48" s="1"/>
  <c r="E20" i="15"/>
  <c r="F36" i="14" s="1"/>
  <c r="C78"/>
  <c r="C81" s="1"/>
  <c r="K81"/>
  <c r="O14" i="48"/>
  <c r="J69" i="14"/>
  <c r="G9" i="48"/>
  <c r="G26" s="1"/>
  <c r="G31" s="1"/>
  <c r="H19" i="14"/>
  <c r="H20" s="1"/>
  <c r="H23" s="1"/>
  <c r="Q10" i="48"/>
  <c r="H46" i="14"/>
  <c r="H53" s="1"/>
  <c r="N19"/>
  <c r="N20" s="1"/>
  <c r="N23" s="1"/>
  <c r="M9" i="48"/>
  <c r="Q9" s="1"/>
  <c r="I55" i="14"/>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C67" l="1"/>
  <c r="C69" s="1"/>
  <c r="K13"/>
  <c r="K15" s="1"/>
  <c r="K23" s="1"/>
  <c r="K55" s="1"/>
  <c r="J31" i="48"/>
  <c r="E55" i="14"/>
  <c r="J14" i="48"/>
  <c r="F22" i="16"/>
  <c r="G39" i="14" s="1"/>
  <c r="G41" s="1"/>
  <c r="F8" i="48"/>
  <c r="N55" i="14"/>
  <c r="E25" i="48"/>
  <c r="E31" s="1"/>
  <c r="E14"/>
  <c r="N25"/>
  <c r="N31" s="1"/>
  <c r="N14"/>
  <c r="E22" i="16"/>
  <c r="F39" i="14" s="1"/>
  <c r="F41" s="1"/>
  <c r="F53" s="1"/>
  <c r="F55" s="1"/>
  <c r="J22" i="16"/>
  <c r="K39" i="14" s="1"/>
  <c r="K41" s="1"/>
  <c r="K53" s="1"/>
  <c r="Q8" i="48"/>
  <c r="F13" i="14"/>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F25"/>
  <c r="F31" s="1"/>
  <c r="F14"/>
  <c r="Q14"/>
  <c r="R13" i="14" l="1"/>
  <c r="R15" s="1"/>
  <c r="R23"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<sst xmlns="http://schemas.openxmlformats.org/spreadsheetml/2006/main" count="2018" uniqueCount="877">
  <si>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</si>
  <si>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</si>
  <si>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</si>
  <si>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</si>
  <si>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</si>
  <si>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</si>
  <si>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</si>
  <si>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</si>
  <si>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</si>
  <si>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</si>
  <si>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</si>
  <si>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</si>
  <si>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</si>
  <si>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</si>
  <si>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</si>
  <si>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</si>
  <si>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</si>
  <si>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</si>
  <si>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</si>
  <si>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</si>
  <si>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</si>
  <si>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</si>
  <si>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</si>
  <si>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</si>
  <si>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</si>
  <si>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</si>
  <si>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</si>
  <si>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</si>
  <si>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</si>
  <si>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</si>
  <si>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</si>
  <si>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</si>
  <si>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</si>
  <si>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</si>
  <si>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</si>
  <si>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</si>
  <si>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</si>
  <si>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</si>
  <si>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</si>
  <si>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</si>
  <si>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</si>
  <si>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</si>
  <si>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</si>
  <si>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</si>
  <si>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</si>
  <si>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</si>
  <si>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</si>
  <si>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</si>
  <si>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</si>
  <si>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</si>
  <si>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</si>
  <si>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</si>
  <si>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</si>
  <si>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</si>
  <si>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</si>
  <si>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</si>
  <si>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</si>
  <si>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</si>
  <si>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</si>
  <si>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</si>
  <si>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</si>
  <si>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</si>
  <si>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</si>
  <si>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</si>
  <si>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</si>
  <si>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</si>
  <si>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</si>
  <si>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</si>
  <si>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</si>
  <si>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</si>
  <si>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</si>
  <si>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</si>
  <si>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</si>
  <si>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</si>
  <si>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</si>
  <si>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</si>
  <si>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</si>
  <si>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</si>
  <si>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</si>
  <si>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</si>
  <si>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</si>
  <si>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</si>
  <si>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</si>
  <si>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</si>
  <si>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</si>
  <si>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</si>
  <si>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</si>
  <si>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</si>
  <si>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</si>
  <si>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</si>
  <si>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</si>
  <si>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</si>
  <si>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</si>
  <si>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</si>
  <si>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</si>
  <si>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</si>
  <si>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</si>
  <si>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</si>
  <si>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</si>
  <si>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</si>
  <si>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</si>
  <si>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</si>
  <si>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</si>
  <si>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</si>
  <si>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</si>
  <si>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</si>
  <si>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</si>
  <si>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</si>
  <si>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</si>
  <si>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</si>
  <si>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</si>
  <si>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</si>
  <si>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</si>
  <si>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</si>
  <si>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</si>
  <si>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</si>
  <si>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</si>
  <si>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</si>
  <si>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</si>
  <si>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</si>
  <si>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</si>
  <si>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</si>
  <si>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</si>
  <si>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</si>
  <si>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</si>
  <si>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</si>
  <si>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</si>
  <si>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</si>
  <si>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</si>
  <si>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</si>
  <si>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</si>
  <si>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</si>
  <si>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</si>
  <si>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</si>
  <si>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</si>
  <si>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</si>
  <si>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</si>
  <si>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</si>
  <si>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</si>
  <si>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</si>
  <si>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</si>
  <si>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</si>
  <si>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</si>
  <si>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</si>
  <si>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</si>
  <si>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</si>
  <si>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</si>
  <si>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</si>
  <si>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</si>
  <si>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</si>
  <si>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</si>
  <si>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</si>
  <si>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</si>
  <si>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</si>
  <si>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</si>
  <si>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</si>
  <si>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</si>
  <si>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</si>
  <si>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</si>
  <si>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</si>
  <si>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</si>
  <si>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</si>
  <si>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</si>
  <si>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</si>
  <si>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</si>
  <si>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</si>
  <si>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</si>
  <si>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</si>
  <si>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</si>
  <si>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</si>
  <si>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</si>
  <si>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</si>
  <si>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</si>
  <si>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</si>
  <si>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</si>
  <si>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</si>
  <si>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</si>
  <si>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</si>
  <si>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</si>
  <si>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</si>
  <si>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</si>
  <si>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</si>
  <si>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</si>
  <si>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</si>
  <si>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</si>
  <si>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</si>
  <si>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</si>
  <si>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</si>
  <si>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</si>
  <si>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</si>
  <si>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</si>
  <si>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</si>
  <si>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</si>
  <si>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</si>
  <si>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</si>
  <si>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</si>
  <si>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</si>
  <si>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</si>
  <si>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</si>
  <si>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</si>
  <si>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</si>
  <si>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</si>
  <si>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</si>
  <si>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</si>
  <si>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</si>
  <si>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</si>
  <si>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</si>
  <si>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</si>
  <si>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</si>
  <si>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</si>
  <si>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</si>
  <si>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</si>
  <si>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</si>
  <si>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</si>
  <si>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</si>
  <si>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</si>
  <si>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</si>
  <si>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</si>
  <si>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</si>
  <si>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</si>
  <si>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</si>
  <si>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</si>
  <si>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</si>
  <si>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</si>
  <si>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</si>
  <si>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</si>
  <si>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</si>
  <si>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</si>
  <si>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</si>
  <si>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</si>
  <si>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</si>
  <si>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</si>
  <si>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</si>
  <si>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</si>
  <si>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</si>
  <si>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</si>
  <si>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</si>
  <si>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</si>
  <si>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</si>
  <si>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</si>
  <si>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</si>
  <si>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</si>
  <si>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</si>
  <si>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</si>
  <si>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</si>
  <si>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</si>
  <si>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</si>
  <si>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</si>
  <si>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</si>
  <si>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</si>
  <si>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</si>
  <si>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</si>
  <si>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</si>
  <si>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</si>
  <si>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</si>
  <si>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</si>
  <si>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</si>
  <si>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</si>
  <si>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</si>
  <si>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</si>
  <si>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</si>
  <si>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</si>
  <si>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</si>
  <si>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</si>
  <si>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</si>
  <si>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</si>
  <si>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</si>
  <si>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</si>
  <si>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</si>
  <si>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</si>
  <si>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</si>
  <si>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</si>
  <si>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</si>
  <si>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</si>
  <si>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</si>
  <si>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</si>
  <si>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</si>
  <si>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</si>
  <si>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</si>
  <si>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</si>
  <si>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</si>
  <si>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</si>
  <si>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</si>
  <si>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</si>
  <si>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</si>
  <si>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</si>
  <si>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</si>
  <si>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</si>
  <si>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</si>
  <si>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</si>
  <si>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</si>
  <si>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</si>
  <si>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</si>
  <si>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</si>
  <si>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</si>
  <si>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</si>
  <si>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</si>
  <si>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</si>
  <si>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</si>
  <si>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</si>
  <si>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</si>
  <si>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</si>
  <si>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</si>
  <si>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</si>
  <si>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</si>
  <si>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</si>
  <si>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</si>
  <si>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</si>
  <si>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</si>
  <si>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</si>
  <si>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</si>
  <si>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</si>
  <si>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</si>
  <si>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</si>
  <si>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</si>
  <si>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</si>
  <si>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</si>
  <si>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</si>
  <si>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</si>
  <si>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</si>
  <si>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</si>
  <si>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</si>
  <si>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</si>
  <si>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</si>
  <si>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</si>
  <si>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</si>
  <si>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</si>
  <si>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</si>
  <si>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</si>
  <si>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</si>
  <si>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</si>
  <si>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</si>
  <si>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</si>
  <si>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</si>
  <si>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</si>
  <si>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</si>
  <si>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</si>
  <si>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</si>
  <si>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</si>
  <si>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</si>
  <si>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</si>
  <si>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</si>
  <si>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</si>
  <si>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</si>
  <si>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</si>
  <si>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</si>
  <si>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</si>
  <si>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</si>
  <si>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</si>
  <si>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</si>
  <si>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</si>
  <si>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</si>
  <si>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</si>
  <si>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</si>
  <si>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</si>
  <si>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</si>
  <si>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</si>
  <si>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</si>
  <si>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</si>
  <si>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</si>
  <si>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</si>
  <si>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</si>
  <si>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</si>
  <si>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</si>
  <si>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</si>
  <si>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</si>
  <si>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</si>
  <si>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</si>
  <si>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</si>
  <si>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</si>
  <si>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</si>
  <si>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</si>
  <si>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</si>
  <si>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</si>
  <si>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</si>
  <si>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</si>
  <si>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</si>
  <si>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</si>
  <si>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</si>
  <si>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</si>
  <si>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</si>
  <si>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</si>
  <si>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</si>
  <si>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</si>
  <si>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</si>
  <si>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</si>
  <si>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</si>
  <si>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</si>
  <si>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</si>
  <si>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</si>
  <si>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</si>
  <si>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</si>
  <si>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</si>
  <si>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</si>
  <si>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</si>
  <si>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</si>
  <si>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</si>
  <si>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</si>
  <si>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</si>
  <si>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</si>
  <si>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</si>
  <si>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</si>
  <si>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</si>
  <si>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</si>
  <si>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</si>
  <si>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</si>
  <si>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</si>
  <si>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</si>
  <si>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</si>
  <si>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</si>
  <si>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</si>
  <si>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</si>
  <si>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</si>
  <si>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</si>
  <si>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</si>
  <si>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</si>
  <si>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</si>
  <si>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</si>
  <si>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</si>
  <si>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</si>
  <si>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</si>
  <si>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</si>
  <si>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</si>
  <si>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</si>
  <si>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</si>
  <si>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</si>
  <si>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</si>
  <si>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</si>
  <si>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</si>
  <si>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</si>
  <si>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</si>
  <si>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</si>
  <si>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</si>
  <si>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</si>
  <si>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</si>
  <si>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</si>
  <si>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</si>
  <si>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</si>
  <si>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</si>
  <si>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</si>
  <si>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</si>
  <si>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</si>
  <si>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</si>
  <si>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</si>
  <si>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</si>
  <si>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</si>
  <si>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</si>
  <si>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</si>
  <si>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</si>
  <si>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</si>
  <si>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</si>
  <si>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</si>
  <si>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</si>
  <si>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</si>
  <si>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</si>
  <si>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</si>
  <si>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</si>
  <si>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</si>
  <si>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</si>
  <si>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</si>
  <si>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</si>
  <si>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</si>
  <si>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</si>
  <si>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</si>
  <si>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</si>
  <si>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</si>
  <si>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</si>
  <si>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</si>
  <si>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</si>
  <si>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</si>
  <si>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</si>
  <si>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</si>
  <si>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</si>
  <si>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</si>
  <si>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</si>
  <si>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</si>
  <si>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</si>
  <si>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</si>
  <si>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</si>
  <si>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</si>
  <si>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</si>
  <si>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</si>
  <si>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</si>
  <si>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</si>
  <si>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</si>
  <si>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</si>
  <si>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</si>
  <si>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</si>
  <si>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</si>
  <si>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</si>
  <si>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</si>
  <si>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</si>
  <si>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</si>
  <si>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</si>
  <si>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</si>
  <si>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</si>
  <si>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</si>
  <si>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</si>
  <si>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</si>
  <si>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</si>
  <si>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</si>
  <si>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</si>
  <si>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</si>
  <si>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</si>
  <si>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</si>
  <si>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</si>
  <si>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</si>
  <si>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</si>
  <si>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</si>
  <si>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</si>
  <si>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</si>
  <si>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</si>
  <si>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</si>
  <si>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</si>
  <si>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</si>
  <si>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</si>
  <si>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</si>
  <si>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</si>
  <si>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</si>
  <si>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</si>
  <si>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</si>
  <si>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</si>
  <si>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</si>
  <si>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</si>
  <si>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</si>
  <si>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</si>
  <si>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</si>
  <si>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</si>
  <si>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</si>
  <si>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</si>
  <si>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</si>
  <si>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</si>
  <si>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</si>
  <si>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</si>
  <si>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</si>
  <si>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</si>
  <si>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</si>
  <si>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</si>
  <si>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</si>
  <si>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</si>
  <si>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</si>
  <si>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</si>
  <si>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</si>
  <si>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</si>
  <si>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</si>
  <si>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</si>
  <si>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</si>
  <si>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</si>
  <si>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</si>
  <si>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</si>
  <si>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</si>
  <si>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</si>
  <si>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</si>
  <si>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</si>
  <si>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</si>
  <si>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</si>
  <si>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</si>
  <si>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</si>
  <si>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</si>
  <si>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</si>
  <si>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</si>
  <si>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</si>
  <si>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</si>
  <si>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</si>
  <si>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</si>
  <si>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</si>
  <si>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</si>
  <si>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</si>
  <si>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</si>
  <si>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</si>
  <si>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</si>
  <si>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</si>
  <si>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</si>
  <si>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</si>
  <si>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</si>
  <si>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</si>
  <si>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</si>
  <si>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</si>
  <si>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</si>
  <si>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</si>
  <si>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</si>
  <si>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</si>
  <si>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</si>
  <si>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</si>
  <si>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</si>
  <si>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</si>
  <si>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</si>
  <si>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</si>
  <si>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</si>
  <si>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</si>
  <si>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</si>
  <si>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</si>
  <si>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</si>
  <si>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</si>
  <si>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</si>
  <si>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</si>
  <si>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</si>
  <si>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</si>
  <si>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</si>
  <si>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</si>
  <si>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</si>
  <si>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</si>
  <si>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</si>
  <si>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</si>
  <si>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</si>
  <si>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</si>
  <si>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</si>
  <si>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</si>
  <si>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</si>
  <si>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</si>
  <si>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</si>
  <si>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</si>
  <si>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</si>
  <si>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</si>
  <si>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</si>
  <si>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</si>
  <si>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</si>
  <si>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</si>
  <si>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</si>
  <si>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</si>
  <si>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</si>
  <si>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</si>
  <si>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</si>
  <si>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</si>
  <si>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</si>
  <si>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</si>
  <si>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</si>
  <si>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</si>
  <si>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</si>
  <si>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</si>
  <si>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</si>
  <si>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</si>
  <si>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</si>
  <si>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</si>
  <si>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</si>
  <si>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</si>
  <si>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</si>
  <si>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</si>
  <si>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</si>
  <si>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</si>
  <si>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</si>
  <si>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</si>
  <si>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</si>
  <si>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</si>
  <si>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</si>
  <si>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</si>
  <si>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</si>
  <si>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</si>
  <si>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</si>
  <si>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</si>
  <si>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</si>
  <si>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</si>
  <si>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</si>
  <si>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</si>
  <si>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</si>
  <si>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</si>
  <si>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</si>
  <si>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</si>
  <si>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</si>
  <si>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</si>
  <si>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</si>
  <si>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</si>
  <si>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</si>
  <si>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</si>
  <si>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</si>
  <si>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</si>
  <si>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</si>
  <si>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</si>
  <si>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</si>
  <si>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</si>
  <si>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</si>
  <si>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</si>
  <si>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</si>
  <si>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</si>
  <si>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</si>
  <si>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</si>
  <si>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</si>
  <si>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</si>
  <si>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</si>
  <si>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</si>
  <si>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</si>
  <si>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</si>
  <si>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</si>
  <si>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</si>
  <si>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</si>
  <si>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</si>
  <si>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</si>
  <si>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</si>
  <si>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</si>
  <si>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</si>
  <si>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</si>
  <si>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</si>
  <si>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</si>
  <si>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</si>
  <si>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</si>
  <si>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</si>
  <si>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</si>
  <si>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</si>
  <si>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</si>
  <si>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</si>
  <si>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</si>
  <si>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</si>
  <si>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</si>
  <si>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</si>
  <si>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</si>
  <si>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</si>
  <si>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</si>
  <si>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</si>
  <si>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</si>
  <si>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</si>
  <si>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</si>
  <si>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</si>
  <si>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</si>
  <si>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</si>
  <si>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</si>
  <si>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</si>
  <si>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</si>
  <si>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</si>
  <si>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</si>
  <si>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</si>
  <si>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</si>
  <si>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</si>
  <si>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</si>
  <si>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</si>
  <si>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</si>
  <si>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</si>
  <si>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</si>
  <si>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</si>
  <si>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</si>
  <si>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</si>
  <si>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</si>
  <si>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</si>
  <si>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</si>
  <si>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</si>
  <si>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</si>
  <si>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</si>
  <si>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</si>
  <si>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</si>
  <si>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</si>
  <si>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</si>
  <si>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</si>
  <si>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</si>
  <si>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</si>
  <si>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</si>
  <si>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</si>
  <si>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</si>
  <si>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</si>
  <si>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</si>
  <si>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</si>
  <si>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</si>
  <si>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</si>
  <si>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</si>
  <si>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</si>
  <si>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</si>
  <si>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</si>
  <si>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</si>
  <si>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</si>
  <si>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</si>
  <si>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</si>
  <si>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</si>
  <si>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</si>
  <si>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</si>
  <si>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</si>
  <si>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</si>
  <si>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</si>
  <si>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</si>
  <si>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</si>
  <si>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</si>
  <si>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</si>
  <si>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</si>
  <si>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</si>
  <si>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</si>
  <si>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</si>
  <si>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</si>
  <si>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</si>
  <si>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</si>
  <si>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</si>
  <si>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</si>
  <si>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</si>
  <si>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</si>
  <si>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</si>
  <si>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</si>
  <si>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</si>
  <si>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</si>
  <si>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</si>
  <si>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</si>
  <si>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</si>
  <si>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</si>
  <si>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</si>
  <si>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</si>
  <si>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</si>
  <si>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</si>
  <si>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</si>
  <si>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</si>
  <si>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</si>
  <si>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</si>
  <si>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</si>
  <si>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</si>
  <si>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</si>
  <si>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</si>
  <si>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</si>
  <si>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</si>
  <si>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</si>
  <si>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</si>
  <si>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</si>
  <si>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</si>
  <si>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</si>
  <si>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</si>
  <si>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</si>
  <si>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</si>
  <si>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</si>
  <si>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</si>
  <si>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</si>
  <si>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</si>
  <si>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</si>
  <si>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</si>
  <si>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</si>
  <si>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</si>
  <si>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</si>
  <si>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</si>
  <si>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</si>
  <si>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</si>
  <si>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</si>
  <si>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</si>
  <si>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</si>
  <si>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</si>
  <si>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</si>
  <si>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</si>
  <si>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</si>
  <si>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</si>
  <si>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</si>
  <si>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</si>
  <si>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</si>
  <si>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</si>
  <si>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</si>
  <si>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</si>
  <si>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</si>
  <si>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</si>
  <si>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</si>
  <si>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</si>
  <si>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</si>
  <si>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</si>
  <si>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</si>
  <si>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</si>
  <si>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</si>
  <si>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</si>
  <si>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</si>
  <si>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</si>
  <si>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</si>
  <si>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</si>
  <si>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</si>
  <si>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</si>
  <si>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</si>
  <si>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</si>
  <si>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</si>
  <si>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</si>
  <si>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</si>
  <si>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</si>
  <si>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</si>
  <si>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</si>
  <si>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</si>
  <si>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</si>
  <si>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</si>
  <si>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</si>
  <si>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</si>
  <si>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</si>
  <si>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</si>
  <si>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</si>
  <si>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</si>
  <si>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</si>
  <si>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</si>
  <si>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71020</t>
  </si>
  <si>
    <t>HALEN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</si>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</sst>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71020</v>
      </c>
      <c r="B6" s="397"/>
      <c r="C6" s="398"/>
    </row>
    <row r="7" spans="1:7" s="395" customFormat="1" ht="15.75" customHeight="1">
      <c r="A7" s="399" t="str">
        <f>txtMunicipality</f>
        <v>HALEN</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71020</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3799</v>
      </c>
      <c r="C9" s="338">
        <v>4081</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1925</v>
      </c>
    </row>
    <row r="15" spans="1:6">
      <c r="A15" s="1205" t="s">
        <v>184</v>
      </c>
      <c r="B15" s="335">
        <v>537</v>
      </c>
    </row>
    <row r="16" spans="1:6">
      <c r="A16" s="1205" t="s">
        <v>6</v>
      </c>
      <c r="B16" s="335">
        <v>169</v>
      </c>
    </row>
    <row r="17" spans="1:6">
      <c r="A17" s="1205" t="s">
        <v>7</v>
      </c>
      <c r="B17" s="335">
        <v>390</v>
      </c>
    </row>
    <row r="18" spans="1:6">
      <c r="A18" s="1205" t="s">
        <v>8</v>
      </c>
      <c r="B18" s="335">
        <v>426</v>
      </c>
    </row>
    <row r="19" spans="1:6">
      <c r="A19" s="1205" t="s">
        <v>9</v>
      </c>
      <c r="B19" s="335">
        <v>461</v>
      </c>
    </row>
    <row r="20" spans="1:6">
      <c r="A20" s="1205" t="s">
        <v>10</v>
      </c>
      <c r="B20" s="335">
        <v>333</v>
      </c>
    </row>
    <row r="21" spans="1:6">
      <c r="A21" s="1205" t="s">
        <v>11</v>
      </c>
      <c r="B21" s="335">
        <v>6498</v>
      </c>
    </row>
    <row r="22" spans="1:6">
      <c r="A22" s="1205" t="s">
        <v>12</v>
      </c>
      <c r="B22" s="335">
        <v>5336</v>
      </c>
    </row>
    <row r="23" spans="1:6">
      <c r="A23" s="1205" t="s">
        <v>13</v>
      </c>
      <c r="B23" s="335">
        <v>40</v>
      </c>
    </row>
    <row r="24" spans="1:6">
      <c r="A24" s="1205" t="s">
        <v>14</v>
      </c>
      <c r="B24" s="335">
        <v>1</v>
      </c>
    </row>
    <row r="25" spans="1:6">
      <c r="A25" s="1205" t="s">
        <v>15</v>
      </c>
      <c r="B25" s="335">
        <v>169</v>
      </c>
    </row>
    <row r="26" spans="1:6">
      <c r="A26" s="1205" t="s">
        <v>16</v>
      </c>
      <c r="B26" s="335">
        <v>209</v>
      </c>
    </row>
    <row r="27" spans="1:6">
      <c r="A27" s="1205" t="s">
        <v>17</v>
      </c>
      <c r="B27" s="335">
        <v>21</v>
      </c>
    </row>
    <row r="28" spans="1:6" s="341" customFormat="1">
      <c r="A28" s="1206" t="s">
        <v>18</v>
      </c>
      <c r="B28" s="1206">
        <v>37235</v>
      </c>
    </row>
    <row r="29" spans="1:6">
      <c r="A29" s="1206" t="s">
        <v>873</v>
      </c>
      <c r="B29" s="1206">
        <v>45</v>
      </c>
      <c r="C29" s="341"/>
      <c r="D29" s="341"/>
      <c r="E29" s="341"/>
      <c r="F29" s="341"/>
    </row>
    <row r="30" spans="1:6">
      <c r="A30" s="1201" t="s">
        <v>874</v>
      </c>
      <c r="B30" s="1201">
        <v>10</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4</v>
      </c>
      <c r="F36" s="335">
        <v>24574</v>
      </c>
    </row>
    <row r="37" spans="1:6">
      <c r="A37" s="1205" t="s">
        <v>25</v>
      </c>
      <c r="B37" s="1205" t="s">
        <v>28</v>
      </c>
      <c r="C37" s="335">
        <v>0</v>
      </c>
      <c r="D37" s="335">
        <v>0</v>
      </c>
      <c r="E37" s="335">
        <v>0</v>
      </c>
      <c r="F37" s="335">
        <v>0</v>
      </c>
    </row>
    <row r="38" spans="1:6">
      <c r="A38" s="1205" t="s">
        <v>25</v>
      </c>
      <c r="B38" s="1205" t="s">
        <v>29</v>
      </c>
      <c r="C38" s="335">
        <v>0</v>
      </c>
      <c r="D38" s="335">
        <v>0</v>
      </c>
      <c r="E38" s="335">
        <v>0</v>
      </c>
      <c r="F38" s="335">
        <v>0</v>
      </c>
    </row>
    <row r="39" spans="1:6">
      <c r="A39" s="1205" t="s">
        <v>30</v>
      </c>
      <c r="B39" s="1205" t="s">
        <v>31</v>
      </c>
      <c r="C39" s="335">
        <v>1395</v>
      </c>
      <c r="D39" s="335">
        <v>22943104</v>
      </c>
      <c r="E39" s="335">
        <v>3762</v>
      </c>
      <c r="F39" s="335">
        <v>16188484</v>
      </c>
    </row>
    <row r="40" spans="1:6">
      <c r="A40" s="1205" t="s">
        <v>30</v>
      </c>
      <c r="B40" s="1205" t="s">
        <v>29</v>
      </c>
      <c r="C40" s="335">
        <v>0</v>
      </c>
      <c r="D40" s="335">
        <v>0</v>
      </c>
      <c r="E40" s="335">
        <v>0</v>
      </c>
      <c r="F40" s="335">
        <v>0</v>
      </c>
    </row>
    <row r="41" spans="1:6">
      <c r="A41" s="1205" t="s">
        <v>32</v>
      </c>
      <c r="B41" s="1205" t="s">
        <v>33</v>
      </c>
      <c r="C41" s="335">
        <v>21</v>
      </c>
      <c r="D41" s="335">
        <v>15892605</v>
      </c>
      <c r="E41" s="335">
        <v>67</v>
      </c>
      <c r="F41" s="335">
        <v>10777192</v>
      </c>
    </row>
    <row r="42" spans="1:6">
      <c r="A42" s="1205" t="s">
        <v>32</v>
      </c>
      <c r="B42" s="1205" t="s">
        <v>34</v>
      </c>
      <c r="C42" s="335">
        <v>3</v>
      </c>
      <c r="D42" s="335">
        <v>2415732</v>
      </c>
      <c r="E42" s="335">
        <v>3</v>
      </c>
      <c r="F42" s="335">
        <v>1079342</v>
      </c>
    </row>
    <row r="43" spans="1:6">
      <c r="A43" s="1205" t="s">
        <v>32</v>
      </c>
      <c r="B43" s="1205" t="s">
        <v>35</v>
      </c>
      <c r="C43" s="335">
        <v>0</v>
      </c>
      <c r="D43" s="335">
        <v>0</v>
      </c>
      <c r="E43" s="335">
        <v>0</v>
      </c>
      <c r="F43" s="335">
        <v>0</v>
      </c>
    </row>
    <row r="44" spans="1:6">
      <c r="A44" s="1205" t="s">
        <v>32</v>
      </c>
      <c r="B44" s="1205" t="s">
        <v>36</v>
      </c>
      <c r="C44" s="335">
        <v>4</v>
      </c>
      <c r="D44" s="335">
        <v>110907</v>
      </c>
      <c r="E44" s="335">
        <v>14</v>
      </c>
      <c r="F44" s="335">
        <v>225338</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3</v>
      </c>
      <c r="F47" s="335">
        <v>90839</v>
      </c>
    </row>
    <row r="48" spans="1:6">
      <c r="A48" s="1205" t="s">
        <v>32</v>
      </c>
      <c r="B48" s="1205" t="s">
        <v>29</v>
      </c>
      <c r="C48" s="335">
        <v>3</v>
      </c>
      <c r="D48" s="335">
        <v>115162</v>
      </c>
      <c r="E48" s="335">
        <v>3</v>
      </c>
      <c r="F48" s="335">
        <v>119120</v>
      </c>
    </row>
    <row r="49" spans="1:6">
      <c r="A49" s="1205" t="s">
        <v>32</v>
      </c>
      <c r="B49" s="1205" t="s">
        <v>40</v>
      </c>
      <c r="C49" s="335">
        <v>0</v>
      </c>
      <c r="D49" s="335">
        <v>0</v>
      </c>
      <c r="E49" s="335">
        <v>0</v>
      </c>
      <c r="F49" s="335">
        <v>0</v>
      </c>
    </row>
    <row r="50" spans="1:6">
      <c r="A50" s="1205" t="s">
        <v>32</v>
      </c>
      <c r="B50" s="1205" t="s">
        <v>41</v>
      </c>
      <c r="C50" s="335">
        <v>4</v>
      </c>
      <c r="D50" s="335">
        <v>441378</v>
      </c>
      <c r="E50" s="335">
        <v>11</v>
      </c>
      <c r="F50" s="335">
        <v>409154</v>
      </c>
    </row>
    <row r="51" spans="1:6">
      <c r="A51" s="1205" t="s">
        <v>42</v>
      </c>
      <c r="B51" s="1205" t="s">
        <v>43</v>
      </c>
      <c r="C51" s="335">
        <v>7</v>
      </c>
      <c r="D51" s="335">
        <v>203333</v>
      </c>
      <c r="E51" s="335">
        <v>54</v>
      </c>
      <c r="F51" s="335">
        <v>1116998</v>
      </c>
    </row>
    <row r="52" spans="1:6">
      <c r="A52" s="1205" t="s">
        <v>42</v>
      </c>
      <c r="B52" s="1205" t="s">
        <v>29</v>
      </c>
      <c r="C52" s="335">
        <v>0</v>
      </c>
      <c r="D52" s="335">
        <v>0</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59</v>
      </c>
      <c r="F54" s="335">
        <v>613541</v>
      </c>
    </row>
    <row r="55" spans="1:6">
      <c r="A55" s="1205" t="s">
        <v>46</v>
      </c>
      <c r="B55" s="1205" t="s">
        <v>29</v>
      </c>
      <c r="C55" s="335">
        <v>0</v>
      </c>
      <c r="D55" s="335">
        <v>0</v>
      </c>
      <c r="E55" s="335">
        <v>0</v>
      </c>
      <c r="F55" s="335">
        <v>0</v>
      </c>
    </row>
    <row r="56" spans="1:6">
      <c r="A56" s="1205" t="s">
        <v>48</v>
      </c>
      <c r="B56" s="1205" t="s">
        <v>29</v>
      </c>
      <c r="C56" s="335">
        <v>27</v>
      </c>
      <c r="D56" s="335">
        <v>710236</v>
      </c>
      <c r="E56" s="335">
        <v>76</v>
      </c>
      <c r="F56" s="335">
        <v>534980</v>
      </c>
    </row>
    <row r="57" spans="1:6">
      <c r="A57" s="1205" t="s">
        <v>49</v>
      </c>
      <c r="B57" s="1205" t="s">
        <v>50</v>
      </c>
      <c r="C57" s="335">
        <v>15</v>
      </c>
      <c r="D57" s="335">
        <v>1129806</v>
      </c>
      <c r="E57" s="335">
        <v>55</v>
      </c>
      <c r="F57" s="335">
        <v>2195851</v>
      </c>
    </row>
    <row r="58" spans="1:6">
      <c r="A58" s="1205" t="s">
        <v>49</v>
      </c>
      <c r="B58" s="1205" t="s">
        <v>51</v>
      </c>
      <c r="C58" s="335">
        <v>0</v>
      </c>
      <c r="D58" s="335">
        <v>0</v>
      </c>
      <c r="E58" s="335">
        <v>18</v>
      </c>
      <c r="F58" s="335">
        <v>665764</v>
      </c>
    </row>
    <row r="59" spans="1:6">
      <c r="A59" s="1205" t="s">
        <v>49</v>
      </c>
      <c r="B59" s="1205" t="s">
        <v>52</v>
      </c>
      <c r="C59" s="335">
        <v>35</v>
      </c>
      <c r="D59" s="335">
        <v>5322700</v>
      </c>
      <c r="E59" s="335">
        <v>114</v>
      </c>
      <c r="F59" s="335">
        <v>7572576</v>
      </c>
    </row>
    <row r="60" spans="1:6">
      <c r="A60" s="1205" t="s">
        <v>49</v>
      </c>
      <c r="B60" s="1205" t="s">
        <v>53</v>
      </c>
      <c r="C60" s="335">
        <v>11</v>
      </c>
      <c r="D60" s="335">
        <v>355648</v>
      </c>
      <c r="E60" s="335">
        <v>29</v>
      </c>
      <c r="F60" s="335">
        <v>553715</v>
      </c>
    </row>
    <row r="61" spans="1:6">
      <c r="A61" s="1205" t="s">
        <v>49</v>
      </c>
      <c r="B61" s="1205" t="s">
        <v>54</v>
      </c>
      <c r="C61" s="335">
        <v>45</v>
      </c>
      <c r="D61" s="335">
        <v>1903794</v>
      </c>
      <c r="E61" s="335">
        <v>165</v>
      </c>
      <c r="F61" s="335">
        <v>2618472</v>
      </c>
    </row>
    <row r="62" spans="1:6">
      <c r="A62" s="1205" t="s">
        <v>49</v>
      </c>
      <c r="B62" s="1205" t="s">
        <v>55</v>
      </c>
      <c r="C62" s="335">
        <v>3</v>
      </c>
      <c r="D62" s="335">
        <v>199689</v>
      </c>
      <c r="E62" s="335">
        <v>0</v>
      </c>
      <c r="F62" s="335">
        <v>0</v>
      </c>
    </row>
    <row r="63" spans="1:6">
      <c r="A63" s="1205" t="s">
        <v>49</v>
      </c>
      <c r="B63" s="1205" t="s">
        <v>29</v>
      </c>
      <c r="C63" s="335">
        <v>2</v>
      </c>
      <c r="D63" s="335">
        <v>1209788</v>
      </c>
      <c r="E63" s="335">
        <v>2</v>
      </c>
      <c r="F63" s="335">
        <v>29391</v>
      </c>
    </row>
    <row r="64" spans="1:6">
      <c r="A64" s="1205" t="s">
        <v>56</v>
      </c>
      <c r="B64" s="1205" t="s">
        <v>57</v>
      </c>
      <c r="C64" s="335">
        <v>0</v>
      </c>
      <c r="D64" s="335">
        <v>0</v>
      </c>
      <c r="E64" s="335">
        <v>0</v>
      </c>
      <c r="F64" s="335">
        <v>0</v>
      </c>
    </row>
    <row r="65" spans="1:6">
      <c r="A65" s="1205" t="s">
        <v>56</v>
      </c>
      <c r="B65" s="1205" t="s">
        <v>29</v>
      </c>
      <c r="C65" s="335">
        <v>2</v>
      </c>
      <c r="D65" s="335">
        <v>73773</v>
      </c>
      <c r="E65" s="335">
        <v>0</v>
      </c>
      <c r="F65" s="335">
        <v>0</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6</v>
      </c>
      <c r="F68" s="335">
        <v>65253</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18609065</v>
      </c>
      <c r="E73" s="335">
        <v>19393437.352813635</v>
      </c>
    </row>
    <row r="74" spans="1:6">
      <c r="A74" s="1205" t="s">
        <v>64</v>
      </c>
      <c r="B74" s="1205" t="s">
        <v>772</v>
      </c>
      <c r="C74" s="1216" t="s">
        <v>766</v>
      </c>
      <c r="D74" s="335">
        <v>998891.37011326407</v>
      </c>
      <c r="E74" s="335">
        <v>1096849.9405340147</v>
      </c>
    </row>
    <row r="75" spans="1:6">
      <c r="A75" s="1205" t="s">
        <v>65</v>
      </c>
      <c r="B75" s="1205" t="s">
        <v>771</v>
      </c>
      <c r="C75" s="1216" t="s">
        <v>767</v>
      </c>
      <c r="D75" s="335">
        <v>29245223</v>
      </c>
      <c r="E75" s="335">
        <v>30477901.079919267</v>
      </c>
    </row>
    <row r="76" spans="1:6">
      <c r="A76" s="1205" t="s">
        <v>65</v>
      </c>
      <c r="B76" s="1205" t="s">
        <v>772</v>
      </c>
      <c r="C76" s="1216" t="s">
        <v>768</v>
      </c>
      <c r="D76" s="335">
        <v>1000559.3701132641</v>
      </c>
      <c r="E76" s="335">
        <v>1100281.7165207949</v>
      </c>
    </row>
    <row r="77" spans="1:6">
      <c r="A77" s="1205" t="s">
        <v>66</v>
      </c>
      <c r="B77" s="1205" t="s">
        <v>771</v>
      </c>
      <c r="C77" s="1216" t="s">
        <v>769</v>
      </c>
      <c r="D77" s="335">
        <v>81568899</v>
      </c>
      <c r="E77" s="335">
        <v>94562391.606479362</v>
      </c>
    </row>
    <row r="78" spans="1:6">
      <c r="A78" s="1201" t="s">
        <v>66</v>
      </c>
      <c r="B78" s="1201" t="s">
        <v>772</v>
      </c>
      <c r="C78" s="1201" t="s">
        <v>770</v>
      </c>
      <c r="D78" s="1201">
        <v>9169245</v>
      </c>
      <c r="E78" s="1201">
        <v>11072137.168364426</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380415.25977347186</v>
      </c>
      <c r="C83" s="335">
        <v>359745.14998691191</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15230.301970606301</v>
      </c>
    </row>
    <row r="91" spans="1:6">
      <c r="A91" s="1205" t="s">
        <v>68</v>
      </c>
      <c r="B91" s="335">
        <v>1994.5785087379534</v>
      </c>
    </row>
    <row r="92" spans="1:6">
      <c r="A92" s="1201" t="s">
        <v>69</v>
      </c>
      <c r="B92" s="338">
        <v>1740.9472498598038</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340</v>
      </c>
    </row>
    <row r="98" spans="1:6">
      <c r="A98" s="1205" t="s">
        <v>72</v>
      </c>
      <c r="B98" s="335">
        <v>1</v>
      </c>
    </row>
    <row r="99" spans="1:6">
      <c r="A99" s="1205" t="s">
        <v>73</v>
      </c>
      <c r="B99" s="335">
        <v>29</v>
      </c>
    </row>
    <row r="100" spans="1:6">
      <c r="A100" s="1205" t="s">
        <v>74</v>
      </c>
      <c r="B100" s="335">
        <v>159</v>
      </c>
    </row>
    <row r="101" spans="1:6">
      <c r="A101" s="1205" t="s">
        <v>75</v>
      </c>
      <c r="B101" s="335">
        <v>41</v>
      </c>
    </row>
    <row r="102" spans="1:6">
      <c r="A102" s="1205" t="s">
        <v>76</v>
      </c>
      <c r="B102" s="335">
        <v>44</v>
      </c>
    </row>
    <row r="103" spans="1:6">
      <c r="A103" s="1205" t="s">
        <v>77</v>
      </c>
      <c r="B103" s="335">
        <v>75</v>
      </c>
    </row>
    <row r="104" spans="1:6">
      <c r="A104" s="1205" t="s">
        <v>78</v>
      </c>
      <c r="B104" s="335">
        <v>2517</v>
      </c>
    </row>
    <row r="105" spans="1:6">
      <c r="A105" s="1201" t="s">
        <v>79</v>
      </c>
      <c r="B105" s="1201">
        <v>5</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3</v>
      </c>
      <c r="C123" s="335">
        <v>8</v>
      </c>
    </row>
    <row r="124" spans="1:6">
      <c r="A124" s="1201" t="s">
        <v>89</v>
      </c>
      <c r="B124" s="335">
        <v>0</v>
      </c>
      <c r="C124" s="335">
        <v>1</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25</v>
      </c>
    </row>
    <row r="130" spans="1:6">
      <c r="A130" s="1205" t="s">
        <v>295</v>
      </c>
      <c r="B130" s="335">
        <v>0</v>
      </c>
    </row>
    <row r="131" spans="1:6">
      <c r="A131" s="1205" t="s">
        <v>296</v>
      </c>
      <c r="B131" s="335">
        <v>0</v>
      </c>
    </row>
    <row r="132" spans="1:6">
      <c r="A132" s="1201" t="s">
        <v>297</v>
      </c>
      <c r="B132" s="338">
        <v>6</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46253.07857630276</v>
      </c>
      <c r="C3" s="44" t="s">
        <v>170</v>
      </c>
      <c r="D3" s="44"/>
      <c r="E3" s="157"/>
      <c r="F3" s="44"/>
      <c r="G3" s="44"/>
      <c r="H3" s="44"/>
      <c r="I3" s="44"/>
      <c r="J3" s="44"/>
      <c r="K3" s="97"/>
    </row>
    <row r="4" spans="1:11">
      <c r="A4" s="365" t="s">
        <v>171</v>
      </c>
      <c r="B4" s="50">
        <f>IF(ISERROR('SEAP template'!B69),0,'SEAP template'!B69)</f>
        <v>18965.827729204058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0.13038013085465111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613.54100000000005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613.54100000000005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0.13038013085465111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79.993555864693505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16188.484</v>
      </c>
      <c r="C5" s="18">
        <f>IF(ISERROR('Eigen informatie GS &amp; warmtenet'!B57),0,'Eigen informatie GS &amp; warmtenet'!B57)</f>
        <v>0</v>
      </c>
      <c r="D5" s="31">
        <f>(SUM(HH_hh_gas_kWh,HH_rest_gas_kWh)/1000)*0.902</f>
        <v>20694.679808000001</v>
      </c>
      <c r="E5" s="18">
        <f>B46*B57</f>
        <v>2309.2542754165083</v>
      </c>
      <c r="F5" s="18">
        <f>B51*B62</f>
        <v>30942.268624006127</v>
      </c>
      <c r="G5" s="19"/>
      <c r="H5" s="18"/>
      <c r="I5" s="18"/>
      <c r="J5" s="18">
        <f>B50*B61+C50*C61</f>
        <v>0</v>
      </c>
      <c r="K5" s="18"/>
      <c r="L5" s="18"/>
      <c r="M5" s="18"/>
      <c r="N5" s="18">
        <f>B48*B59+C48*C59</f>
        <v>10602.601768016535</v>
      </c>
      <c r="O5" s="18">
        <f>B69*B70*B71</f>
        <v>53.153333333333336</v>
      </c>
      <c r="P5" s="18">
        <f>B77*B78*B79/1000-B77*B78*B79/1000/B80</f>
        <v>171.6</v>
      </c>
    </row>
    <row r="6" spans="1:16">
      <c r="A6" s="17" t="s">
        <v>639</v>
      </c>
      <c r="B6" s="831">
        <f>kWh_PV_kleiner_dan_10kW</f>
        <v>1994.5785087379534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18183.062508737952</v>
      </c>
      <c r="C8" s="22">
        <f>C5</f>
        <v>0</v>
      </c>
      <c r="D8" s="22">
        <f>D5</f>
        <v>20694.679808000001</v>
      </c>
      <c r="E8" s="22">
        <f>E5</f>
        <v>2309.2542754165083</v>
      </c>
      <c r="F8" s="22">
        <f>F5</f>
        <v>30942.268624006127</v>
      </c>
      <c r="G8" s="22"/>
      <c r="H8" s="22"/>
      <c r="I8" s="22"/>
      <c r="J8" s="22">
        <f>J5</f>
        <v>0</v>
      </c>
      <c r="K8" s="22"/>
      <c r="L8" s="22">
        <f>L5</f>
        <v>0</v>
      </c>
      <c r="M8" s="22">
        <f>M5</f>
        <v>0</v>
      </c>
      <c r="N8" s="22">
        <f>N5</f>
        <v>10602.601768016535</v>
      </c>
      <c r="O8" s="22">
        <f>O5</f>
        <v>53.153333333333336</v>
      </c>
      <c r="P8" s="22">
        <f>P5</f>
        <v>171.6</v>
      </c>
    </row>
    <row r="9" spans="1:16">
      <c r="B9" s="20"/>
      <c r="C9" s="20"/>
      <c r="D9" s="262"/>
      <c r="E9" s="20"/>
      <c r="F9" s="20"/>
      <c r="G9" s="20"/>
      <c r="H9" s="20"/>
      <c r="I9" s="20"/>
      <c r="J9" s="20"/>
      <c r="K9" s="20"/>
      <c r="L9" s="20"/>
      <c r="M9" s="20"/>
      <c r="N9" s="20"/>
      <c r="O9" s="20"/>
      <c r="P9" s="20"/>
    </row>
    <row r="10" spans="1:16">
      <c r="A10" s="25" t="s">
        <v>214</v>
      </c>
      <c r="B10" s="26">
        <f ca="1">'EF ele_warmte'!B12</f>
        <v>0.13038013085465111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2370.7100692275549</v>
      </c>
      <c r="C12" s="24">
        <f ca="1">C10*C8</f>
        <v>0</v>
      </c>
      <c r="D12" s="24">
        <f>D8*D10</f>
        <v>4180.3253212160007</v>
      </c>
      <c r="E12" s="24">
        <f>E10*E8</f>
        <v>524.20072051954742</v>
      </c>
      <c r="F12" s="24">
        <f>F10*F8</f>
        <v>8261.5857226096359</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340</v>
      </c>
      <c r="C18" s="169" t="s">
        <v>111</v>
      </c>
      <c r="D18" s="231"/>
      <c r="E18" s="16"/>
    </row>
    <row r="19" spans="1:7">
      <c r="A19" s="174" t="s">
        <v>72</v>
      </c>
      <c r="B19" s="38">
        <f>aantalw2001_ander</f>
        <v>1</v>
      </c>
      <c r="C19" s="169" t="s">
        <v>111</v>
      </c>
      <c r="D19" s="232"/>
      <c r="E19" s="16"/>
    </row>
    <row r="20" spans="1:7">
      <c r="A20" s="174" t="s">
        <v>73</v>
      </c>
      <c r="B20" s="38">
        <f>aantalw2001_propaan</f>
        <v>29</v>
      </c>
      <c r="C20" s="170">
        <f>IF(ISERROR(B20/SUM($B$20,$B$21,$B$22)*100),0,B20/SUM($B$20,$B$21,$B$22)*100)</f>
        <v>12.663755458515283</v>
      </c>
      <c r="D20" s="232"/>
      <c r="E20" s="16"/>
    </row>
    <row r="21" spans="1:7">
      <c r="A21" s="174" t="s">
        <v>74</v>
      </c>
      <c r="B21" s="38">
        <f>aantalw2001_elektriciteit</f>
        <v>159</v>
      </c>
      <c r="C21" s="170">
        <f>IF(ISERROR(B21/SUM($B$20,$B$21,$B$22)*100),0,B21/SUM($B$20,$B$21,$B$22)*100)</f>
        <v>69.432314410480345</v>
      </c>
      <c r="D21" s="232"/>
      <c r="E21" s="16"/>
    </row>
    <row r="22" spans="1:7">
      <c r="A22" s="174" t="s">
        <v>75</v>
      </c>
      <c r="B22" s="38">
        <f>aantalw2001_hout</f>
        <v>41</v>
      </c>
      <c r="C22" s="170">
        <f>IF(ISERROR(B22/SUM($B$20,$B$21,$B$22)*100),0,B22/SUM($B$20,$B$21,$B$22)*100)</f>
        <v>17.903930131004365</v>
      </c>
      <c r="D22" s="232"/>
      <c r="E22" s="16"/>
    </row>
    <row r="23" spans="1:7">
      <c r="A23" s="174" t="s">
        <v>76</v>
      </c>
      <c r="B23" s="38">
        <f>aantalw2001_niet_gespec</f>
        <v>44</v>
      </c>
      <c r="C23" s="169" t="s">
        <v>111</v>
      </c>
      <c r="D23" s="231"/>
      <c r="E23" s="16"/>
    </row>
    <row r="24" spans="1:7">
      <c r="A24" s="174" t="s">
        <v>77</v>
      </c>
      <c r="B24" s="38">
        <f>aantalw2001_steenkool</f>
        <v>75</v>
      </c>
      <c r="C24" s="169" t="s">
        <v>111</v>
      </c>
      <c r="D24" s="232"/>
      <c r="E24" s="16"/>
    </row>
    <row r="25" spans="1:7">
      <c r="A25" s="174" t="s">
        <v>78</v>
      </c>
      <c r="B25" s="38">
        <f>aantalw2001_stookolie</f>
        <v>2517</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3799</v>
      </c>
      <c r="C28" s="37"/>
      <c r="D28" s="231"/>
    </row>
    <row r="29" spans="1:7" s="16" customFormat="1">
      <c r="A29" s="233" t="s">
        <v>666</v>
      </c>
      <c r="B29" s="38">
        <f>SUM(HH_hh_gas_aantal,HH_rest_gas_aantal)</f>
        <v>1395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1395</v>
      </c>
      <c r="C32" s="170">
        <f>IF(ISERROR(B32/SUM($B$32,$B$34,$B$35,$B$36,$B$38,$B$39)*100),0,B32/SUM($B$32,$B$34,$B$35,$B$36,$B$38,$B$39)*100)</f>
        <v>36.807387862796837</v>
      </c>
      <c r="D32" s="236"/>
      <c r="G32" s="16"/>
    </row>
    <row r="33" spans="1:7">
      <c r="A33" s="174" t="s">
        <v>72</v>
      </c>
      <c r="B33" s="35" t="s">
        <v>111</v>
      </c>
      <c r="C33" s="170"/>
      <c r="D33" s="236"/>
      <c r="G33" s="16"/>
    </row>
    <row r="34" spans="1:7">
      <c r="A34" s="174" t="s">
        <v>73</v>
      </c>
      <c r="B34" s="34">
        <f>IF((($B$28-$B$32-$B$39-$B$77-$B$38)*C20/100)&lt;0,0,($B$28-$B$32-$B$39-$B$77-$B$38)*C20/100)</f>
        <v>104.79257641921396</v>
      </c>
      <c r="C34" s="170">
        <f>IF(ISERROR(B34/SUM($B$32,$B$34,$B$35,$B$36,$B$38,$B$39)*100),0,B34/SUM($B$32,$B$34,$B$35,$B$36,$B$38,$B$39)*100)</f>
        <v>2.7649756311138249</v>
      </c>
      <c r="D34" s="236"/>
      <c r="G34" s="16"/>
    </row>
    <row r="35" spans="1:7">
      <c r="A35" s="174" t="s">
        <v>74</v>
      </c>
      <c r="B35" s="34">
        <f>IF((($B$28-$B$32-$B$39-$B$77-$B$38)*C21/100)&lt;0,0,($B$28-$B$32-$B$39-$B$77-$B$38)*C21/100)</f>
        <v>574.55240174672485</v>
      </c>
      <c r="C35" s="170">
        <f>IF(ISERROR(B35/SUM($B$32,$B$34,$B$35,$B$36,$B$38,$B$39)*100),0,B35/SUM($B$32,$B$34,$B$35,$B$36,$B$38,$B$39)*100)</f>
        <v>15.159693977486144</v>
      </c>
      <c r="D35" s="236"/>
      <c r="G35" s="16"/>
    </row>
    <row r="36" spans="1:7">
      <c r="A36" s="174" t="s">
        <v>75</v>
      </c>
      <c r="B36" s="34">
        <f>IF((($B$28-$B$32-$B$39-$B$77-$B$38)*C22/100)&lt;0,0,($B$28-$B$32-$B$39-$B$77-$B$38)*C22/100)</f>
        <v>148.15502183406113</v>
      </c>
      <c r="C36" s="170">
        <f>IF(ISERROR(B36/SUM($B$32,$B$34,$B$35,$B$36,$B$38,$B$39)*100),0,B36/SUM($B$32,$B$34,$B$35,$B$36,$B$38,$B$39)*100)</f>
        <v>3.9091034784712702</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1567.5</v>
      </c>
      <c r="C39" s="170">
        <f>IF(ISERROR(B39/SUM($B$32,$B$34,$B$35,$B$36,$B$38,$B$39)*100),0,B39/SUM($B$32,$B$34,$B$35,$B$36,$B$38,$B$39)*100)</f>
        <v>41.358839050131927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1395</v>
      </c>
      <c r="C44" s="35" t="s">
        <v>111</v>
      </c>
      <c r="D44" s="177"/>
    </row>
    <row r="45" spans="1:7">
      <c r="A45" s="174" t="s">
        <v>72</v>
      </c>
      <c r="B45" s="34" t="str">
        <f t="shared" si="0"/>
        <v>-</v>
      </c>
      <c r="C45" s="35" t="s">
        <v>111</v>
      </c>
      <c r="D45" s="177"/>
    </row>
    <row r="46" spans="1:7">
      <c r="A46" s="174" t="s">
        <v>73</v>
      </c>
      <c r="B46" s="34">
        <f t="shared" si="0"/>
        <v>104.79257641921396</v>
      </c>
      <c r="C46" s="35" t="s">
        <v>111</v>
      </c>
      <c r="D46" s="177"/>
    </row>
    <row r="47" spans="1:7">
      <c r="A47" s="174" t="s">
        <v>74</v>
      </c>
      <c r="B47" s="34">
        <f t="shared" si="0"/>
        <v>574.55240174672485</v>
      </c>
      <c r="C47" s="35" t="s">
        <v>111</v>
      </c>
      <c r="D47" s="177"/>
    </row>
    <row r="48" spans="1:7">
      <c r="A48" s="174" t="s">
        <v>75</v>
      </c>
      <c r="B48" s="34">
        <f t="shared" si="0"/>
        <v>148.15502183406113</v>
      </c>
      <c r="C48" s="34">
        <f>B48*10</f>
        <v>1481.5502183406113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1567.5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13635.769</v>
      </c>
      <c r="C5" s="18">
        <f>IF(ISERROR('Eigen informatie GS &amp; warmtenet'!B58),0,'Eigen informatie GS &amp; warmtenet'!B58)</f>
        <v>0</v>
      </c>
      <c r="D5" s="31">
        <f>SUM(D6:D12)</f>
        <v>9129.5253499999999</v>
      </c>
      <c r="E5" s="18">
        <f>SUM(E6:E12)</f>
        <v>92.68848101655098</v>
      </c>
      <c r="F5" s="18">
        <f>SUM(F6:F12)</f>
        <v>2858.1203569214763</v>
      </c>
      <c r="G5" s="19"/>
      <c r="H5" s="18"/>
      <c r="I5" s="18"/>
      <c r="J5" s="18">
        <f>SUM(J6:J12)</f>
        <v>0</v>
      </c>
      <c r="K5" s="18"/>
      <c r="L5" s="18"/>
      <c r="M5" s="18"/>
      <c r="N5" s="18">
        <f>SUM(N6:N12)</f>
        <v>1312.629812303481</v>
      </c>
      <c r="O5" s="18">
        <f>B38*B39*B40</f>
        <v>0</v>
      </c>
      <c r="P5" s="18">
        <f>B46*B47*B48/1000-B46*B47*B48/1000/B49</f>
        <v>0</v>
      </c>
      <c r="R5" s="33"/>
    </row>
    <row r="6" spans="1:18">
      <c r="A6" s="33" t="s">
        <v>54</v>
      </c>
      <c r="B6" s="38">
        <f>B26</f>
        <v>2618.4720000000002</v>
      </c>
      <c r="C6" s="34"/>
      <c r="D6" s="38">
        <f>IF(ISERROR(TER_kantoor_gas_kWh/1000),0,TER_kantoor_gas_kWh/1000)*0.902</f>
        <v>1717.2221880000002</v>
      </c>
      <c r="E6" s="34">
        <f>$C$26*'E Balans VL '!I12/100/3.6*1000000</f>
        <v>4.2974432530356292</v>
      </c>
      <c r="F6" s="34">
        <f>$C$26*('E Balans VL '!L12+'E Balans VL '!N12)/100/3.6*1000000</f>
        <v>308.65623949950503</v>
      </c>
      <c r="G6" s="35"/>
      <c r="H6" s="34"/>
      <c r="I6" s="34"/>
      <c r="J6" s="34">
        <f>$C$26*('E Balans VL '!D12+'E Balans VL '!E12)/100/3.6*1000000</f>
        <v>0</v>
      </c>
      <c r="K6" s="34"/>
      <c r="L6" s="34"/>
      <c r="M6" s="34"/>
      <c r="N6" s="34">
        <f>$C$26*'E Balans VL '!Y12/100/3.6*1000000</f>
        <v>0.5290498681199669</v>
      </c>
      <c r="O6" s="34"/>
      <c r="P6" s="34"/>
      <c r="R6" s="33"/>
    </row>
    <row r="7" spans="1:18">
      <c r="A7" s="33" t="s">
        <v>53</v>
      </c>
      <c r="B7" s="38">
        <f t="shared" ref="B7:B12" si="0">B27</f>
        <v>553.71500000000003</v>
      </c>
      <c r="C7" s="34"/>
      <c r="D7" s="38">
        <f>IF(ISERROR(TER_horeca_gas_kWh/1000),0,TER_horeca_gas_kWh/1000)*0.902</f>
        <v>320.79449600000004</v>
      </c>
      <c r="E7" s="34">
        <f>$C$27*'E Balans VL '!I9/100/3.6*1000000</f>
        <v>28.73380173251838</v>
      </c>
      <c r="F7" s="34">
        <f>$C$27*('E Balans VL '!L9+'E Balans VL '!N9)/100/3.6*1000000</f>
        <v>126.35816477759532</v>
      </c>
      <c r="G7" s="35"/>
      <c r="H7" s="34"/>
      <c r="I7" s="34"/>
      <c r="J7" s="34">
        <f>$C$27*('E Balans VL '!D9+'E Balans VL '!E9)/100/3.6*1000000</f>
        <v>0</v>
      </c>
      <c r="K7" s="34"/>
      <c r="L7" s="34"/>
      <c r="M7" s="34"/>
      <c r="N7" s="34">
        <f>$C$27*'E Balans VL '!Y9/100/3.6*1000000</f>
        <v>5.8472050249030773E-2</v>
      </c>
      <c r="O7" s="34"/>
      <c r="P7" s="34"/>
      <c r="R7" s="33"/>
    </row>
    <row r="8" spans="1:18">
      <c r="A8" s="6" t="s">
        <v>52</v>
      </c>
      <c r="B8" s="38">
        <f t="shared" si="0"/>
        <v>7572.576</v>
      </c>
      <c r="C8" s="34"/>
      <c r="D8" s="38">
        <f>IF(ISERROR(TER_handel_gas_kWh/1000),0,TER_handel_gas_kWh/1000)*0.902</f>
        <v>4801.0753999999997</v>
      </c>
      <c r="E8" s="34">
        <f>$C$28*'E Balans VL '!I13/100/3.6*1000000</f>
        <v>40.779252305910845</v>
      </c>
      <c r="F8" s="34">
        <f>$C$28*('E Balans VL '!L13+'E Balans VL '!N13)/100/3.6*1000000</f>
        <v>1544.273283090394</v>
      </c>
      <c r="G8" s="35"/>
      <c r="H8" s="34"/>
      <c r="I8" s="34"/>
      <c r="J8" s="34">
        <f>$C$28*('E Balans VL '!D13+'E Balans VL '!E13)/100/3.6*1000000</f>
        <v>0</v>
      </c>
      <c r="K8" s="34"/>
      <c r="L8" s="34"/>
      <c r="M8" s="34"/>
      <c r="N8" s="34">
        <f>$C$28*'E Balans VL '!Y13/100/3.6*1000000</f>
        <v>37.654421485187015</v>
      </c>
      <c r="O8" s="34"/>
      <c r="P8" s="34"/>
      <c r="R8" s="33"/>
    </row>
    <row r="9" spans="1:18">
      <c r="A9" s="33" t="s">
        <v>51</v>
      </c>
      <c r="B9" s="38">
        <f t="shared" si="0"/>
        <v>665.76400000000001</v>
      </c>
      <c r="C9" s="34"/>
      <c r="D9" s="38">
        <f>IF(ISERROR(TER_gezond_gas_kWh/1000),0,TER_gezond_gas_kWh/1000)*0.902</f>
        <v>0</v>
      </c>
      <c r="E9" s="34">
        <f>$C$29*'E Balans VL '!I10/100/3.6*1000000</f>
        <v>0.65977969503687428</v>
      </c>
      <c r="F9" s="34">
        <f>$C$29*('E Balans VL '!L10+'E Balans VL '!N10)/100/3.6*1000000</f>
        <v>231.00091808890855</v>
      </c>
      <c r="G9" s="35"/>
      <c r="H9" s="34"/>
      <c r="I9" s="34"/>
      <c r="J9" s="34">
        <f>$C$29*('E Balans VL '!D10+'E Balans VL '!E10)/100/3.6*1000000</f>
        <v>0</v>
      </c>
      <c r="K9" s="34"/>
      <c r="L9" s="34"/>
      <c r="M9" s="34"/>
      <c r="N9" s="34">
        <f>$C$29*'E Balans VL '!Y10/100/3.6*1000000</f>
        <v>5.7368307131411909</v>
      </c>
      <c r="O9" s="34"/>
      <c r="P9" s="34"/>
      <c r="R9" s="33"/>
    </row>
    <row r="10" spans="1:18">
      <c r="A10" s="33" t="s">
        <v>50</v>
      </c>
      <c r="B10" s="38">
        <f t="shared" si="0"/>
        <v>2195.8510000000001</v>
      </c>
      <c r="C10" s="34"/>
      <c r="D10" s="38">
        <f>IF(ISERROR(TER_ander_gas_kWh/1000),0,TER_ander_gas_kWh/1000)*0.902</f>
        <v>1019.0850120000001</v>
      </c>
      <c r="E10" s="34">
        <f>$C$30*'E Balans VL '!I14/100/3.6*1000000</f>
        <v>17.96425577678006</v>
      </c>
      <c r="F10" s="34">
        <f>$C$30*('E Balans VL '!L14+'E Balans VL '!N14)/100/3.6*1000000</f>
        <v>641.97743560328752</v>
      </c>
      <c r="G10" s="35"/>
      <c r="H10" s="34"/>
      <c r="I10" s="34"/>
      <c r="J10" s="34">
        <f>$C$30*('E Balans VL '!D14+'E Balans VL '!E14)/100/3.6*1000000</f>
        <v>0</v>
      </c>
      <c r="K10" s="34"/>
      <c r="L10" s="34"/>
      <c r="M10" s="34"/>
      <c r="N10" s="34">
        <f>$C$30*'E Balans VL '!Y14/100/3.6*1000000</f>
        <v>1266.7179070042653</v>
      </c>
      <c r="O10" s="34"/>
      <c r="P10" s="34"/>
      <c r="R10" s="33"/>
    </row>
    <row r="11" spans="1:18">
      <c r="A11" s="33" t="s">
        <v>55</v>
      </c>
      <c r="B11" s="38">
        <f t="shared" si="0"/>
        <v>0</v>
      </c>
      <c r="C11" s="34"/>
      <c r="D11" s="38">
        <f>IF(ISERROR(TER_onderwijs_gas_kWh/1000),0,TER_onderwijs_gas_kWh/1000)*0.902</f>
        <v>180.11947799999999</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29.390999999999998</v>
      </c>
      <c r="C12" s="34"/>
      <c r="D12" s="38">
        <f>IF(ISERROR(TER_rest_gas_kWh/1000),0,TER_rest_gas_kWh/1000)*0.902</f>
        <v>1091.2287759999999</v>
      </c>
      <c r="E12" s="34">
        <f>$C$32*'E Balans VL '!I8/100/3.6*1000000</f>
        <v>0.25394825326919201</v>
      </c>
      <c r="F12" s="34">
        <f>$C$32*('E Balans VL '!L8+'E Balans VL '!N8)/100/3.6*1000000</f>
        <v>5.854315861786012</v>
      </c>
      <c r="G12" s="35"/>
      <c r="H12" s="34"/>
      <c r="I12" s="34"/>
      <c r="J12" s="34">
        <f>$C$32*('E Balans VL '!D8+'E Balans VL '!E8)/100/3.6*1000000</f>
        <v>0</v>
      </c>
      <c r="K12" s="34"/>
      <c r="L12" s="34"/>
      <c r="M12" s="34"/>
      <c r="N12" s="34">
        <f>$C$32*'E Balans VL '!Y8/100/3.6*1000000</f>
        <v>1.9331311825185791</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13635.769</v>
      </c>
      <c r="C16" s="22">
        <f t="shared" ca="1" si="1"/>
        <v>0</v>
      </c>
      <c r="D16" s="22">
        <f t="shared" ca="1" si="1"/>
        <v>9129.5253499999999</v>
      </c>
      <c r="E16" s="22">
        <f t="shared" si="1"/>
        <v>92.68848101655098</v>
      </c>
      <c r="F16" s="22">
        <f t="shared" ca="1" si="1"/>
        <v>2858.1203569214763</v>
      </c>
      <c r="G16" s="22">
        <f t="shared" si="1"/>
        <v>0</v>
      </c>
      <c r="H16" s="22">
        <f t="shared" si="1"/>
        <v>0</v>
      </c>
      <c r="I16" s="22">
        <f t="shared" si="1"/>
        <v>0</v>
      </c>
      <c r="J16" s="22">
        <f t="shared" si="1"/>
        <v>0</v>
      </c>
      <c r="K16" s="22">
        <f t="shared" si="1"/>
        <v>0</v>
      </c>
      <c r="L16" s="22">
        <f t="shared" ca="1" si="1"/>
        <v>0</v>
      </c>
      <c r="M16" s="22">
        <f t="shared" si="1"/>
        <v>0</v>
      </c>
      <c r="N16" s="22">
        <f t="shared" ca="1" si="1"/>
        <v>1312.629812303481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0.13038013085465111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1777.8333465237952</v>
      </c>
      <c r="C20" s="24">
        <f t="shared" ref="C20:P20" ca="1" si="2">C16*C18</f>
        <v>0</v>
      </c>
      <c r="D20" s="24">
        <f t="shared" ca="1" si="2"/>
        <v>1844.1641207</v>
      </c>
      <c r="E20" s="24">
        <f t="shared" si="2"/>
        <v>21.040285190757075</v>
      </c>
      <c r="F20" s="24">
        <f t="shared" ca="1" si="2"/>
        <v>763.11813529803419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2618.4720000000002</v>
      </c>
      <c r="C26" s="40">
        <f>IF(ISERROR(B26*3.6/1000000/'E Balans VL '!Z12*100),0,B26*3.6/1000000/'E Balans VL '!Z12*100)</f>
        <v>5.5640652212441744E-2</v>
      </c>
      <c r="D26" s="240" t="s">
        <v>707</v>
      </c>
      <c r="F26" s="6"/>
    </row>
    <row r="27" spans="1:18">
      <c r="A27" s="234" t="s">
        <v>53</v>
      </c>
      <c r="B27" s="34">
        <f>IF(ISERROR(TER_horeca_ele_kWh/1000),0,TER_horeca_ele_kWh/1000)</f>
        <v>553.71500000000003</v>
      </c>
      <c r="C27" s="40">
        <f>IF(ISERROR(B27*3.6/1000000/'E Balans VL '!Z9*100),0,B27*3.6/1000000/'E Balans VL '!Z9*100)</f>
        <v>4.3581652359526046E-2</v>
      </c>
      <c r="D27" s="240" t="s">
        <v>707</v>
      </c>
      <c r="F27" s="6"/>
    </row>
    <row r="28" spans="1:18">
      <c r="A28" s="174" t="s">
        <v>52</v>
      </c>
      <c r="B28" s="34">
        <f>IF(ISERROR(TER_handel_ele_kWh/1000),0,TER_handel_ele_kWh/1000)</f>
        <v>7572.576</v>
      </c>
      <c r="C28" s="40">
        <f>IF(ISERROR(B28*3.6/1000000/'E Balans VL '!Z13*100),0,B28*3.6/1000000/'E Balans VL '!Z13*100)</f>
        <v>0.21211190644267647</v>
      </c>
      <c r="D28" s="240" t="s">
        <v>707</v>
      </c>
      <c r="F28" s="6"/>
    </row>
    <row r="29" spans="1:18">
      <c r="A29" s="234" t="s">
        <v>51</v>
      </c>
      <c r="B29" s="34">
        <f>IF(ISERROR(TER_gezond_ele_kWh/1000),0,TER_gezond_ele_kWh/1000)</f>
        <v>665.76400000000001</v>
      </c>
      <c r="C29" s="40">
        <f>IF(ISERROR(B29*3.6/1000000/'E Balans VL '!Z10*100),0,B29*3.6/1000000/'E Balans VL '!Z10*100)</f>
        <v>8.5171347492560265E-2</v>
      </c>
      <c r="D29" s="240" t="s">
        <v>707</v>
      </c>
      <c r="F29" s="6"/>
    </row>
    <row r="30" spans="1:18">
      <c r="A30" s="234" t="s">
        <v>50</v>
      </c>
      <c r="B30" s="34">
        <f>IF(ISERROR(TER_ander_ele_kWh/1000),0,TER_ander_ele_kWh/1000)</f>
        <v>2195.8510000000001</v>
      </c>
      <c r="C30" s="40">
        <f>IF(ISERROR(B30*3.6/1000000/'E Balans VL '!Z14*100),0,B30*3.6/1000000/'E Balans VL '!Z14*100)</f>
        <v>0.16423115223625454</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29.390999999999998</v>
      </c>
      <c r="C32" s="40">
        <f>IF(ISERROR(B32*3.6/1000000/'E Balans VL '!Z8*100),0,B32*3.6/1000000/'E Balans VL '!Z8*100)</f>
        <v>2.4212106133533721E-4</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12700.985000000001</v>
      </c>
      <c r="C5" s="18">
        <f>IF(ISERROR('Eigen informatie GS &amp; warmtenet'!B59),0,'Eigen informatie GS &amp; warmtenet'!B59)</f>
        <v>0</v>
      </c>
      <c r="D5" s="31">
        <f>SUM(D6:D15)</f>
        <v>17116.157167999998</v>
      </c>
      <c r="E5" s="18">
        <f>SUM(E6:E15)</f>
        <v>80.693833269268922</v>
      </c>
      <c r="F5" s="18">
        <f>SUM(F6:F15)</f>
        <v>8707.3695256266983</v>
      </c>
      <c r="G5" s="19"/>
      <c r="H5" s="18"/>
      <c r="I5" s="18"/>
      <c r="J5" s="18">
        <f>SUM(J6:J15)</f>
        <v>5.3152584666240559</v>
      </c>
      <c r="K5" s="18"/>
      <c r="L5" s="18"/>
      <c r="M5" s="18"/>
      <c r="N5" s="18">
        <f>SUM(N6:N15)</f>
        <v>860.76436147460856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225.33799999999999</v>
      </c>
      <c r="C8" s="34"/>
      <c r="D8" s="38">
        <f>IF( ISERROR(IND_metaal_Gas_kWH/1000),0,IND_metaal_Gas_kWH/1000)*0.902</f>
        <v>100.03811399999999</v>
      </c>
      <c r="E8" s="34">
        <f>C30*'E Balans VL '!I18/100/3.6*1000000</f>
        <v>2.0521125573084764</v>
      </c>
      <c r="F8" s="34">
        <f>C30*'E Balans VL '!L18/100/3.6*1000000+C30*'E Balans VL '!N18/100/3.6*1000000</f>
        <v>29.720370953836422</v>
      </c>
      <c r="G8" s="35"/>
      <c r="H8" s="34"/>
      <c r="I8" s="34"/>
      <c r="J8" s="41">
        <f>C30*'E Balans VL '!D18/100/3.6*1000000+C30*'E Balans VL '!E18/100/3.6*1000000</f>
        <v>3.6952160210053626</v>
      </c>
      <c r="K8" s="34"/>
      <c r="L8" s="34"/>
      <c r="M8" s="34"/>
      <c r="N8" s="34">
        <f>C30*'E Balans VL '!Y18/100/3.6*1000000</f>
        <v>0.77439719070912405</v>
      </c>
      <c r="O8" s="34"/>
      <c r="P8" s="34"/>
      <c r="R8" s="33"/>
    </row>
    <row r="9" spans="1:18">
      <c r="A9" s="6" t="s">
        <v>33</v>
      </c>
      <c r="B9" s="38">
        <f t="shared" si="0"/>
        <v>10777.191999999999</v>
      </c>
      <c r="C9" s="34"/>
      <c r="D9" s="38">
        <f>IF( ISERROR(IND_andere_gas_kWh/1000),0,IND_andere_gas_kWh/1000)*0.902</f>
        <v>14335.129709999999</v>
      </c>
      <c r="E9" s="34">
        <f>C31*'E Balans VL '!I19/100/3.6*1000000</f>
        <v>62.293780278133646</v>
      </c>
      <c r="F9" s="34">
        <f>C31*'E Balans VL '!L19/100/3.6*1000000+C31*'E Balans VL '!N19/100/3.6*1000000</f>
        <v>8573.7748139581563</v>
      </c>
      <c r="G9" s="35"/>
      <c r="H9" s="34"/>
      <c r="I9" s="34"/>
      <c r="J9" s="41">
        <f>C31*'E Balans VL '!D19/100/3.6*1000000+C31*'E Balans VL '!E19/100/3.6*1000000</f>
        <v>1.0194026535418963</v>
      </c>
      <c r="K9" s="34"/>
      <c r="L9" s="34"/>
      <c r="M9" s="34"/>
      <c r="N9" s="34">
        <f>C31*'E Balans VL '!Y19/100/3.6*1000000</f>
        <v>816.53538855783347</v>
      </c>
      <c r="O9" s="34"/>
      <c r="P9" s="34"/>
      <c r="R9" s="33"/>
    </row>
    <row r="10" spans="1:18">
      <c r="A10" s="6" t="s">
        <v>41</v>
      </c>
      <c r="B10" s="38">
        <f t="shared" si="0"/>
        <v>409.154</v>
      </c>
      <c r="C10" s="34"/>
      <c r="D10" s="38">
        <f>IF( ISERROR(IND_voed_gas_kWh/1000),0,IND_voed_gas_kWh/1000)*0.902</f>
        <v>398.12295599999999</v>
      </c>
      <c r="E10" s="34">
        <f>C32*'E Balans VL '!I20/100/3.6*1000000</f>
        <v>4.0230542287750186</v>
      </c>
      <c r="F10" s="34">
        <f>C32*'E Balans VL '!L20/100/3.6*1000000+C32*'E Balans VL '!N20/100/3.6*1000000</f>
        <v>45.441892241663396</v>
      </c>
      <c r="G10" s="35"/>
      <c r="H10" s="34"/>
      <c r="I10" s="34"/>
      <c r="J10" s="41">
        <f>C32*'E Balans VL '!D20/100/3.6*1000000+C32*'E Balans VL '!E20/100/3.6*1000000</f>
        <v>1.612661658739311E-3</v>
      </c>
      <c r="K10" s="34"/>
      <c r="L10" s="34"/>
      <c r="M10" s="34"/>
      <c r="N10" s="34">
        <f>C32*'E Balans VL '!Y20/100/3.6*1000000</f>
        <v>6.058608308344267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90.838999999999999</v>
      </c>
      <c r="C13" s="34"/>
      <c r="D13" s="38">
        <f>IF( ISERROR(IND_papier_gas_kWh/1000),0,IND_papier_gas_kWh/1000)*0.902</f>
        <v>0</v>
      </c>
      <c r="E13" s="34">
        <f>C35*'E Balans VL '!I23/100/3.6*1000000</f>
        <v>3.0941080480347458</v>
      </c>
      <c r="F13" s="34">
        <f>C35*'E Balans VL '!L23/100/3.6*1000000+C35*'E Balans VL '!N23/100/3.6*1000000</f>
        <v>15.004470854561335</v>
      </c>
      <c r="G13" s="35"/>
      <c r="H13" s="34"/>
      <c r="I13" s="34"/>
      <c r="J13" s="41">
        <f>C35*'E Balans VL '!D23/100/3.6*1000000+C35*'E Balans VL '!E23/100/3.6*1000000</f>
        <v>0</v>
      </c>
      <c r="K13" s="34"/>
      <c r="L13" s="34"/>
      <c r="M13" s="34"/>
      <c r="N13" s="34">
        <f>C35*'E Balans VL '!Y23/100/3.6*1000000</f>
        <v>33.426315886867613</v>
      </c>
      <c r="O13" s="34"/>
      <c r="P13" s="34"/>
      <c r="R13" s="33"/>
    </row>
    <row r="14" spans="1:18">
      <c r="A14" s="6" t="s">
        <v>34</v>
      </c>
      <c r="B14" s="38">
        <f t="shared" si="0"/>
        <v>1079.3420000000001</v>
      </c>
      <c r="C14" s="34"/>
      <c r="D14" s="38">
        <f>IF( ISERROR(IND_chemie_gas_kWh/1000),0,IND_chemie_gas_kWh/1000)*0.902</f>
        <v>2178.990264</v>
      </c>
      <c r="E14" s="34">
        <f>C36*'E Balans VL '!I24/100/3.6*1000000</f>
        <v>8.1604026515579715</v>
      </c>
      <c r="F14" s="34">
        <f>C36*'E Balans VL '!L24/100/3.6*1000000+C36*'E Balans VL '!N24/100/3.6*1000000</f>
        <v>19.970811179604326</v>
      </c>
      <c r="G14" s="35"/>
      <c r="H14" s="34"/>
      <c r="I14" s="34"/>
      <c r="J14" s="41">
        <f>C36*'E Balans VL '!D24/100/3.6*1000000+C36*'E Balans VL '!E24/100/3.6*1000000</f>
        <v>0</v>
      </c>
      <c r="K14" s="34"/>
      <c r="L14" s="34"/>
      <c r="M14" s="34"/>
      <c r="N14" s="34">
        <f>C36*'E Balans VL '!Y24/100/3.6*1000000</f>
        <v>0.31298134793773513</v>
      </c>
      <c r="O14" s="34"/>
      <c r="P14" s="34"/>
      <c r="R14" s="33"/>
    </row>
    <row r="15" spans="1:18">
      <c r="A15" s="6" t="s">
        <v>270</v>
      </c>
      <c r="B15" s="38">
        <f t="shared" si="0"/>
        <v>119.12</v>
      </c>
      <c r="C15" s="34"/>
      <c r="D15" s="38">
        <f>IF( ISERROR(IND_rest_gas_kWh/1000),0,IND_rest_gas_kWh/1000)*0.902</f>
        <v>103.876124</v>
      </c>
      <c r="E15" s="34">
        <f>C37*'E Balans VL '!I15/100/3.6*1000000</f>
        <v>1.0703755054590542</v>
      </c>
      <c r="F15" s="34">
        <f>C37*'E Balans VL '!L15/100/3.6*1000000+C37*'E Balans VL '!N15/100/3.6*1000000</f>
        <v>23.457166438877</v>
      </c>
      <c r="G15" s="35"/>
      <c r="H15" s="34"/>
      <c r="I15" s="34"/>
      <c r="J15" s="41">
        <f>C37*'E Balans VL '!D15/100/3.6*1000000+C37*'E Balans VL '!E15/100/3.6*1000000</f>
        <v>0.59902713041805833</v>
      </c>
      <c r="K15" s="34"/>
      <c r="L15" s="34"/>
      <c r="M15" s="34"/>
      <c r="N15" s="34">
        <f>C37*'E Balans VL '!Y15/100/3.6*1000000</f>
        <v>3.6566701829163932</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12700.985000000001</v>
      </c>
      <c r="C18" s="22">
        <f>C5+C16</f>
        <v>0</v>
      </c>
      <c r="D18" s="22">
        <f>MAX((D5+D16),0)</f>
        <v>17116.157167999998</v>
      </c>
      <c r="E18" s="22">
        <f>MAX((E5+E16),0)</f>
        <v>80.693833269268922</v>
      </c>
      <c r="F18" s="22">
        <f>MAX((F5+F16),0)</f>
        <v>8707.3695256266983</v>
      </c>
      <c r="G18" s="22"/>
      <c r="H18" s="22"/>
      <c r="I18" s="22"/>
      <c r="J18" s="22">
        <f>MAX((J5+J16),0)</f>
        <v>5.3152584666240559</v>
      </c>
      <c r="K18" s="22"/>
      <c r="L18" s="22">
        <f>MAX((L5+L16),0)</f>
        <v>0</v>
      </c>
      <c r="M18" s="22"/>
      <c r="N18" s="22">
        <f>MAX((N5+N16),0)</f>
        <v>860.76436147460856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0.13038013085465111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1655.956086282961</v>
      </c>
      <c r="C22" s="24">
        <f ca="1">C18*C20</f>
        <v>0</v>
      </c>
      <c r="D22" s="24">
        <f>D18*D20</f>
        <v>3457.4637479359999</v>
      </c>
      <c r="E22" s="24">
        <f>E18*E20</f>
        <v>18.317500152124047</v>
      </c>
      <c r="F22" s="24">
        <f>F18*F20</f>
        <v>2324.8676633423288</v>
      </c>
      <c r="G22" s="24"/>
      <c r="H22" s="24"/>
      <c r="I22" s="24"/>
      <c r="J22" s="24">
        <f>J18*J20</f>
        <v>1.8816014971849158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225.33799999999999</v>
      </c>
      <c r="C30" s="40">
        <f>IF(ISERROR(B30*3.6/1000000/'E Balans VL '!Z18*100),0,B30*3.6/1000000/'E Balans VL '!Z18*100)</f>
        <v>1.2538552877722143E-2</v>
      </c>
      <c r="D30" s="240" t="s">
        <v>707</v>
      </c>
    </row>
    <row r="31" spans="1:18">
      <c r="A31" s="6" t="s">
        <v>33</v>
      </c>
      <c r="B31" s="38">
        <f>IF( ISERROR(IND_ander_ele_kWh/1000),0,IND_ander_ele_kWh/1000)</f>
        <v>10777.191999999999</v>
      </c>
      <c r="C31" s="40">
        <f>IF(ISERROR(B31*3.6/1000000/'E Balans VL '!Z19*100),0,B31*3.6/1000000/'E Balans VL '!Z19*100)</f>
        <v>0.50100335191137557</v>
      </c>
      <c r="D31" s="240" t="s">
        <v>707</v>
      </c>
    </row>
    <row r="32" spans="1:18">
      <c r="A32" s="174" t="s">
        <v>41</v>
      </c>
      <c r="B32" s="38">
        <f>IF( ISERROR(IND_voed_ele_kWh/1000),0,IND_voed_ele_kWh/1000)</f>
        <v>409.154</v>
      </c>
      <c r="C32" s="40">
        <f>IF(ISERROR(B32*3.6/1000000/'E Balans VL '!Z20*100),0,B32*3.6/1000000/'E Balans VL '!Z20*100)</f>
        <v>1.4462767578501923E-2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90.838999999999999</v>
      </c>
      <c r="C35" s="40">
        <f>IF(ISERROR(B35*3.6/1000000/'E Balans VL '!Z22*100),0,B35*3.6/1000000/'E Balans VL '!Z22*100)</f>
        <v>1.8256077426740448E-2</v>
      </c>
      <c r="D35" s="240" t="s">
        <v>707</v>
      </c>
    </row>
    <row r="36" spans="1:5">
      <c r="A36" s="174" t="s">
        <v>34</v>
      </c>
      <c r="B36" s="38">
        <f>IF( ISERROR(IND_chemie_ele_kWh/1000),0,IND_chemie_ele_kWh/1000)</f>
        <v>1079.3420000000001</v>
      </c>
      <c r="C36" s="40">
        <f>IF(ISERROR(B36*3.6/1000000/'E Balans VL '!Z24*100),0,B36*3.6/1000000/'E Balans VL '!Z24*100)</f>
        <v>2.6579038347993238E-2</v>
      </c>
      <c r="D36" s="240" t="s">
        <v>707</v>
      </c>
    </row>
    <row r="37" spans="1:5">
      <c r="A37" s="174" t="s">
        <v>270</v>
      </c>
      <c r="B37" s="38">
        <f>IF( ISERROR(IND_rest_ele_kWh/1000),0,IND_rest_ele_kWh/1000)</f>
        <v>119.12</v>
      </c>
      <c r="C37" s="40">
        <f>IF(ISERROR(B37*3.6/1000000/'E Balans VL '!Z15*100),0,B37*3.6/1000000/'E Balans VL '!Z15*100)</f>
        <v>8.9953196684882145E-4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1116.998</v>
      </c>
      <c r="C5" s="18">
        <f>'Eigen informatie GS &amp; warmtenet'!B60</f>
        <v>0</v>
      </c>
      <c r="D5" s="31">
        <f>IF(ISERROR(SUM(LB_lb_gas_kWh,LB_rest_gas_kWh,onbekend_gas_kWh)/1000),0,SUM(LB_lb_gas_kWh,LB_rest_gas_kWh,onbekend_gas_kWh)/1000)*0.902</f>
        <v>183.40636599999999</v>
      </c>
      <c r="E5" s="18">
        <f>B17*'E Balans VL '!I25/3.6*1000000/100</f>
        <v>10.52286957321027</v>
      </c>
      <c r="F5" s="18">
        <f>B17*('E Balans VL '!L25/3.6*1000000+'E Balans VL '!N25/3.6*1000000)/100</f>
        <v>3645.1351730801975</v>
      </c>
      <c r="G5" s="19"/>
      <c r="H5" s="18"/>
      <c r="I5" s="18"/>
      <c r="J5" s="18">
        <f>('E Balans VL '!D25+'E Balans VL '!E25)/3.6*1000000*landbouw!B17/100</f>
        <v>138.17808567722838</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1116.998</v>
      </c>
      <c r="C8" s="22">
        <f>C5+C6</f>
        <v>0</v>
      </c>
      <c r="D8" s="22">
        <f>MAX((D5+D6),0)</f>
        <v>183.40636599999999</v>
      </c>
      <c r="E8" s="22">
        <f>MAX((E5+E6),0)</f>
        <v>10.52286957321027</v>
      </c>
      <c r="F8" s="22">
        <f>MAX((F5+F6),0)</f>
        <v>3645.1351730801975</v>
      </c>
      <c r="G8" s="22"/>
      <c r="H8" s="22"/>
      <c r="I8" s="22"/>
      <c r="J8" s="22">
        <f>MAX((J5+J6),0)</f>
        <v>138.17808567722838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0.13038013085465111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145.63434540438359</v>
      </c>
      <c r="C12" s="24">
        <f ca="1">C8*C10</f>
        <v>0</v>
      </c>
      <c r="D12" s="24">
        <f>D8*D10</f>
        <v>37.048085931999999</v>
      </c>
      <c r="E12" s="24">
        <f>E8*E10</f>
        <v>2.3886913931187315</v>
      </c>
      <c r="F12" s="24">
        <f>F8*F10</f>
        <v>973.2510912124128</v>
      </c>
      <c r="G12" s="24"/>
      <c r="H12" s="24"/>
      <c r="I12" s="24"/>
      <c r="J12" s="24">
        <f>J8*J10</f>
        <v>48.915042329738846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0.15122368014254028</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134.30755972990573</v>
      </c>
      <c r="C26" s="250">
        <f>B26*'GWP N2O_CH4'!B5</f>
        <v>2820.4587543280204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55.201740868552605</v>
      </c>
      <c r="C27" s="250">
        <f>B27*'GWP N2O_CH4'!B5</f>
        <v>1159.2365582396046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2.5629319197260436</v>
      </c>
      <c r="C28" s="250">
        <f>B28*'GWP N2O_CH4'!B4</f>
        <v>794.50889511507353</v>
      </c>
      <c r="D28" s="51"/>
    </row>
    <row r="29" spans="1:4">
      <c r="A29" s="42" t="s">
        <v>277</v>
      </c>
      <c r="B29" s="250">
        <f>B34*'ha_N2O bodem landbouw'!B4</f>
        <v>10.6170773442204</v>
      </c>
      <c r="C29" s="250">
        <f>B29*'GWP N2O_CH4'!B4</f>
        <v>3291.293976708324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2.8662766545116685E-3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9.8030432333193268E-6</v>
      </c>
      <c r="C5" s="447" t="s">
        <v>211</v>
      </c>
      <c r="D5" s="432">
        <f>SUM(D6:D11)</f>
        <v>2.8762261733937414E-5</v>
      </c>
      <c r="E5" s="432">
        <f>SUM(E6:E11)</f>
        <v>1.8899179763519325E-3</v>
      </c>
      <c r="F5" s="445" t="s">
        <v>211</v>
      </c>
      <c r="G5" s="432">
        <f>SUM(G6:G11)</f>
        <v>0.35902884656514938</v>
      </c>
      <c r="H5" s="432">
        <f>SUM(H6:H11)</f>
        <v>6.5688515607448678E-2</v>
      </c>
      <c r="I5" s="447" t="s">
        <v>211</v>
      </c>
      <c r="J5" s="447" t="s">
        <v>211</v>
      </c>
      <c r="K5" s="447" t="s">
        <v>211</v>
      </c>
      <c r="L5" s="447" t="s">
        <v>211</v>
      </c>
      <c r="M5" s="432">
        <f>SUM(M6:M11)</f>
        <v>1.8992465747721666E-2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1.4095269399188069E-6</v>
      </c>
      <c r="C6" s="433"/>
      <c r="D6" s="433">
        <f>vkm_2011_GW_PW*SUMIFS(TableVerdeelsleutelVkm[CNG],TableVerdeelsleutelVkm[Voertuigtype],"Lichte voertuigen")*SUMIFS(TableECFTransport[EnergieConsumptieFactor (PJ per km)],TableECFTransport[Index],CONCATENATE($A6,"_CNG_CNG"))</f>
        <v>3.4420883927794303E-6</v>
      </c>
      <c r="E6" s="435">
        <f>vkm_2011_GW_PW*SUMIFS(TableVerdeelsleutelVkm[LPG],TableVerdeelsleutelVkm[Voertuigtype],"Lichte voertuigen")*SUMIFS(TableECFTransport[EnergieConsumptieFactor (PJ per km)],TableECFTransport[Index],CONCATENATE($A6,"_LPG_LPG"))</f>
        <v>2.0402921168952487E-4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2.9494822642534901E-2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7.7297456440505322E-3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1.6669847211204418E-3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9.2872329231493342E-3</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3.7470364057133043E-6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4.1374335327655628E-4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2.2151531891813539E-6</v>
      </c>
      <c r="C8" s="433"/>
      <c r="D8" s="435">
        <f>vkm_2011_NGW_PW*SUMIFS(TableVerdeelsleutelVkm[CNG],TableVerdeelsleutelVkm[Voertuigtype],"Lichte voertuigen")*SUMIFS(TableECFTransport[EnergieConsumptieFactor (PJ per km)],TableECFTransport[Index],CONCATENATE($A8,"_CNG_CNG"))</f>
        <v>9.7054565565634489E-6</v>
      </c>
      <c r="E8" s="435">
        <f>vkm_2011_NGW_PW*SUMIFS(TableVerdeelsleutelVkm[LPG],TableVerdeelsleutelVkm[Voertuigtype],"Lichte voertuigen")*SUMIFS(TableECFTransport[EnergieConsumptieFactor (PJ per km)],TableECFTransport[Index],CONCATENATE($A8,"_LPG_LPG"))</f>
        <v>5.2777025006719535E-4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7.2075114919721336E-2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2.08709397349678E-2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4.1641908946478106E-3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1.2897205412996474E-2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4.530681576375525E-6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5.7453573645888415E-4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6.1783631042191655E-6</v>
      </c>
      <c r="C10" s="433"/>
      <c r="D10" s="435">
        <f>vkm_2011_SW_PW*SUMIFS(TableVerdeelsleutelVkm[CNG],TableVerdeelsleutelVkm[Voertuigtype],"Lichte voertuigen")*SUMIFS(TableECFTransport[EnergieConsumptieFactor (PJ per km)],TableECFTransport[Index],CONCATENATE($A10,"_CNG_CNG"))</f>
        <v>1.5614716784594535E-5</v>
      </c>
      <c r="E10" s="435">
        <f>vkm_2011_SW_PW*SUMIFS(TableVerdeelsleutelVkm[LPG],TableVerdeelsleutelVkm[Voertuigtype],"Lichte voertuigen")*SUMIFS(TableECFTransport[EnergieConsumptieFactor (PJ per km)],TableECFTransport[Index],CONCATENATE($A10,"_LPG_LPG"))</f>
        <v>1.1581185145952122E-3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0.15257563690238957</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3.7044153159319429E-2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8.4887105720706166E-3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8.2698833764357757E-2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3.5399351128828905E-5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3.6843004701473574E-3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2.7230675648109242</v>
      </c>
      <c r="C14" s="22"/>
      <c r="D14" s="22">
        <f t="shared" ref="D14:M14" si="0">((D5)*10^9/3600)+D12</f>
        <v>7.9895171483159491</v>
      </c>
      <c r="E14" s="22">
        <f t="shared" si="0"/>
        <v>524.9772156533146</v>
      </c>
      <c r="F14" s="22"/>
      <c r="G14" s="22">
        <f t="shared" si="0"/>
        <v>99730.235156985931</v>
      </c>
      <c r="H14" s="22">
        <f t="shared" si="0"/>
        <v>18246.809890957964</v>
      </c>
      <c r="I14" s="22"/>
      <c r="J14" s="22"/>
      <c r="K14" s="22"/>
      <c r="L14" s="22"/>
      <c r="M14" s="22">
        <f t="shared" si="0"/>
        <v>5275.6849299226842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0.13038013085465111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0.35503390542610441</v>
      </c>
      <c r="C18" s="24"/>
      <c r="D18" s="24">
        <f t="shared" ref="D18:M18" si="1">D14*D16</f>
        <v>1.6138824639598217</v>
      </c>
      <c r="E18" s="24">
        <f t="shared" si="1"/>
        <v>119.16982795330242</v>
      </c>
      <c r="F18" s="24"/>
      <c r="G18" s="24">
        <f t="shared" si="1"/>
        <v>26627.972786915245</v>
      </c>
      <c r="H18" s="24">
        <f t="shared" si="1"/>
        <v>4543.4556628485334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4.9862049096704789E-3</v>
      </c>
      <c r="H50" s="323">
        <f t="shared" si="2"/>
        <v>0</v>
      </c>
      <c r="I50" s="323">
        <f t="shared" si="2"/>
        <v>0</v>
      </c>
      <c r="J50" s="323">
        <f t="shared" si="2"/>
        <v>0</v>
      </c>
      <c r="K50" s="323">
        <f t="shared" si="2"/>
        <v>0</v>
      </c>
      <c r="L50" s="323">
        <f t="shared" si="2"/>
        <v>0</v>
      </c>
      <c r="M50" s="323">
        <f t="shared" si="2"/>
        <v>2.1895248284312818E-4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4.9862049096704789E-3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2.1895248284312818E-4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1385.0569193529107</v>
      </c>
      <c r="H54" s="22">
        <f t="shared" si="3"/>
        <v>0</v>
      </c>
      <c r="I54" s="22">
        <f t="shared" si="3"/>
        <v>0</v>
      </c>
      <c r="J54" s="22">
        <f t="shared" si="3"/>
        <v>0</v>
      </c>
      <c r="K54" s="22">
        <f t="shared" si="3"/>
        <v>0</v>
      </c>
      <c r="L54" s="22">
        <f t="shared" si="3"/>
        <v>0</v>
      </c>
      <c r="M54" s="22">
        <f t="shared" si="3"/>
        <v>60.820134123091158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0.13038013085465111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369.81019746722717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15230.301970606301</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3735.525758597757</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18965.827729204058</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14249.31</v>
      </c>
      <c r="D10" s="703">
        <f ca="1">tertiair!C16</f>
        <v>0</v>
      </c>
      <c r="E10" s="703">
        <f ca="1">tertiair!D16</f>
        <v>9129.5253499999999</v>
      </c>
      <c r="F10" s="703">
        <f>tertiair!E16</f>
        <v>92.68848101655098</v>
      </c>
      <c r="G10" s="703">
        <f ca="1">tertiair!F16</f>
        <v>2858.1203569214763</v>
      </c>
      <c r="H10" s="703">
        <f>tertiair!G16</f>
        <v>0</v>
      </c>
      <c r="I10" s="703">
        <f>tertiair!H16</f>
        <v>0</v>
      </c>
      <c r="J10" s="703">
        <f>tertiair!I16</f>
        <v>0</v>
      </c>
      <c r="K10" s="703">
        <f>tertiair!J16</f>
        <v>0</v>
      </c>
      <c r="L10" s="703">
        <f>tertiair!K16</f>
        <v>0</v>
      </c>
      <c r="M10" s="703">
        <f ca="1">tertiair!L16</f>
        <v>0</v>
      </c>
      <c r="N10" s="703">
        <f>tertiair!M16</f>
        <v>0</v>
      </c>
      <c r="O10" s="703">
        <f ca="1">tertiair!N16</f>
        <v>1312.629812303481</v>
      </c>
      <c r="P10" s="703">
        <f>tertiair!O16</f>
        <v>0</v>
      </c>
      <c r="Q10" s="704">
        <f>tertiair!P16</f>
        <v>0</v>
      </c>
      <c r="R10" s="706">
        <f ca="1">SUM(C10:Q10)</f>
        <v>27642.274000241508</v>
      </c>
      <c r="S10" s="68"/>
    </row>
    <row r="11" spans="1:19" s="458" customFormat="1">
      <c r="A11" s="859" t="s">
        <v>225</v>
      </c>
      <c r="B11" s="864"/>
      <c r="C11" s="703">
        <f>huishoudens!B8</f>
        <v>18183.062508737952</v>
      </c>
      <c r="D11" s="703">
        <f>huishoudens!C8</f>
        <v>0</v>
      </c>
      <c r="E11" s="703">
        <f>huishoudens!D8</f>
        <v>20694.679808000001</v>
      </c>
      <c r="F11" s="703">
        <f>huishoudens!E8</f>
        <v>2309.2542754165083</v>
      </c>
      <c r="G11" s="703">
        <f>huishoudens!F8</f>
        <v>30942.268624006127</v>
      </c>
      <c r="H11" s="703">
        <f>huishoudens!G8</f>
        <v>0</v>
      </c>
      <c r="I11" s="703">
        <f>huishoudens!H8</f>
        <v>0</v>
      </c>
      <c r="J11" s="703">
        <f>huishoudens!I8</f>
        <v>0</v>
      </c>
      <c r="K11" s="703">
        <f>huishoudens!J8</f>
        <v>0</v>
      </c>
      <c r="L11" s="703">
        <f>huishoudens!K8</f>
        <v>0</v>
      </c>
      <c r="M11" s="703">
        <f>huishoudens!L8</f>
        <v>0</v>
      </c>
      <c r="N11" s="703">
        <f>huishoudens!M8</f>
        <v>0</v>
      </c>
      <c r="O11" s="703">
        <f>huishoudens!N8</f>
        <v>10602.601768016535</v>
      </c>
      <c r="P11" s="703">
        <f>huishoudens!O8</f>
        <v>53.153333333333336</v>
      </c>
      <c r="Q11" s="704">
        <f>huishoudens!P8</f>
        <v>171.6</v>
      </c>
      <c r="R11" s="706">
        <f>SUM(C11:Q11)</f>
        <v>82956.620317510475</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12700.985000000001</v>
      </c>
      <c r="D13" s="703">
        <f>industrie!C18</f>
        <v>0</v>
      </c>
      <c r="E13" s="703">
        <f>industrie!D18</f>
        <v>17116.157167999998</v>
      </c>
      <c r="F13" s="703">
        <f>industrie!E18</f>
        <v>80.693833269268922</v>
      </c>
      <c r="G13" s="703">
        <f>industrie!F18</f>
        <v>8707.3695256266983</v>
      </c>
      <c r="H13" s="703">
        <f>industrie!G18</f>
        <v>0</v>
      </c>
      <c r="I13" s="703">
        <f>industrie!H18</f>
        <v>0</v>
      </c>
      <c r="J13" s="703">
        <f>industrie!I18</f>
        <v>0</v>
      </c>
      <c r="K13" s="703">
        <f>industrie!J18</f>
        <v>5.3152584666240559</v>
      </c>
      <c r="L13" s="703">
        <f>industrie!K18</f>
        <v>0</v>
      </c>
      <c r="M13" s="703">
        <f>industrie!L18</f>
        <v>0</v>
      </c>
      <c r="N13" s="703">
        <f>industrie!M18</f>
        <v>0</v>
      </c>
      <c r="O13" s="703">
        <f>industrie!N18</f>
        <v>860.76436147460856</v>
      </c>
      <c r="P13" s="703">
        <f>industrie!O18</f>
        <v>0</v>
      </c>
      <c r="Q13" s="704">
        <f>industrie!P18</f>
        <v>0</v>
      </c>
      <c r="R13" s="706">
        <f>SUM(C13:Q13)</f>
        <v>39471.285146837203</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45133.35750873795</v>
      </c>
      <c r="D15" s="708">
        <f t="shared" ref="D15:Q15" ca="1" si="0">SUM(D9:D14)</f>
        <v>0</v>
      </c>
      <c r="E15" s="708">
        <f t="shared" ca="1" si="0"/>
        <v>46940.362326000002</v>
      </c>
      <c r="F15" s="708">
        <f t="shared" si="0"/>
        <v>2482.6365897023284</v>
      </c>
      <c r="G15" s="708">
        <f t="shared" ca="1" si="0"/>
        <v>42507.758506554295</v>
      </c>
      <c r="H15" s="708">
        <f t="shared" si="0"/>
        <v>0</v>
      </c>
      <c r="I15" s="708">
        <f t="shared" si="0"/>
        <v>0</v>
      </c>
      <c r="J15" s="708">
        <f t="shared" si="0"/>
        <v>0</v>
      </c>
      <c r="K15" s="708">
        <f t="shared" si="0"/>
        <v>5.3152584666240559</v>
      </c>
      <c r="L15" s="708">
        <f t="shared" si="0"/>
        <v>0</v>
      </c>
      <c r="M15" s="708">
        <f t="shared" ca="1" si="0"/>
        <v>0</v>
      </c>
      <c r="N15" s="708">
        <f t="shared" si="0"/>
        <v>0</v>
      </c>
      <c r="O15" s="708">
        <f t="shared" ca="1" si="0"/>
        <v>12775.995941794625</v>
      </c>
      <c r="P15" s="708">
        <f t="shared" si="0"/>
        <v>53.153333333333336</v>
      </c>
      <c r="Q15" s="709">
        <f t="shared" si="0"/>
        <v>171.6</v>
      </c>
      <c r="R15" s="710">
        <f ca="1">SUM(R9:R14)</f>
        <v>150070.17946458919</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1385.0569193529107</v>
      </c>
      <c r="I18" s="703">
        <f>transport!H54</f>
        <v>0</v>
      </c>
      <c r="J18" s="703">
        <f>transport!I54</f>
        <v>0</v>
      </c>
      <c r="K18" s="703">
        <f>transport!J54</f>
        <v>0</v>
      </c>
      <c r="L18" s="703">
        <f>transport!K54</f>
        <v>0</v>
      </c>
      <c r="M18" s="703">
        <f>transport!L54</f>
        <v>0</v>
      </c>
      <c r="N18" s="703">
        <f>transport!M54</f>
        <v>60.820134123091158</v>
      </c>
      <c r="O18" s="703">
        <f>transport!N54</f>
        <v>0</v>
      </c>
      <c r="P18" s="703">
        <f>transport!O54</f>
        <v>0</v>
      </c>
      <c r="Q18" s="704">
        <f>transport!P54</f>
        <v>0</v>
      </c>
      <c r="R18" s="706">
        <f>SUM(C18:Q18)</f>
        <v>1445.8770534760017</v>
      </c>
      <c r="S18" s="68"/>
    </row>
    <row r="19" spans="1:19" s="458" customFormat="1" ht="15" thickBot="1">
      <c r="A19" s="859" t="s">
        <v>307</v>
      </c>
      <c r="B19" s="864"/>
      <c r="C19" s="712">
        <f>transport!B14</f>
        <v>2.7230675648109242</v>
      </c>
      <c r="D19" s="712">
        <f>transport!C14</f>
        <v>0</v>
      </c>
      <c r="E19" s="712">
        <f>transport!D14</f>
        <v>7.9895171483159491</v>
      </c>
      <c r="F19" s="712">
        <f>transport!E14</f>
        <v>524.9772156533146</v>
      </c>
      <c r="G19" s="712">
        <f>transport!F14</f>
        <v>0</v>
      </c>
      <c r="H19" s="712">
        <f>transport!G14</f>
        <v>99730.235156985931</v>
      </c>
      <c r="I19" s="712">
        <f>transport!H14</f>
        <v>18246.809890957964</v>
      </c>
      <c r="J19" s="712">
        <f>transport!I14</f>
        <v>0</v>
      </c>
      <c r="K19" s="712">
        <f>transport!J14</f>
        <v>0</v>
      </c>
      <c r="L19" s="712">
        <f>transport!K14</f>
        <v>0</v>
      </c>
      <c r="M19" s="712">
        <f>transport!L14</f>
        <v>0</v>
      </c>
      <c r="N19" s="712">
        <f>transport!M14</f>
        <v>5275.6849299226842</v>
      </c>
      <c r="O19" s="712">
        <f>transport!N14</f>
        <v>0</v>
      </c>
      <c r="P19" s="712">
        <f>transport!O14</f>
        <v>0</v>
      </c>
      <c r="Q19" s="713">
        <f>transport!P14</f>
        <v>0</v>
      </c>
      <c r="R19" s="714">
        <f>SUM(C19:Q19)</f>
        <v>123788.41977823302</v>
      </c>
      <c r="S19" s="68"/>
    </row>
    <row r="20" spans="1:19" s="458" customFormat="1" ht="15.75" thickBot="1">
      <c r="A20" s="715" t="s">
        <v>230</v>
      </c>
      <c r="B20" s="867"/>
      <c r="C20" s="862">
        <f>SUM(C17:C19)</f>
        <v>2.7230675648109242</v>
      </c>
      <c r="D20" s="716">
        <f t="shared" ref="D20:R20" si="1">SUM(D17:D19)</f>
        <v>0</v>
      </c>
      <c r="E20" s="716">
        <f t="shared" si="1"/>
        <v>7.9895171483159491</v>
      </c>
      <c r="F20" s="716">
        <f t="shared" si="1"/>
        <v>524.9772156533146</v>
      </c>
      <c r="G20" s="716">
        <f t="shared" si="1"/>
        <v>0</v>
      </c>
      <c r="H20" s="716">
        <f t="shared" si="1"/>
        <v>101115.29207633884</v>
      </c>
      <c r="I20" s="716">
        <f t="shared" si="1"/>
        <v>18246.809890957964</v>
      </c>
      <c r="J20" s="716">
        <f t="shared" si="1"/>
        <v>0</v>
      </c>
      <c r="K20" s="716">
        <f t="shared" si="1"/>
        <v>0</v>
      </c>
      <c r="L20" s="716">
        <f t="shared" si="1"/>
        <v>0</v>
      </c>
      <c r="M20" s="716">
        <f t="shared" si="1"/>
        <v>0</v>
      </c>
      <c r="N20" s="716">
        <f t="shared" si="1"/>
        <v>5336.5050640457757</v>
      </c>
      <c r="O20" s="716">
        <f t="shared" si="1"/>
        <v>0</v>
      </c>
      <c r="P20" s="716">
        <f t="shared" si="1"/>
        <v>0</v>
      </c>
      <c r="Q20" s="717">
        <f t="shared" si="1"/>
        <v>0</v>
      </c>
      <c r="R20" s="718">
        <f t="shared" si="1"/>
        <v>125234.29683170901</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1116.998</v>
      </c>
      <c r="D22" s="712">
        <f>+landbouw!C8</f>
        <v>0</v>
      </c>
      <c r="E22" s="712">
        <f>+landbouw!D8</f>
        <v>183.40636599999999</v>
      </c>
      <c r="F22" s="712">
        <f>+landbouw!E8</f>
        <v>10.52286957321027</v>
      </c>
      <c r="G22" s="712">
        <f>+landbouw!F8</f>
        <v>3645.1351730801975</v>
      </c>
      <c r="H22" s="712">
        <f>+landbouw!G8</f>
        <v>0</v>
      </c>
      <c r="I22" s="712">
        <f>+landbouw!H8</f>
        <v>0</v>
      </c>
      <c r="J22" s="712">
        <f>+landbouw!I8</f>
        <v>0</v>
      </c>
      <c r="K22" s="712">
        <f>+landbouw!J8</f>
        <v>138.17808567722838</v>
      </c>
      <c r="L22" s="712">
        <f>+landbouw!K8</f>
        <v>0</v>
      </c>
      <c r="M22" s="712">
        <f>+landbouw!L8</f>
        <v>0</v>
      </c>
      <c r="N22" s="712">
        <f>+landbouw!M8</f>
        <v>0</v>
      </c>
      <c r="O22" s="712">
        <f>+landbouw!N8</f>
        <v>0</v>
      </c>
      <c r="P22" s="712">
        <f>+landbouw!O8</f>
        <v>0</v>
      </c>
      <c r="Q22" s="713">
        <f>+landbouw!P8</f>
        <v>0</v>
      </c>
      <c r="R22" s="714">
        <f>SUM(C22:Q22)</f>
        <v>5094.2404943306365</v>
      </c>
      <c r="S22" s="68"/>
    </row>
    <row r="23" spans="1:19" s="458" customFormat="1" ht="17.25" thickTop="1" thickBot="1">
      <c r="A23" s="719" t="s">
        <v>116</v>
      </c>
      <c r="B23" s="853"/>
      <c r="C23" s="720">
        <f ca="1">C20+C15+C22</f>
        <v>46253.07857630276</v>
      </c>
      <c r="D23" s="720">
        <f t="shared" ref="D23:Q23" ca="1" si="2">D20+D15+D22</f>
        <v>0</v>
      </c>
      <c r="E23" s="720">
        <f t="shared" ca="1" si="2"/>
        <v>47131.75820914832</v>
      </c>
      <c r="F23" s="720">
        <f t="shared" si="2"/>
        <v>3018.1366749288532</v>
      </c>
      <c r="G23" s="720">
        <f t="shared" ca="1" si="2"/>
        <v>46152.893679634493</v>
      </c>
      <c r="H23" s="720">
        <f t="shared" si="2"/>
        <v>101115.29207633884</v>
      </c>
      <c r="I23" s="720">
        <f t="shared" si="2"/>
        <v>18246.809890957964</v>
      </c>
      <c r="J23" s="720">
        <f t="shared" si="2"/>
        <v>0</v>
      </c>
      <c r="K23" s="720">
        <f t="shared" si="2"/>
        <v>143.49334414385243</v>
      </c>
      <c r="L23" s="720">
        <f t="shared" si="2"/>
        <v>0</v>
      </c>
      <c r="M23" s="720">
        <f t="shared" ca="1" si="2"/>
        <v>0</v>
      </c>
      <c r="N23" s="720">
        <f t="shared" si="2"/>
        <v>5336.5050640457757</v>
      </c>
      <c r="O23" s="720">
        <f t="shared" ca="1" si="2"/>
        <v>12775.995941794625</v>
      </c>
      <c r="P23" s="720">
        <f t="shared" si="2"/>
        <v>53.153333333333336</v>
      </c>
      <c r="Q23" s="721">
        <f t="shared" si="2"/>
        <v>171.6</v>
      </c>
      <c r="R23" s="722">
        <f ca="1">R20+R15+R22</f>
        <v>280398.71679062885</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1857.8269023884886</v>
      </c>
      <c r="D36" s="703">
        <f ca="1">tertiair!C20</f>
        <v>0</v>
      </c>
      <c r="E36" s="703">
        <f ca="1">tertiair!D20</f>
        <v>1844.1641207</v>
      </c>
      <c r="F36" s="703">
        <f>tertiair!E20</f>
        <v>21.040285190757075</v>
      </c>
      <c r="G36" s="703">
        <f ca="1">tertiair!F20</f>
        <v>763.11813529803419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4486.1494435772802</v>
      </c>
    </row>
    <row r="37" spans="1:18">
      <c r="A37" s="874" t="s">
        <v>225</v>
      </c>
      <c r="B37" s="881"/>
      <c r="C37" s="703">
        <f ca="1">huishoudens!B12</f>
        <v>2370.7100692275549</v>
      </c>
      <c r="D37" s="703">
        <f ca="1">huishoudens!C12</f>
        <v>0</v>
      </c>
      <c r="E37" s="703">
        <f>huishoudens!D12</f>
        <v>4180.3253212160007</v>
      </c>
      <c r="F37" s="703">
        <f>huishoudens!E12</f>
        <v>524.20072051954742</v>
      </c>
      <c r="G37" s="703">
        <f>huishoudens!F12</f>
        <v>8261.5857226096359</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15336.82183357274</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1655.956086282961</v>
      </c>
      <c r="D39" s="703">
        <f ca="1">industrie!C22</f>
        <v>0</v>
      </c>
      <c r="E39" s="703">
        <f>industrie!D22</f>
        <v>3457.4637479359999</v>
      </c>
      <c r="F39" s="703">
        <f>industrie!E22</f>
        <v>18.317500152124047</v>
      </c>
      <c r="G39" s="703">
        <f>industrie!F22</f>
        <v>2324.8676633423288</v>
      </c>
      <c r="H39" s="703">
        <f>industrie!G22</f>
        <v>0</v>
      </c>
      <c r="I39" s="703">
        <f>industrie!H22</f>
        <v>0</v>
      </c>
      <c r="J39" s="703">
        <f>industrie!I22</f>
        <v>0</v>
      </c>
      <c r="K39" s="703">
        <f>industrie!J22</f>
        <v>1.8816014971849158</v>
      </c>
      <c r="L39" s="703">
        <f>industrie!K22</f>
        <v>0</v>
      </c>
      <c r="M39" s="703">
        <f>industrie!L22</f>
        <v>0</v>
      </c>
      <c r="N39" s="703">
        <f>industrie!M22</f>
        <v>0</v>
      </c>
      <c r="O39" s="703">
        <f>industrie!N22</f>
        <v>0</v>
      </c>
      <c r="P39" s="703">
        <f>industrie!O22</f>
        <v>0</v>
      </c>
      <c r="Q39" s="813">
        <f>industrie!P22</f>
        <v>0</v>
      </c>
      <c r="R39" s="907">
        <f ca="1">SUM(C39:Q39)</f>
        <v>7458.4865992105988</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5884.4930578990052</v>
      </c>
      <c r="D41" s="748">
        <f t="shared" ref="D41:R41" ca="1" si="4">SUM(D35:D40)</f>
        <v>0</v>
      </c>
      <c r="E41" s="748">
        <f t="shared" ca="1" si="4"/>
        <v>9481.9531898519999</v>
      </c>
      <c r="F41" s="748">
        <f t="shared" si="4"/>
        <v>563.55850586242855</v>
      </c>
      <c r="G41" s="748">
        <f t="shared" ca="1" si="4"/>
        <v>11349.57152125</v>
      </c>
      <c r="H41" s="748">
        <f t="shared" si="4"/>
        <v>0</v>
      </c>
      <c r="I41" s="748">
        <f t="shared" si="4"/>
        <v>0</v>
      </c>
      <c r="J41" s="748">
        <f t="shared" si="4"/>
        <v>0</v>
      </c>
      <c r="K41" s="748">
        <f t="shared" si="4"/>
        <v>1.8816014971849158</v>
      </c>
      <c r="L41" s="748">
        <f t="shared" si="4"/>
        <v>0</v>
      </c>
      <c r="M41" s="748">
        <f t="shared" ca="1" si="4"/>
        <v>0</v>
      </c>
      <c r="N41" s="748">
        <f t="shared" si="4"/>
        <v>0</v>
      </c>
      <c r="O41" s="748">
        <f t="shared" ca="1" si="4"/>
        <v>0</v>
      </c>
      <c r="P41" s="748">
        <f t="shared" si="4"/>
        <v>0</v>
      </c>
      <c r="Q41" s="749">
        <f t="shared" si="4"/>
        <v>0</v>
      </c>
      <c r="R41" s="750">
        <f t="shared" ca="1" si="4"/>
        <v>27281.457876360619</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369.81019746722717</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369.81019746722717</v>
      </c>
    </row>
    <row r="45" spans="1:18" ht="15" thickBot="1">
      <c r="A45" s="877" t="s">
        <v>307</v>
      </c>
      <c r="B45" s="887"/>
      <c r="C45" s="712">
        <f ca="1">transport!B18</f>
        <v>0.35503390542610441</v>
      </c>
      <c r="D45" s="712">
        <f>transport!C18</f>
        <v>0</v>
      </c>
      <c r="E45" s="712">
        <f>transport!D18</f>
        <v>1.6138824639598217</v>
      </c>
      <c r="F45" s="712">
        <f>transport!E18</f>
        <v>119.16982795330242</v>
      </c>
      <c r="G45" s="712">
        <f>transport!F18</f>
        <v>0</v>
      </c>
      <c r="H45" s="712">
        <f>transport!G18</f>
        <v>26627.972786915245</v>
      </c>
      <c r="I45" s="712">
        <f>transport!H18</f>
        <v>4543.4556628485334</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31292.567194086467</v>
      </c>
    </row>
    <row r="46" spans="1:18" ht="15.75" thickBot="1">
      <c r="A46" s="875" t="s">
        <v>230</v>
      </c>
      <c r="B46" s="888"/>
      <c r="C46" s="748">
        <f t="shared" ref="C46:R46" ca="1" si="5">SUM(C43:C45)</f>
        <v>0.35503390542610441</v>
      </c>
      <c r="D46" s="748">
        <f t="shared" ca="1" si="5"/>
        <v>0</v>
      </c>
      <c r="E46" s="748">
        <f t="shared" si="5"/>
        <v>1.6138824639598217</v>
      </c>
      <c r="F46" s="748">
        <f t="shared" si="5"/>
        <v>119.16982795330242</v>
      </c>
      <c r="G46" s="748">
        <f t="shared" si="5"/>
        <v>0</v>
      </c>
      <c r="H46" s="748">
        <f t="shared" si="5"/>
        <v>26997.782984382473</v>
      </c>
      <c r="I46" s="748">
        <f t="shared" si="5"/>
        <v>4543.4556628485334</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31662.377391553695</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145.63434540438359</v>
      </c>
      <c r="D48" s="703">
        <f ca="1">+landbouw!C12</f>
        <v>0</v>
      </c>
      <c r="E48" s="703">
        <f>+landbouw!D12</f>
        <v>37.048085931999999</v>
      </c>
      <c r="F48" s="703">
        <f>+landbouw!E12</f>
        <v>2.3886913931187315</v>
      </c>
      <c r="G48" s="703">
        <f>+landbouw!F12</f>
        <v>973.2510912124128</v>
      </c>
      <c r="H48" s="703">
        <f>+landbouw!G12</f>
        <v>0</v>
      </c>
      <c r="I48" s="703">
        <f>+landbouw!H12</f>
        <v>0</v>
      </c>
      <c r="J48" s="703">
        <f>+landbouw!I12</f>
        <v>0</v>
      </c>
      <c r="K48" s="703">
        <f>+landbouw!J12</f>
        <v>48.915042329738846</v>
      </c>
      <c r="L48" s="703">
        <f>+landbouw!K12</f>
        <v>0</v>
      </c>
      <c r="M48" s="703">
        <f>+landbouw!L12</f>
        <v>0</v>
      </c>
      <c r="N48" s="703">
        <f>+landbouw!M12</f>
        <v>0</v>
      </c>
      <c r="O48" s="703">
        <f>+landbouw!N12</f>
        <v>0</v>
      </c>
      <c r="P48" s="703">
        <f>+landbouw!O12</f>
        <v>0</v>
      </c>
      <c r="Q48" s="704">
        <f>+landbouw!P12</f>
        <v>0</v>
      </c>
      <c r="R48" s="746">
        <f ca="1">SUM(C48:Q48)</f>
        <v>1207.2372562716539</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6030.4824372088151</v>
      </c>
      <c r="D53" s="758">
        <f t="shared" ref="D53:Q53" ca="1" si="6">D41+D46+D48</f>
        <v>0</v>
      </c>
      <c r="E53" s="758">
        <f t="shared" ca="1" si="6"/>
        <v>9520.6151582479597</v>
      </c>
      <c r="F53" s="758">
        <f t="shared" si="6"/>
        <v>685.11702520884967</v>
      </c>
      <c r="G53" s="758">
        <f t="shared" ca="1" si="6"/>
        <v>12322.822612462413</v>
      </c>
      <c r="H53" s="758">
        <f t="shared" si="6"/>
        <v>26997.782984382473</v>
      </c>
      <c r="I53" s="758">
        <f t="shared" si="6"/>
        <v>4543.4556628485334</v>
      </c>
      <c r="J53" s="758">
        <f t="shared" si="6"/>
        <v>0</v>
      </c>
      <c r="K53" s="758">
        <f t="shared" si="6"/>
        <v>50.796643826923763</v>
      </c>
      <c r="L53" s="758">
        <f t="shared" si="6"/>
        <v>0</v>
      </c>
      <c r="M53" s="758">
        <f t="shared" ca="1" si="6"/>
        <v>0</v>
      </c>
      <c r="N53" s="758">
        <f t="shared" si="6"/>
        <v>0</v>
      </c>
      <c r="O53" s="758">
        <f t="shared" ca="1" si="6"/>
        <v>0</v>
      </c>
      <c r="P53" s="758">
        <f>P41+P46+P48</f>
        <v>0</v>
      </c>
      <c r="Q53" s="759">
        <f t="shared" si="6"/>
        <v>0</v>
      </c>
      <c r="R53" s="760">
        <f ca="1">R41+R46+R48</f>
        <v>60151.072524185969</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0.13038013085465114</v>
      </c>
      <c r="D55" s="824">
        <f t="shared" ca="1" si="7"/>
        <v>0</v>
      </c>
      <c r="E55" s="824">
        <f t="shared" ca="1" si="7"/>
        <v>0.20199999999999999</v>
      </c>
      <c r="F55" s="824">
        <f t="shared" si="7"/>
        <v>0.22700000000000001</v>
      </c>
      <c r="G55" s="824">
        <f t="shared" ca="1" si="7"/>
        <v>0.26700000000000007</v>
      </c>
      <c r="H55" s="824">
        <f t="shared" si="7"/>
        <v>0.26700000000000002</v>
      </c>
      <c r="I55" s="824">
        <f t="shared" si="7"/>
        <v>0.24900000000000003</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15230.301970606301</v>
      </c>
      <c r="C64" s="780">
        <f>'lokale energieproductie'!B4</f>
        <v>15230.301970606301</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3735.525758597757</v>
      </c>
      <c r="C66" s="780">
        <f>'lokale energieproductie'!B6</f>
        <v>3735.525758597757</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18965.827729204058</v>
      </c>
      <c r="C69" s="788">
        <f>SUM(C64:C68)</f>
        <v>18965.827729204058</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18183.062508737952</v>
      </c>
      <c r="C4" s="462">
        <f>huishoudens!C8</f>
        <v>0</v>
      </c>
      <c r="D4" s="462">
        <f>huishoudens!D8</f>
        <v>20694.679808000001</v>
      </c>
      <c r="E4" s="462">
        <f>huishoudens!E8</f>
        <v>2309.2542754165083</v>
      </c>
      <c r="F4" s="462">
        <f>huishoudens!F8</f>
        <v>30942.268624006127</v>
      </c>
      <c r="G4" s="462">
        <f>huishoudens!G8</f>
        <v>0</v>
      </c>
      <c r="H4" s="462">
        <f>huishoudens!H8</f>
        <v>0</v>
      </c>
      <c r="I4" s="462">
        <f>huishoudens!I8</f>
        <v>0</v>
      </c>
      <c r="J4" s="462">
        <f>huishoudens!J8</f>
        <v>0</v>
      </c>
      <c r="K4" s="462">
        <f>huishoudens!K8</f>
        <v>0</v>
      </c>
      <c r="L4" s="462">
        <f>huishoudens!L8</f>
        <v>0</v>
      </c>
      <c r="M4" s="462">
        <f>huishoudens!M8</f>
        <v>0</v>
      </c>
      <c r="N4" s="462">
        <f>huishoudens!N8</f>
        <v>10602.601768016535</v>
      </c>
      <c r="O4" s="462">
        <f>huishoudens!O8</f>
        <v>53.153333333333336</v>
      </c>
      <c r="P4" s="463">
        <f>huishoudens!P8</f>
        <v>171.6</v>
      </c>
      <c r="Q4" s="464">
        <f>SUM(B4:P4)</f>
        <v>82956.620317510475</v>
      </c>
    </row>
    <row r="5" spans="1:17">
      <c r="A5" s="461" t="s">
        <v>156</v>
      </c>
      <c r="B5" s="462">
        <f ca="1">tertiair!B16</f>
        <v>13635.769</v>
      </c>
      <c r="C5" s="462">
        <f ca="1">tertiair!C16</f>
        <v>0</v>
      </c>
      <c r="D5" s="462">
        <f ca="1">tertiair!D16</f>
        <v>9129.5253499999999</v>
      </c>
      <c r="E5" s="462">
        <f>tertiair!E16</f>
        <v>92.68848101655098</v>
      </c>
      <c r="F5" s="462">
        <f ca="1">tertiair!F16</f>
        <v>2858.1203569214763</v>
      </c>
      <c r="G5" s="462">
        <f>tertiair!G16</f>
        <v>0</v>
      </c>
      <c r="H5" s="462">
        <f>tertiair!H16</f>
        <v>0</v>
      </c>
      <c r="I5" s="462">
        <f>tertiair!I16</f>
        <v>0</v>
      </c>
      <c r="J5" s="462">
        <f>tertiair!J16</f>
        <v>0</v>
      </c>
      <c r="K5" s="462">
        <f>tertiair!K16</f>
        <v>0</v>
      </c>
      <c r="L5" s="462">
        <f ca="1">tertiair!L16</f>
        <v>0</v>
      </c>
      <c r="M5" s="462">
        <f>tertiair!M16</f>
        <v>0</v>
      </c>
      <c r="N5" s="462">
        <f ca="1">tertiair!N16</f>
        <v>1312.629812303481</v>
      </c>
      <c r="O5" s="462">
        <f>tertiair!O16</f>
        <v>0</v>
      </c>
      <c r="P5" s="463">
        <f>tertiair!P16</f>
        <v>0</v>
      </c>
      <c r="Q5" s="461">
        <f t="shared" ref="Q5:Q13" ca="1" si="0">SUM(B5:P5)</f>
        <v>27028.733000241507</v>
      </c>
    </row>
    <row r="6" spans="1:17">
      <c r="A6" s="461" t="s">
        <v>194</v>
      </c>
      <c r="B6" s="462">
        <f>'openbare verlichting'!B8</f>
        <v>613.54100000000005</v>
      </c>
      <c r="C6" s="462"/>
      <c r="D6" s="462"/>
      <c r="E6" s="462"/>
      <c r="F6" s="462"/>
      <c r="G6" s="462"/>
      <c r="H6" s="462"/>
      <c r="I6" s="462"/>
      <c r="J6" s="462"/>
      <c r="K6" s="462"/>
      <c r="L6" s="462"/>
      <c r="M6" s="462"/>
      <c r="N6" s="462"/>
      <c r="O6" s="462"/>
      <c r="P6" s="463"/>
      <c r="Q6" s="461">
        <f t="shared" si="0"/>
        <v>613.54100000000005</v>
      </c>
    </row>
    <row r="7" spans="1:17">
      <c r="A7" s="461" t="s">
        <v>112</v>
      </c>
      <c r="B7" s="462">
        <f>landbouw!B8</f>
        <v>1116.998</v>
      </c>
      <c r="C7" s="462">
        <f>landbouw!C8</f>
        <v>0</v>
      </c>
      <c r="D7" s="462">
        <f>landbouw!D8</f>
        <v>183.40636599999999</v>
      </c>
      <c r="E7" s="462">
        <f>landbouw!E8</f>
        <v>10.52286957321027</v>
      </c>
      <c r="F7" s="462">
        <f>landbouw!F8</f>
        <v>3645.1351730801975</v>
      </c>
      <c r="G7" s="462">
        <f>landbouw!G8</f>
        <v>0</v>
      </c>
      <c r="H7" s="462">
        <f>landbouw!H8</f>
        <v>0</v>
      </c>
      <c r="I7" s="462">
        <f>landbouw!I8</f>
        <v>0</v>
      </c>
      <c r="J7" s="462">
        <f>landbouw!J8</f>
        <v>138.17808567722838</v>
      </c>
      <c r="K7" s="462">
        <f>landbouw!K8</f>
        <v>0</v>
      </c>
      <c r="L7" s="462">
        <f>landbouw!L8</f>
        <v>0</v>
      </c>
      <c r="M7" s="462">
        <f>landbouw!M8</f>
        <v>0</v>
      </c>
      <c r="N7" s="462">
        <f>landbouw!N8</f>
        <v>0</v>
      </c>
      <c r="O7" s="462">
        <f>landbouw!O8</f>
        <v>0</v>
      </c>
      <c r="P7" s="463">
        <f>landbouw!P8</f>
        <v>0</v>
      </c>
      <c r="Q7" s="461">
        <f t="shared" si="0"/>
        <v>5094.2404943306365</v>
      </c>
    </row>
    <row r="8" spans="1:17">
      <c r="A8" s="461" t="s">
        <v>685</v>
      </c>
      <c r="B8" s="462">
        <f>industrie!B18</f>
        <v>12700.985000000001</v>
      </c>
      <c r="C8" s="462">
        <f>industrie!C18</f>
        <v>0</v>
      </c>
      <c r="D8" s="462">
        <f>industrie!D18</f>
        <v>17116.157167999998</v>
      </c>
      <c r="E8" s="462">
        <f>industrie!E18</f>
        <v>80.693833269268922</v>
      </c>
      <c r="F8" s="462">
        <f>industrie!F18</f>
        <v>8707.3695256266983</v>
      </c>
      <c r="G8" s="462">
        <f>industrie!G18</f>
        <v>0</v>
      </c>
      <c r="H8" s="462">
        <f>industrie!H18</f>
        <v>0</v>
      </c>
      <c r="I8" s="462">
        <f>industrie!I18</f>
        <v>0</v>
      </c>
      <c r="J8" s="462">
        <f>industrie!J18</f>
        <v>5.3152584666240559</v>
      </c>
      <c r="K8" s="462">
        <f>industrie!K18</f>
        <v>0</v>
      </c>
      <c r="L8" s="462">
        <f>industrie!L18</f>
        <v>0</v>
      </c>
      <c r="M8" s="462">
        <f>industrie!M18</f>
        <v>0</v>
      </c>
      <c r="N8" s="462">
        <f>industrie!N18</f>
        <v>860.76436147460856</v>
      </c>
      <c r="O8" s="462">
        <f>industrie!O18</f>
        <v>0</v>
      </c>
      <c r="P8" s="463">
        <f>industrie!P18</f>
        <v>0</v>
      </c>
      <c r="Q8" s="461">
        <f t="shared" si="0"/>
        <v>39471.285146837203</v>
      </c>
    </row>
    <row r="9" spans="1:17" s="467" customFormat="1">
      <c r="A9" s="465" t="s">
        <v>579</v>
      </c>
      <c r="B9" s="466">
        <f>transport!B14</f>
        <v>2.7230675648109242</v>
      </c>
      <c r="C9" s="466">
        <f>transport!C14</f>
        <v>0</v>
      </c>
      <c r="D9" s="466">
        <f>transport!D14</f>
        <v>7.9895171483159491</v>
      </c>
      <c r="E9" s="466">
        <f>transport!E14</f>
        <v>524.9772156533146</v>
      </c>
      <c r="F9" s="466">
        <f>transport!F14</f>
        <v>0</v>
      </c>
      <c r="G9" s="466">
        <f>transport!G14</f>
        <v>99730.235156985931</v>
      </c>
      <c r="H9" s="466">
        <f>transport!H14</f>
        <v>18246.809890957964</v>
      </c>
      <c r="I9" s="466">
        <f>transport!I14</f>
        <v>0</v>
      </c>
      <c r="J9" s="466">
        <f>transport!J14</f>
        <v>0</v>
      </c>
      <c r="K9" s="466">
        <f>transport!K14</f>
        <v>0</v>
      </c>
      <c r="L9" s="466">
        <f>transport!L14</f>
        <v>0</v>
      </c>
      <c r="M9" s="466">
        <f>transport!M14</f>
        <v>5275.6849299226842</v>
      </c>
      <c r="N9" s="466">
        <f>transport!N14</f>
        <v>0</v>
      </c>
      <c r="O9" s="466">
        <f>transport!O14</f>
        <v>0</v>
      </c>
      <c r="P9" s="466">
        <f>transport!P14</f>
        <v>0</v>
      </c>
      <c r="Q9" s="465">
        <f>SUM(B9:P9)</f>
        <v>123788.41977823302</v>
      </c>
    </row>
    <row r="10" spans="1:17">
      <c r="A10" s="461" t="s">
        <v>569</v>
      </c>
      <c r="B10" s="462">
        <f>transport!B54</f>
        <v>0</v>
      </c>
      <c r="C10" s="462">
        <f>transport!C54</f>
        <v>0</v>
      </c>
      <c r="D10" s="462">
        <f>transport!D54</f>
        <v>0</v>
      </c>
      <c r="E10" s="462">
        <f>transport!E54</f>
        <v>0</v>
      </c>
      <c r="F10" s="462">
        <f>transport!F54</f>
        <v>0</v>
      </c>
      <c r="G10" s="462">
        <f>transport!G54</f>
        <v>1385.0569193529107</v>
      </c>
      <c r="H10" s="462">
        <f>transport!H54</f>
        <v>0</v>
      </c>
      <c r="I10" s="462">
        <f>transport!I54</f>
        <v>0</v>
      </c>
      <c r="J10" s="462">
        <f>transport!J54</f>
        <v>0</v>
      </c>
      <c r="K10" s="462">
        <f>transport!K54</f>
        <v>0</v>
      </c>
      <c r="L10" s="462">
        <f>transport!L54</f>
        <v>0</v>
      </c>
      <c r="M10" s="462">
        <f>transport!M54</f>
        <v>60.820134123091158</v>
      </c>
      <c r="N10" s="462">
        <f>transport!N54</f>
        <v>0</v>
      </c>
      <c r="O10" s="462">
        <f>transport!O54</f>
        <v>0</v>
      </c>
      <c r="P10" s="463">
        <f>transport!P54</f>
        <v>0</v>
      </c>
      <c r="Q10" s="461">
        <f t="shared" si="0"/>
        <v>1445.8770534760017</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46253.078576302767</v>
      </c>
      <c r="C14" s="472">
        <f t="shared" ref="C14:Q14" ca="1" si="1">SUM(C4:C13)</f>
        <v>0</v>
      </c>
      <c r="D14" s="472">
        <f t="shared" ca="1" si="1"/>
        <v>47131.758209148313</v>
      </c>
      <c r="E14" s="472">
        <f t="shared" si="1"/>
        <v>3018.1366749288532</v>
      </c>
      <c r="F14" s="472">
        <f t="shared" ca="1" si="1"/>
        <v>46152.893679634493</v>
      </c>
      <c r="G14" s="472">
        <f t="shared" si="1"/>
        <v>101115.29207633884</v>
      </c>
      <c r="H14" s="472">
        <f t="shared" si="1"/>
        <v>18246.809890957964</v>
      </c>
      <c r="I14" s="472">
        <f t="shared" si="1"/>
        <v>0</v>
      </c>
      <c r="J14" s="472">
        <f t="shared" si="1"/>
        <v>143.49334414385243</v>
      </c>
      <c r="K14" s="472">
        <f t="shared" si="1"/>
        <v>0</v>
      </c>
      <c r="L14" s="472">
        <f t="shared" ca="1" si="1"/>
        <v>0</v>
      </c>
      <c r="M14" s="472">
        <f t="shared" si="1"/>
        <v>5336.5050640457757</v>
      </c>
      <c r="N14" s="472">
        <f t="shared" ca="1" si="1"/>
        <v>12775.995941794625</v>
      </c>
      <c r="O14" s="472">
        <f t="shared" si="1"/>
        <v>53.153333333333336</v>
      </c>
      <c r="P14" s="473">
        <f t="shared" si="1"/>
        <v>171.6</v>
      </c>
      <c r="Q14" s="473">
        <f t="shared" ca="1" si="1"/>
        <v>280398.71679062879</v>
      </c>
    </row>
    <row r="16" spans="1:17">
      <c r="A16" s="475" t="s">
        <v>574</v>
      </c>
      <c r="B16" s="829">
        <f ca="1">huishoudens!B10</f>
        <v>0.13038013085465111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2370.7100692275549</v>
      </c>
      <c r="C21" s="462">
        <f t="shared" ref="C21:C30" ca="1" si="3">C4*$C$16</f>
        <v>0</v>
      </c>
      <c r="D21" s="462">
        <f t="shared" ref="D21:D30" si="4">D4*$D$16</f>
        <v>4180.3253212160007</v>
      </c>
      <c r="E21" s="462">
        <f t="shared" ref="E21:E30" si="5">E4*$E$16</f>
        <v>524.20072051954742</v>
      </c>
      <c r="F21" s="462">
        <f t="shared" ref="F21:F30" si="6">F4*$F$16</f>
        <v>8261.5857226096359</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15336.82183357274</v>
      </c>
    </row>
    <row r="22" spans="1:17">
      <c r="A22" s="461" t="s">
        <v>156</v>
      </c>
      <c r="B22" s="462">
        <f t="shared" ca="1" si="2"/>
        <v>1777.8333465237952</v>
      </c>
      <c r="C22" s="462">
        <f t="shared" ca="1" si="3"/>
        <v>0</v>
      </c>
      <c r="D22" s="462">
        <f t="shared" ca="1" si="4"/>
        <v>1844.1641207</v>
      </c>
      <c r="E22" s="462">
        <f t="shared" si="5"/>
        <v>21.040285190757075</v>
      </c>
      <c r="F22" s="462">
        <f t="shared" ca="1" si="6"/>
        <v>763.11813529803419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4406.1558877125863</v>
      </c>
    </row>
    <row r="23" spans="1:17">
      <c r="A23" s="461" t="s">
        <v>194</v>
      </c>
      <c r="B23" s="462">
        <f t="shared" ca="1" si="2"/>
        <v>79.993555864693505</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79.993555864693505</v>
      </c>
    </row>
    <row r="24" spans="1:17">
      <c r="A24" s="461" t="s">
        <v>112</v>
      </c>
      <c r="B24" s="462">
        <f t="shared" ca="1" si="2"/>
        <v>145.63434540438359</v>
      </c>
      <c r="C24" s="462">
        <f t="shared" ca="1" si="3"/>
        <v>0</v>
      </c>
      <c r="D24" s="462">
        <f t="shared" si="4"/>
        <v>37.048085931999999</v>
      </c>
      <c r="E24" s="462">
        <f t="shared" si="5"/>
        <v>2.3886913931187315</v>
      </c>
      <c r="F24" s="462">
        <f t="shared" si="6"/>
        <v>973.2510912124128</v>
      </c>
      <c r="G24" s="462">
        <f t="shared" si="7"/>
        <v>0</v>
      </c>
      <c r="H24" s="462">
        <f t="shared" si="8"/>
        <v>0</v>
      </c>
      <c r="I24" s="462">
        <f t="shared" si="9"/>
        <v>0</v>
      </c>
      <c r="J24" s="462">
        <f t="shared" si="10"/>
        <v>48.915042329738846</v>
      </c>
      <c r="K24" s="462">
        <f t="shared" si="11"/>
        <v>0</v>
      </c>
      <c r="L24" s="462">
        <f t="shared" si="12"/>
        <v>0</v>
      </c>
      <c r="M24" s="462">
        <f t="shared" si="13"/>
        <v>0</v>
      </c>
      <c r="N24" s="462">
        <f t="shared" si="14"/>
        <v>0</v>
      </c>
      <c r="O24" s="462">
        <f t="shared" si="15"/>
        <v>0</v>
      </c>
      <c r="P24" s="463">
        <f t="shared" si="16"/>
        <v>0</v>
      </c>
      <c r="Q24" s="461">
        <f t="shared" ca="1" si="17"/>
        <v>1207.2372562716539</v>
      </c>
    </row>
    <row r="25" spans="1:17">
      <c r="A25" s="461" t="s">
        <v>685</v>
      </c>
      <c r="B25" s="462">
        <f t="shared" ca="1" si="2"/>
        <v>1655.956086282961</v>
      </c>
      <c r="C25" s="462">
        <f t="shared" ca="1" si="3"/>
        <v>0</v>
      </c>
      <c r="D25" s="462">
        <f t="shared" si="4"/>
        <v>3457.4637479359999</v>
      </c>
      <c r="E25" s="462">
        <f t="shared" si="5"/>
        <v>18.317500152124047</v>
      </c>
      <c r="F25" s="462">
        <f t="shared" si="6"/>
        <v>2324.8676633423288</v>
      </c>
      <c r="G25" s="462">
        <f t="shared" si="7"/>
        <v>0</v>
      </c>
      <c r="H25" s="462">
        <f t="shared" si="8"/>
        <v>0</v>
      </c>
      <c r="I25" s="462">
        <f t="shared" si="9"/>
        <v>0</v>
      </c>
      <c r="J25" s="462">
        <f t="shared" si="10"/>
        <v>1.8816014971849158</v>
      </c>
      <c r="K25" s="462">
        <f t="shared" si="11"/>
        <v>0</v>
      </c>
      <c r="L25" s="462">
        <f t="shared" si="12"/>
        <v>0</v>
      </c>
      <c r="M25" s="462">
        <f t="shared" si="13"/>
        <v>0</v>
      </c>
      <c r="N25" s="462">
        <f t="shared" si="14"/>
        <v>0</v>
      </c>
      <c r="O25" s="462">
        <f t="shared" si="15"/>
        <v>0</v>
      </c>
      <c r="P25" s="463">
        <f t="shared" si="16"/>
        <v>0</v>
      </c>
      <c r="Q25" s="461">
        <f t="shared" ca="1" si="17"/>
        <v>7458.4865992105988</v>
      </c>
    </row>
    <row r="26" spans="1:17" s="467" customFormat="1">
      <c r="A26" s="465" t="s">
        <v>579</v>
      </c>
      <c r="B26" s="823">
        <f t="shared" ca="1" si="2"/>
        <v>0.35503390542610441</v>
      </c>
      <c r="C26" s="466">
        <f t="shared" ca="1" si="3"/>
        <v>0</v>
      </c>
      <c r="D26" s="466">
        <f t="shared" si="4"/>
        <v>1.6138824639598217</v>
      </c>
      <c r="E26" s="466">
        <f t="shared" si="5"/>
        <v>119.16982795330242</v>
      </c>
      <c r="F26" s="466">
        <f t="shared" si="6"/>
        <v>0</v>
      </c>
      <c r="G26" s="466">
        <f t="shared" si="7"/>
        <v>26627.972786915245</v>
      </c>
      <c r="H26" s="466">
        <f t="shared" si="8"/>
        <v>4543.4556628485334</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31292.567194086467</v>
      </c>
    </row>
    <row r="27" spans="1:17">
      <c r="A27" s="461" t="s">
        <v>569</v>
      </c>
      <c r="B27" s="462">
        <f t="shared" ca="1" si="2"/>
        <v>0</v>
      </c>
      <c r="C27" s="462">
        <f t="shared" ca="1" si="3"/>
        <v>0</v>
      </c>
      <c r="D27" s="462">
        <f t="shared" si="4"/>
        <v>0</v>
      </c>
      <c r="E27" s="462">
        <f t="shared" si="5"/>
        <v>0</v>
      </c>
      <c r="F27" s="462">
        <f t="shared" si="6"/>
        <v>0</v>
      </c>
      <c r="G27" s="462">
        <f t="shared" si="7"/>
        <v>369.81019746722717</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369.81019746722717</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6030.4824372088151</v>
      </c>
      <c r="C31" s="472">
        <f t="shared" ca="1" si="18"/>
        <v>0</v>
      </c>
      <c r="D31" s="472">
        <f t="shared" ca="1" si="18"/>
        <v>9520.6151582479615</v>
      </c>
      <c r="E31" s="472">
        <f t="shared" si="18"/>
        <v>685.11702520884967</v>
      </c>
      <c r="F31" s="472">
        <f t="shared" ca="1" si="18"/>
        <v>12322.822612462413</v>
      </c>
      <c r="G31" s="472">
        <f t="shared" si="18"/>
        <v>26997.782984382473</v>
      </c>
      <c r="H31" s="472">
        <f t="shared" si="18"/>
        <v>4543.4556628485334</v>
      </c>
      <c r="I31" s="472">
        <f t="shared" si="18"/>
        <v>0</v>
      </c>
      <c r="J31" s="472">
        <f t="shared" si="18"/>
        <v>50.796643826923763</v>
      </c>
      <c r="K31" s="472">
        <f t="shared" si="18"/>
        <v>0</v>
      </c>
      <c r="L31" s="472">
        <f t="shared" ca="1" si="18"/>
        <v>0</v>
      </c>
      <c r="M31" s="472">
        <f t="shared" si="18"/>
        <v>0</v>
      </c>
      <c r="N31" s="472">
        <f t="shared" ca="1" si="18"/>
        <v>0</v>
      </c>
      <c r="O31" s="472">
        <f t="shared" si="18"/>
        <v>0</v>
      </c>
      <c r="P31" s="473">
        <f t="shared" si="18"/>
        <v>0</v>
      </c>
      <c r="Q31" s="473">
        <f t="shared" ca="1" si="18"/>
        <v>60151.072524185969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0.13038013085465111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0.13038013085465111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0.13038013085465111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2018-06-27T09:20:34Z</dcterms:modified>
</cp:coreProperties>
</file>