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29040" windowHeight="6075"/>
  </bookViews>
  <sheets>
    <sheet name="LEGENDE" sheetId="31" r:id="rId1"/>
    <sheet name="OUTPUT--&gt;" sheetId="53" r:id="rId2"/>
    <sheet name="SEAP template" sheetId="14" r:id="rId3"/>
    <sheet name="Inventaris 2012"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W32" i="5" l="1"/>
  <c r="AC32" s="1"/>
  <c r="V32"/>
  <c r="R32"/>
  <c r="F32"/>
  <c r="V31"/>
  <c r="R31"/>
  <c r="F31"/>
  <c r="V30"/>
  <c r="R30"/>
  <c r="F30"/>
  <c r="V29"/>
  <c r="R29"/>
  <c r="F29"/>
  <c r="W29" s="1"/>
  <c r="AC29" s="1"/>
  <c r="V28"/>
  <c r="R28"/>
  <c r="F28"/>
  <c r="V27"/>
  <c r="R27"/>
  <c r="F27"/>
  <c r="V24"/>
  <c r="R24"/>
  <c r="W24" s="1"/>
  <c r="AC24" s="1"/>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W12" s="1"/>
  <c r="AC12" s="1"/>
  <c r="V11"/>
  <c r="R11"/>
  <c r="F11"/>
  <c r="V10"/>
  <c r="R10"/>
  <c r="F10"/>
  <c r="V9"/>
  <c r="R9"/>
  <c r="F9"/>
  <c r="AB8"/>
  <c r="AA8"/>
  <c r="Z8"/>
  <c r="Y8"/>
  <c r="X8"/>
  <c r="U8"/>
  <c r="T8"/>
  <c r="S8"/>
  <c r="Q8"/>
  <c r="P8"/>
  <c r="O8"/>
  <c r="N8"/>
  <c r="M8"/>
  <c r="L8"/>
  <c r="K8"/>
  <c r="J8"/>
  <c r="I8"/>
  <c r="H8"/>
  <c r="G8"/>
  <c r="E8"/>
  <c r="D8"/>
  <c r="C8"/>
  <c r="V7"/>
  <c r="R7"/>
  <c r="F7"/>
  <c r="W10" l="1"/>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P13" i="48"/>
  <c r="O13"/>
  <c r="N13"/>
  <c r="L13"/>
  <c r="K13"/>
  <c r="J13"/>
  <c r="I13"/>
  <c r="F13"/>
  <c r="C13"/>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I8" s="1"/>
  <c r="J68" i="14" s="1"/>
  <c r="T88" i="18"/>
  <c r="S88"/>
  <c r="R88"/>
  <c r="Q88"/>
  <c r="P88"/>
  <c r="C8" s="1"/>
  <c r="D68" i="14" s="1"/>
  <c r="O88" i="18"/>
  <c r="N88"/>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K19" s="1"/>
  <c r="J17"/>
  <c r="I17"/>
  <c r="H17"/>
  <c r="I79" i="14" s="1"/>
  <c r="G17" i="18"/>
  <c r="G19" s="1"/>
  <c r="F17"/>
  <c r="E17"/>
  <c r="D17"/>
  <c r="C17"/>
  <c r="B17"/>
  <c r="K11"/>
  <c r="J11"/>
  <c r="I11"/>
  <c r="H11"/>
  <c r="G11"/>
  <c r="F11"/>
  <c r="E11"/>
  <c r="D11"/>
  <c r="C11"/>
  <c r="L8"/>
  <c r="L9" s="1"/>
  <c r="K8"/>
  <c r="K9" s="1"/>
  <c r="J8"/>
  <c r="H8"/>
  <c r="G8"/>
  <c r="G9" s="1"/>
  <c r="F8"/>
  <c r="F9" s="1"/>
  <c r="E8"/>
  <c r="F68" i="14" s="1"/>
  <c r="D8" i="18"/>
  <c r="D9" s="1"/>
  <c r="B8"/>
  <c r="B7"/>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J15"/>
  <c r="D15"/>
  <c r="D14"/>
  <c r="D13"/>
  <c r="D12"/>
  <c r="D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F11"/>
  <c r="D11"/>
  <c r="D10"/>
  <c r="D9"/>
  <c r="D8"/>
  <c r="D7"/>
  <c r="D6"/>
  <c r="P5"/>
  <c r="P16" s="1"/>
  <c r="C5"/>
  <c r="B77" i="13"/>
  <c r="P5" s="1"/>
  <c r="P8" s="1"/>
  <c r="B71"/>
  <c r="B52"/>
  <c r="B49"/>
  <c r="B45"/>
  <c r="B29"/>
  <c r="B32" s="1"/>
  <c r="B44" s="1"/>
  <c r="B28"/>
  <c r="B26"/>
  <c r="B25"/>
  <c r="B24"/>
  <c r="B38" s="1"/>
  <c r="B23"/>
  <c r="B22"/>
  <c r="N10"/>
  <c r="N16" i="48" s="1"/>
  <c r="N29" s="1"/>
  <c r="M10" i="13"/>
  <c r="M12" s="1"/>
  <c r="N37" i="14" s="1"/>
  <c r="L10" i="13"/>
  <c r="K10"/>
  <c r="K16" i="48" s="1"/>
  <c r="J10" i="13"/>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B27"/>
  <c r="H26"/>
  <c r="G26"/>
  <c r="E26"/>
  <c r="E27" s="1"/>
  <c r="D26"/>
  <c r="D27" s="1"/>
  <c r="B26"/>
  <c r="N17" i="49"/>
  <c r="M17"/>
  <c r="L17"/>
  <c r="K17"/>
  <c r="J17"/>
  <c r="I17"/>
  <c r="F17"/>
  <c r="E17"/>
  <c r="D17"/>
  <c r="B15"/>
  <c r="B6" i="9" s="1"/>
  <c r="N17" i="19"/>
  <c r="M17"/>
  <c r="M19" s="1"/>
  <c r="N35" i="14" s="1"/>
  <c r="L17" i="19"/>
  <c r="K17"/>
  <c r="K19" s="1"/>
  <c r="L35" i="14" s="1"/>
  <c r="J17" i="19"/>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G16"/>
  <c r="B12"/>
  <c r="Q12" s="1"/>
  <c r="N11"/>
  <c r="M11"/>
  <c r="K11"/>
  <c r="J11"/>
  <c r="H11"/>
  <c r="G11"/>
  <c r="F11"/>
  <c r="P9"/>
  <c r="O9"/>
  <c r="N9"/>
  <c r="L9"/>
  <c r="K9"/>
  <c r="J9"/>
  <c r="I9"/>
  <c r="F9"/>
  <c r="C9"/>
  <c r="M8"/>
  <c r="K8"/>
  <c r="I8"/>
  <c r="H8"/>
  <c r="G8"/>
  <c r="P7"/>
  <c r="O7"/>
  <c r="M7"/>
  <c r="K7"/>
  <c r="I7"/>
  <c r="H7"/>
  <c r="G7"/>
  <c r="M4"/>
  <c r="L4"/>
  <c r="K4"/>
  <c r="I4"/>
  <c r="H4"/>
  <c r="G4"/>
  <c r="G80" i="14"/>
  <c r="M79"/>
  <c r="K79"/>
  <c r="G79"/>
  <c r="E79"/>
  <c r="B79"/>
  <c r="M78"/>
  <c r="L78"/>
  <c r="H78"/>
  <c r="G78"/>
  <c r="E78"/>
  <c r="L68"/>
  <c r="H68"/>
  <c r="M67"/>
  <c r="L67"/>
  <c r="H67"/>
  <c r="G67"/>
  <c r="E67"/>
  <c r="B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M9"/>
  <c r="L9"/>
  <c r="K9"/>
  <c r="I9"/>
  <c r="H9"/>
  <c r="G9"/>
  <c r="E9"/>
  <c r="A7" i="31"/>
  <c r="A6"/>
  <c r="B16" i="18" l="1"/>
  <c r="B78" i="14" s="1"/>
  <c r="B81" s="1"/>
  <c r="C13" i="15"/>
  <c r="C16" s="1"/>
  <c r="D10" i="14" s="1"/>
  <c r="D12" i="22"/>
  <c r="E17" i="14"/>
  <c r="D13" i="48"/>
  <c r="D31" i="20"/>
  <c r="E43" i="14" s="1"/>
  <c r="E12" i="22"/>
  <c r="F17" i="14"/>
  <c r="E13" i="48"/>
  <c r="E30" s="1"/>
  <c r="I101" i="18"/>
  <c r="H16" s="1"/>
  <c r="I78" i="14" s="1"/>
  <c r="I81" s="1"/>
  <c r="E101" i="18"/>
  <c r="E16" s="1"/>
  <c r="F78" i="14" s="1"/>
  <c r="H101" i="18"/>
  <c r="D101"/>
  <c r="G101"/>
  <c r="I16" s="1"/>
  <c r="J78" i="14" s="1"/>
  <c r="C101" i="18"/>
  <c r="F101"/>
  <c r="B101"/>
  <c r="C16" s="1"/>
  <c r="D78" i="14" s="1"/>
  <c r="O78" s="1"/>
  <c r="I11" i="48"/>
  <c r="N19" i="19"/>
  <c r="O35" i="14" s="1"/>
  <c r="B6" i="48"/>
  <c r="Q6" s="1"/>
  <c r="B8" i="9"/>
  <c r="P22" i="16"/>
  <c r="Q39" i="14" s="1"/>
  <c r="P18" i="16"/>
  <c r="F8" i="17"/>
  <c r="G22" i="14" s="1"/>
  <c r="K22"/>
  <c r="J8" i="17"/>
  <c r="O80" i="14"/>
  <c r="C97" i="18"/>
  <c r="I19" i="19"/>
  <c r="J35" i="14" s="1"/>
  <c r="B12" i="22"/>
  <c r="B13" i="48"/>
  <c r="C17" i="14"/>
  <c r="E31" i="20"/>
  <c r="F43" i="14" s="1"/>
  <c r="L16" i="16"/>
  <c r="L18" s="1"/>
  <c r="N6" i="17"/>
  <c r="N5" s="1"/>
  <c r="J9" i="14"/>
  <c r="J15" s="1"/>
  <c r="D11" i="48"/>
  <c r="D14" i="15"/>
  <c r="F19" i="19"/>
  <c r="G35" i="14" s="1"/>
  <c r="L19" i="19"/>
  <c r="M35" i="14" s="1"/>
  <c r="E7" i="15"/>
  <c r="O5" i="16"/>
  <c r="O9" i="14"/>
  <c r="L11" i="48"/>
  <c r="L12" i="13"/>
  <c r="M37" i="14" s="1"/>
  <c r="J7" i="15"/>
  <c r="B13" i="16"/>
  <c r="C35"/>
  <c r="E19" i="18"/>
  <c r="C80" i="14"/>
  <c r="L6" i="17"/>
  <c r="N13" i="15"/>
  <c r="L13"/>
  <c r="L16" s="1"/>
  <c r="K5" i="48"/>
  <c r="K20" i="15"/>
  <c r="L36" i="14" s="1"/>
  <c r="F13" i="15"/>
  <c r="D13"/>
  <c r="G9" i="22"/>
  <c r="G7"/>
  <c r="G6"/>
  <c r="G8"/>
  <c r="G10"/>
  <c r="G11"/>
  <c r="M11"/>
  <c r="H8"/>
  <c r="M10"/>
  <c r="H10"/>
  <c r="H9"/>
  <c r="H11"/>
  <c r="H6"/>
  <c r="M6"/>
  <c r="H7"/>
  <c r="M8"/>
  <c r="M7"/>
  <c r="M9"/>
  <c r="B67"/>
  <c r="J18" i="14"/>
  <c r="J20" s="1"/>
  <c r="I10" i="48"/>
  <c r="I27" s="1"/>
  <c r="E18" i="14"/>
  <c r="D10" i="48"/>
  <c r="D27" s="1"/>
  <c r="H27" i="20"/>
  <c r="N10" i="48"/>
  <c r="N27" s="1"/>
  <c r="C78" i="22"/>
  <c r="G51" s="1"/>
  <c r="M27" i="20"/>
  <c r="C64" i="14"/>
  <c r="J11" i="15"/>
  <c r="B7"/>
  <c r="N7"/>
  <c r="B11"/>
  <c r="N11"/>
  <c r="B11" i="16"/>
  <c r="C10" i="48"/>
  <c r="D18" i="14"/>
  <c r="D20" s="1"/>
  <c r="H10" i="48"/>
  <c r="H27" s="1"/>
  <c r="I18" i="14"/>
  <c r="L10" i="48"/>
  <c r="M18" i="14"/>
  <c r="M20" s="1"/>
  <c r="L58" i="22"/>
  <c r="M44" i="14" s="1"/>
  <c r="M46" s="1"/>
  <c r="E10" i="48"/>
  <c r="E27" s="1"/>
  <c r="E58" i="22"/>
  <c r="F44" i="14" s="1"/>
  <c r="F18"/>
  <c r="J58" i="22"/>
  <c r="K44" i="14" s="1"/>
  <c r="K46" s="1"/>
  <c r="K18"/>
  <c r="K20" s="1"/>
  <c r="J10" i="48"/>
  <c r="O58" i="22"/>
  <c r="P44" i="14" s="1"/>
  <c r="P46" s="1"/>
  <c r="O10" i="48"/>
  <c r="O27" s="1"/>
  <c r="P18" i="14"/>
  <c r="P20" s="1"/>
  <c r="G18"/>
  <c r="G20" s="1"/>
  <c r="F10" i="48"/>
  <c r="L18" i="14"/>
  <c r="L20" s="1"/>
  <c r="K58" i="22"/>
  <c r="L44" i="14" s="1"/>
  <c r="L46" s="1"/>
  <c r="K10" i="48"/>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H15"/>
  <c r="L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29"/>
  <c r="I30"/>
  <c r="I26"/>
  <c r="I29"/>
  <c r="K26"/>
  <c r="O29"/>
  <c r="K21"/>
  <c r="G21"/>
  <c r="M16"/>
  <c r="M21" s="1"/>
  <c r="K29"/>
  <c r="B39" i="13"/>
  <c r="B51" s="1"/>
  <c r="F5" s="1"/>
  <c r="F8" s="1"/>
  <c r="G11" i="14" s="1"/>
  <c r="I21" i="48"/>
  <c r="K27"/>
  <c r="G29"/>
  <c r="O21"/>
  <c r="H24"/>
  <c r="L16"/>
  <c r="L27" s="1"/>
  <c r="H21"/>
  <c r="K24"/>
  <c r="K25"/>
  <c r="Q11" i="14"/>
  <c r="P12" i="13"/>
  <c r="Q37" i="14" s="1"/>
  <c r="P4" i="48"/>
  <c r="P21" s="1"/>
  <c r="D12" i="13"/>
  <c r="E37" i="14" s="1"/>
  <c r="D4" i="48"/>
  <c r="D21" s="1"/>
  <c r="E11" i="14"/>
  <c r="F23" i="48"/>
  <c r="J23"/>
  <c r="N23"/>
  <c r="N26"/>
  <c r="D28"/>
  <c r="H28"/>
  <c r="L28"/>
  <c r="F30"/>
  <c r="J30"/>
  <c r="N30"/>
  <c r="K22"/>
  <c r="G23"/>
  <c r="K23"/>
  <c r="O23"/>
  <c r="G25"/>
  <c r="F26"/>
  <c r="J26"/>
  <c r="O26"/>
  <c r="F27"/>
  <c r="J27"/>
  <c r="I28"/>
  <c r="D29"/>
  <c r="H29"/>
  <c r="L29"/>
  <c r="P29"/>
  <c r="K30"/>
  <c r="O30"/>
  <c r="C22" i="13"/>
  <c r="C21"/>
  <c r="C20"/>
  <c r="D23" i="48"/>
  <c r="H23"/>
  <c r="P23"/>
  <c r="H25"/>
  <c r="P26"/>
  <c r="F28"/>
  <c r="J28"/>
  <c r="N28"/>
  <c r="D30"/>
  <c r="P30"/>
  <c r="E23"/>
  <c r="I23"/>
  <c r="O24"/>
  <c r="I25"/>
  <c r="P11" i="14"/>
  <c r="O12" i="13"/>
  <c r="P37" i="14" s="1"/>
  <c r="B10" i="48"/>
  <c r="C18" i="14"/>
  <c r="B50" i="13"/>
  <c r="J12" i="17"/>
  <c r="K48" i="14" s="1"/>
  <c r="J7" i="48"/>
  <c r="J24" s="1"/>
  <c r="P24"/>
  <c r="E5" i="17"/>
  <c r="C8"/>
  <c r="G24" i="48"/>
  <c r="I24"/>
  <c r="G81" i="14"/>
  <c r="D79"/>
  <c r="H79"/>
  <c r="H81" s="1"/>
  <c r="L79"/>
  <c r="L81" s="1"/>
  <c r="F79"/>
  <c r="F81" s="1"/>
  <c r="J79"/>
  <c r="E68"/>
  <c r="E69" s="1"/>
  <c r="I68"/>
  <c r="M68"/>
  <c r="M69" s="1"/>
  <c r="D19" i="18"/>
  <c r="H19"/>
  <c r="L19"/>
  <c r="B68" i="14"/>
  <c r="G68"/>
  <c r="G69" s="1"/>
  <c r="K68"/>
  <c r="E81"/>
  <c r="M81"/>
  <c r="F19" i="18"/>
  <c r="D11" i="14"/>
  <c r="C4" i="48"/>
  <c r="M8" i="18"/>
  <c r="M17"/>
  <c r="M18"/>
  <c r="D13" i="14"/>
  <c r="F7" i="48" l="1"/>
  <c r="F24" s="1"/>
  <c r="C19" i="18"/>
  <c r="B19"/>
  <c r="F12" i="17"/>
  <c r="G48" i="14" s="1"/>
  <c r="I19" i="18"/>
  <c r="L8" i="17"/>
  <c r="M22" i="14" s="1"/>
  <c r="L5" i="17"/>
  <c r="C68" i="14"/>
  <c r="J81"/>
  <c r="D8" i="48"/>
  <c r="D25" s="1"/>
  <c r="D18" i="16"/>
  <c r="D22" s="1"/>
  <c r="E39" i="14" s="1"/>
  <c r="L21" i="48"/>
  <c r="B14" i="22"/>
  <c r="B9" i="48" s="1"/>
  <c r="I17" i="14"/>
  <c r="H12" i="22"/>
  <c r="D16" i="15"/>
  <c r="D20" s="1"/>
  <c r="B35" i="13"/>
  <c r="N8" i="17"/>
  <c r="I100" i="18"/>
  <c r="H7" s="1"/>
  <c r="E100"/>
  <c r="E7" s="1"/>
  <c r="H100"/>
  <c r="D100"/>
  <c r="G100"/>
  <c r="C100"/>
  <c r="F100"/>
  <c r="B100"/>
  <c r="C7" s="1"/>
  <c r="G31" i="20"/>
  <c r="H43" i="14" s="1"/>
  <c r="G12" i="22"/>
  <c r="D81" i="14"/>
  <c r="O79"/>
  <c r="O81" s="1"/>
  <c r="B17" i="6" s="1"/>
  <c r="C7" i="48"/>
  <c r="D22" i="14"/>
  <c r="M23" i="48"/>
  <c r="L30"/>
  <c r="L23"/>
  <c r="M28"/>
  <c r="M22"/>
  <c r="D9"/>
  <c r="D26" s="1"/>
  <c r="D14" i="22"/>
  <c r="N17" i="14"/>
  <c r="M12" i="22"/>
  <c r="B36" i="13"/>
  <c r="B48" s="1"/>
  <c r="C48" s="1"/>
  <c r="N5" s="1"/>
  <c r="N8" s="1"/>
  <c r="N4" i="48" s="1"/>
  <c r="N21" s="1"/>
  <c r="O68" i="14"/>
  <c r="C79"/>
  <c r="L22" i="16"/>
  <c r="M39" i="14" s="1"/>
  <c r="L8" i="48"/>
  <c r="L25" s="1"/>
  <c r="M13" i="14"/>
  <c r="E8" i="17"/>
  <c r="F22" i="14" s="1"/>
  <c r="J16" i="18"/>
  <c r="E14" i="22"/>
  <c r="F19" i="14" s="1"/>
  <c r="F20" s="1"/>
  <c r="K14" i="48"/>
  <c r="B34" i="13"/>
  <c r="B46" s="1"/>
  <c r="E5" s="1"/>
  <c r="E8" s="1"/>
  <c r="E12" s="1"/>
  <c r="F37" i="14" s="1"/>
  <c r="O18" i="16"/>
  <c r="L7" i="48"/>
  <c r="L24" s="1"/>
  <c r="L12" i="17"/>
  <c r="M48" i="14" s="1"/>
  <c r="M13" i="48"/>
  <c r="M51" i="22"/>
  <c r="M50" s="1"/>
  <c r="M54" s="1"/>
  <c r="M10" i="48" s="1"/>
  <c r="M27" s="1"/>
  <c r="H31" i="20"/>
  <c r="I43" i="14" s="1"/>
  <c r="H13" i="48"/>
  <c r="H30" s="1"/>
  <c r="M31" i="20"/>
  <c r="N43" i="14" s="1"/>
  <c r="G50" i="22"/>
  <c r="G54" s="1"/>
  <c r="H18" i="14" s="1"/>
  <c r="G13" i="48"/>
  <c r="G30" s="1"/>
  <c r="H17" i="14"/>
  <c r="R17" s="1"/>
  <c r="M5" i="22"/>
  <c r="G5"/>
  <c r="G14" s="1"/>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E9" i="48"/>
  <c r="E26" s="1"/>
  <c r="N12" i="16"/>
  <c r="J12"/>
  <c r="F12"/>
  <c r="E12"/>
  <c r="Q11" i="48"/>
  <c r="O5"/>
  <c r="R9" i="14"/>
  <c r="E18" i="22"/>
  <c r="F45" i="14" s="1"/>
  <c r="F46" s="1"/>
  <c r="C19"/>
  <c r="C20" s="1"/>
  <c r="D18" i="22"/>
  <c r="E45" i="14" s="1"/>
  <c r="E46" s="1"/>
  <c r="E19"/>
  <c r="E20" s="1"/>
  <c r="O28" i="48"/>
  <c r="H22"/>
  <c r="K31"/>
  <c r="L26"/>
  <c r="M30"/>
  <c r="M29"/>
  <c r="M25"/>
  <c r="M24"/>
  <c r="I31"/>
  <c r="C50" i="13"/>
  <c r="J5" s="1"/>
  <c r="J8" s="1"/>
  <c r="C5" i="48"/>
  <c r="C14" s="1"/>
  <c r="E12" i="17" l="1"/>
  <c r="F48" i="14" s="1"/>
  <c r="M14" i="22"/>
  <c r="M18" s="1"/>
  <c r="N45" i="14" s="1"/>
  <c r="N46" s="1"/>
  <c r="N53" s="1"/>
  <c r="I7" i="18"/>
  <c r="J67" i="14" s="1"/>
  <c r="E7" i="48"/>
  <c r="E24" s="1"/>
  <c r="E13" i="14"/>
  <c r="J7" i="18"/>
  <c r="J9" s="1"/>
  <c r="E10" i="14"/>
  <c r="D5" i="48"/>
  <c r="D22" s="1"/>
  <c r="D31"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I9" i="18"/>
  <c r="I67" i="14"/>
  <c r="I69" s="1"/>
  <c r="H9" i="18"/>
  <c r="Q13" i="48"/>
  <c r="G18" i="22"/>
  <c r="H45" i="14" s="1"/>
  <c r="G58" i="22"/>
  <c r="H44" i="14" s="1"/>
  <c r="M58" i="22"/>
  <c r="N44" i="14" s="1"/>
  <c r="G10" i="48"/>
  <c r="G27" s="1"/>
  <c r="N18" i="14"/>
  <c r="R18"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B14" s="1"/>
  <c r="D23" i="14"/>
  <c r="B20" i="6" s="1"/>
  <c r="B22"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20" l="1"/>
  <c r="K36" i="14" s="1"/>
  <c r="K67"/>
  <c r="K69" s="1"/>
  <c r="E15"/>
  <c r="E23" s="1"/>
  <c r="J5" i="48"/>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K13" i="14"/>
  <c r="K15" s="1"/>
  <c r="K23" s="1"/>
  <c r="I55"/>
  <c r="H26" i="48"/>
  <c r="H31" s="1"/>
  <c r="H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31" s="1"/>
  <c r="J14"/>
  <c r="R10" i="14"/>
  <c r="F22" i="16" l="1"/>
  <c r="G39" i="14" s="1"/>
  <c r="G41" s="1"/>
  <c r="G53" s="1"/>
  <c r="G55" s="1"/>
  <c r="O69" s="1"/>
  <c r="B9" i="6" s="1"/>
  <c r="B12" s="1"/>
  <c r="E55" i="14"/>
  <c r="Q9" i="48"/>
  <c r="F8"/>
  <c r="E25"/>
  <c r="E31" s="1"/>
  <c r="E14"/>
  <c r="N25"/>
  <c r="N14"/>
  <c r="E22" i="16"/>
  <c r="F39" i="14" s="1"/>
  <c r="F41" s="1"/>
  <c r="F53" s="1"/>
  <c r="F55" s="1"/>
  <c r="J22" i="16"/>
  <c r="K39" i="14" s="1"/>
  <c r="K41" s="1"/>
  <c r="K53" s="1"/>
  <c r="Q8" i="48"/>
  <c r="Q14" s="1"/>
  <c r="N31"/>
  <c r="F13" i="14"/>
  <c r="F15" s="1"/>
  <c r="F23" s="1"/>
  <c r="G14" i="48"/>
  <c r="H55" i="14"/>
  <c r="M14" i="48"/>
  <c r="R19" i="14"/>
  <c r="R20" s="1"/>
  <c r="M26" i="48"/>
  <c r="M31" s="1"/>
  <c r="O53" i="14"/>
  <c r="M53"/>
  <c r="M55" s="1"/>
  <c r="C12" i="13"/>
  <c r="D37" i="14" s="1"/>
  <c r="D41" s="1"/>
  <c r="C23" i="48"/>
  <c r="C24"/>
  <c r="C27"/>
  <c r="C28"/>
  <c r="C22"/>
  <c r="C25"/>
  <c r="C29"/>
  <c r="C21"/>
  <c r="C26"/>
  <c r="K55" i="14"/>
  <c r="R13"/>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9" i="48" l="1"/>
  <c r="Q29" s="1"/>
  <c r="B22"/>
  <c r="Q22" s="1"/>
  <c r="Q31" s="1"/>
  <c r="B27"/>
  <c r="Q27" s="1"/>
  <c r="B23"/>
  <c r="Q23" s="1"/>
  <c r="B21"/>
  <c r="Q21" s="1"/>
  <c r="B24"/>
  <c r="Q24" s="1"/>
  <c r="B30"/>
  <c r="Q30" s="1"/>
  <c r="B26"/>
  <c r="Q26" s="1"/>
  <c r="B25"/>
  <c r="Q25" s="1"/>
  <c r="R53" i="14"/>
  <c r="C41"/>
  <c r="C53" s="1"/>
  <c r="C55" s="1"/>
  <c r="B31" i="48" l="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<sst xmlns="http://schemas.openxmlformats.org/spreadsheetml/2006/main" count="2045" uniqueCount="889">
  <si>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</si>
  <si>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</si>
  <si>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</si>
  <si>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</si>
  <si>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</si>
  <si>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</si>
  <si>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</si>
  <si>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</si>
  <si>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</si>
  <si>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</si>
  <si>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</si>
  <si>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</si>
  <si>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</si>
  <si>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</si>
  <si>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</si>
  <si>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</si>
  <si>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</si>
  <si>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</si>
  <si>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</si>
  <si>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</si>
  <si>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</si>
  <si>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</si>
  <si>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</si>
  <si>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</si>
  <si>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</si>
  <si>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</si>
  <si>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</si>
  <si>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</si>
  <si>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</si>
  <si>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</si>
  <si>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</si>
  <si>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</si>
  <si>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</si>
  <si>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</si>
  <si>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</si>
  <si>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</si>
  <si>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</si>
  <si>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</si>
  <si>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</si>
  <si>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</si>
  <si>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</si>
  <si>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</si>
  <si>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</si>
  <si>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</si>
  <si>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</si>
  <si>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</si>
  <si>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</si>
  <si>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</si>
  <si>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</si>
  <si>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</si>
  <si>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</si>
  <si>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</si>
  <si>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</si>
  <si>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</si>
  <si>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</si>
  <si>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</si>
  <si>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</si>
  <si>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</si>
  <si>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</si>
  <si>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</si>
  <si>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</si>
  <si>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</si>
  <si>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</si>
  <si>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</si>
  <si>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</si>
  <si>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</si>
  <si>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</si>
  <si>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</si>
  <si>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</si>
  <si>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</si>
  <si>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</si>
  <si>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</si>
  <si>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</si>
  <si>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</si>
  <si>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</si>
  <si>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</si>
  <si>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</si>
  <si>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</si>
  <si>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</si>
  <si>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</si>
  <si>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</si>
  <si>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</si>
  <si>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</si>
  <si>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</si>
  <si>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</si>
  <si>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</si>
  <si>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</si>
  <si>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</si>
  <si>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</si>
  <si>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</si>
  <si>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</si>
  <si>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</si>
  <si>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</si>
  <si>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</si>
  <si>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</si>
  <si>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</si>
  <si>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</si>
  <si>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</si>
  <si>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</si>
  <si>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</si>
  <si>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</si>
  <si>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</si>
  <si>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</si>
  <si>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</si>
  <si>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</si>
  <si>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</si>
  <si>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</si>
  <si>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</si>
  <si>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</si>
  <si>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</si>
  <si>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</si>
  <si>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</si>
  <si>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</si>
  <si>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</si>
  <si>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</si>
  <si>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</si>
  <si>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</si>
  <si>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</si>
  <si>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</si>
  <si>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</si>
  <si>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</si>
  <si>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</si>
  <si>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</si>
  <si>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</si>
  <si>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</si>
  <si>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</si>
  <si>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</si>
  <si>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</si>
  <si>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</si>
  <si>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</si>
  <si>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</si>
  <si>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</si>
  <si>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</si>
  <si>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</si>
  <si>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</si>
  <si>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</si>
  <si>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</si>
  <si>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</si>
  <si>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</si>
  <si>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</si>
  <si>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</si>
  <si>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</si>
  <si>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</si>
  <si>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</si>
  <si>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</si>
  <si>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</si>
  <si>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</si>
  <si>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</si>
  <si>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</si>
  <si>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</si>
  <si>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</si>
  <si>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</si>
  <si>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</si>
  <si>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</si>
  <si>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</si>
  <si>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</si>
  <si>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</si>
  <si>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</si>
  <si>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</si>
  <si>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</si>
  <si>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</si>
  <si>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</si>
  <si>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</si>
  <si>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</si>
  <si>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</si>
  <si>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</si>
  <si>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</si>
  <si>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</si>
  <si>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</si>
  <si>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</si>
  <si>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</si>
  <si>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</si>
  <si>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</si>
  <si>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</si>
  <si>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</si>
  <si>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</si>
  <si>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</si>
  <si>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</si>
  <si>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</si>
  <si>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</si>
  <si>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</si>
  <si>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</si>
  <si>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</si>
  <si>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</si>
  <si>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</si>
  <si>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</si>
  <si>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</si>
  <si>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</si>
  <si>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</si>
  <si>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</si>
  <si>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</si>
  <si>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</si>
  <si>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</si>
  <si>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</si>
  <si>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</si>
  <si>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</si>
  <si>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</si>
  <si>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</si>
  <si>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</si>
  <si>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</si>
  <si>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</si>
  <si>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</si>
  <si>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</si>
  <si>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</si>
  <si>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</si>
  <si>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</si>
  <si>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</si>
  <si>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</si>
  <si>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</si>
  <si>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</si>
  <si>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</si>
  <si>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</si>
  <si>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</si>
  <si>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</si>
  <si>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</si>
  <si>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</si>
  <si>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</si>
  <si>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</si>
  <si>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</si>
  <si>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</si>
  <si>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</si>
  <si>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</si>
  <si>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</si>
  <si>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</si>
  <si>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</si>
  <si>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</si>
  <si>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</si>
  <si>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</si>
  <si>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</si>
  <si>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</si>
  <si>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</si>
  <si>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</si>
  <si>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</si>
  <si>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</si>
  <si>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</si>
  <si>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</si>
  <si>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</si>
  <si>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</si>
  <si>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</si>
  <si>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</si>
  <si>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</si>
  <si>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</si>
  <si>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</si>
  <si>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</si>
  <si>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</si>
  <si>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</si>
  <si>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</si>
  <si>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</si>
  <si>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</si>
  <si>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</si>
  <si>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</si>
  <si>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</si>
  <si>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</si>
  <si>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</si>
  <si>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</si>
  <si>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</si>
  <si>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</si>
  <si>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</si>
  <si>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</si>
  <si>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</si>
  <si>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</si>
  <si>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</si>
  <si>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</si>
  <si>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</si>
  <si>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</si>
  <si>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</si>
  <si>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</si>
  <si>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</si>
  <si>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</si>
  <si>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</si>
  <si>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</si>
  <si>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</si>
  <si>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</si>
  <si>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</si>
  <si>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</si>
  <si>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</si>
  <si>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</si>
  <si>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</si>
  <si>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</si>
  <si>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</si>
  <si>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</si>
  <si>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</si>
  <si>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</si>
  <si>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</si>
  <si>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</si>
  <si>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</si>
  <si>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</si>
  <si>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</si>
  <si>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</si>
  <si>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</si>
  <si>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</si>
  <si>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</si>
  <si>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</si>
  <si>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</si>
  <si>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</si>
  <si>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</si>
  <si>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</si>
  <si>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</si>
  <si>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</si>
  <si>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</si>
  <si>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</si>
  <si>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</si>
  <si>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</si>
  <si>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</si>
  <si>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</si>
  <si>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</si>
  <si>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</si>
  <si>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</si>
  <si>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</si>
  <si>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</si>
  <si>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</si>
  <si>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</si>
  <si>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</si>
  <si>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</si>
  <si>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</si>
  <si>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</si>
  <si>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</si>
  <si>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</si>
  <si>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</si>
  <si>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</si>
  <si>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</si>
  <si>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</si>
  <si>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</si>
  <si>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</si>
  <si>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</si>
  <si>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</si>
  <si>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</si>
  <si>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</si>
  <si>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</si>
  <si>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</si>
  <si>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</si>
  <si>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</si>
  <si>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</si>
  <si>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</si>
  <si>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</si>
  <si>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</si>
  <si>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</si>
  <si>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</si>
  <si>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</si>
  <si>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</si>
  <si>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</si>
  <si>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</si>
  <si>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</si>
  <si>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</si>
  <si>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</si>
  <si>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</si>
  <si>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</si>
  <si>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</si>
  <si>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</si>
  <si>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</si>
  <si>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</si>
  <si>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</si>
  <si>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</si>
  <si>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</si>
  <si>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</si>
  <si>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</si>
  <si>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</si>
  <si>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</si>
  <si>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</si>
  <si>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</si>
  <si>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</si>
  <si>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</si>
  <si>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</si>
  <si>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</si>
  <si>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</si>
  <si>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</si>
  <si>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</si>
  <si>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</si>
  <si>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</si>
  <si>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</si>
  <si>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</si>
  <si>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</si>
  <si>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</si>
  <si>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</si>
  <si>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</si>
  <si>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</si>
  <si>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</si>
  <si>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</si>
  <si>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</si>
  <si>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</si>
  <si>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</si>
  <si>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</si>
  <si>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</si>
  <si>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</si>
  <si>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</si>
  <si>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</si>
  <si>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</si>
  <si>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</si>
  <si>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</si>
  <si>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</si>
  <si>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</si>
  <si>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</si>
  <si>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</si>
  <si>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</si>
  <si>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</si>
  <si>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</si>
  <si>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</si>
  <si>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</si>
  <si>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</si>
  <si>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</si>
  <si>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</si>
  <si>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</si>
  <si>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</si>
  <si>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</si>
  <si>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</si>
  <si>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</si>
  <si>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</si>
  <si>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</si>
  <si>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</si>
  <si>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</si>
  <si>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</si>
  <si>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</si>
  <si>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</si>
  <si>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</si>
  <si>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</si>
  <si>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</si>
  <si>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</si>
  <si>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</si>
  <si>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</si>
  <si>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</si>
  <si>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</si>
  <si>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</si>
  <si>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</si>
  <si>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</si>
  <si>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</si>
  <si>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</si>
  <si>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</si>
  <si>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</si>
  <si>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</si>
  <si>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</si>
  <si>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</si>
  <si>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</si>
  <si>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</si>
  <si>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</si>
  <si>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</si>
  <si>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</si>
  <si>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</si>
  <si>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</si>
  <si>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</si>
  <si>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</si>
  <si>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</si>
  <si>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</si>
  <si>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</si>
  <si>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</si>
  <si>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</si>
  <si>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</si>
  <si>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</si>
  <si>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</si>
  <si>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</si>
  <si>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</si>
  <si>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</si>
  <si>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</si>
  <si>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</si>
  <si>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</si>
  <si>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</si>
  <si>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</si>
  <si>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</si>
  <si>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</si>
  <si>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</si>
  <si>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</si>
  <si>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</si>
  <si>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</si>
  <si>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</si>
  <si>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</si>
  <si>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</si>
  <si>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</si>
  <si>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</si>
  <si>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</si>
  <si>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</si>
  <si>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</si>
  <si>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</si>
  <si>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</si>
  <si>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</si>
  <si>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</si>
  <si>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</si>
  <si>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</si>
  <si>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</si>
  <si>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</si>
  <si>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</si>
  <si>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</si>
  <si>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</si>
  <si>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</si>
  <si>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</si>
  <si>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</si>
  <si>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</si>
  <si>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</si>
  <si>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</si>
  <si>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</si>
  <si>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</si>
  <si>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</si>
  <si>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</si>
  <si>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</si>
  <si>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</si>
  <si>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</si>
  <si>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</si>
  <si>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</si>
  <si>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</si>
  <si>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</si>
  <si>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</si>
  <si>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</si>
  <si>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</si>
  <si>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</si>
  <si>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</si>
  <si>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</si>
  <si>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</si>
  <si>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</si>
  <si>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</si>
  <si>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</si>
  <si>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</si>
  <si>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</si>
  <si>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</si>
  <si>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</si>
  <si>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</si>
  <si>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</si>
  <si>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</si>
  <si>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</si>
  <si>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</si>
  <si>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</si>
  <si>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</si>
  <si>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</si>
  <si>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</si>
  <si>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</si>
  <si>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</si>
  <si>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</si>
  <si>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</si>
  <si>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</si>
  <si>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</si>
  <si>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</si>
  <si>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</si>
  <si>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</si>
  <si>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</si>
  <si>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</si>
  <si>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</si>
  <si>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</si>
  <si>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</si>
  <si>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</si>
  <si>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</si>
  <si>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</si>
  <si>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</si>
  <si>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</si>
  <si>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</si>
  <si>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</si>
  <si>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</si>
  <si>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</si>
  <si>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</si>
  <si>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</si>
  <si>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</si>
  <si>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</si>
  <si>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</si>
  <si>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</si>
  <si>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</si>
  <si>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</si>
  <si>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</si>
  <si>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</si>
  <si>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</si>
  <si>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</si>
  <si>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</si>
  <si>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</si>
  <si>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</si>
  <si>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</si>
  <si>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</si>
  <si>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</si>
  <si>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</si>
  <si>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</si>
  <si>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</si>
  <si>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</si>
  <si>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</si>
  <si>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</si>
  <si>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</si>
  <si>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</si>
  <si>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</si>
  <si>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</si>
  <si>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</si>
  <si>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</si>
  <si>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</si>
  <si>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</si>
  <si>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</si>
  <si>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</si>
  <si>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</si>
  <si>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</si>
  <si>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</si>
  <si>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</si>
  <si>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</si>
  <si>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</si>
  <si>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</si>
  <si>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</si>
  <si>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</si>
  <si>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</si>
  <si>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</si>
  <si>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</si>
  <si>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</si>
  <si>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</si>
  <si>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</si>
  <si>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</si>
  <si>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</si>
  <si>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</si>
  <si>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</si>
  <si>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</si>
  <si>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</si>
  <si>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</si>
  <si>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</si>
  <si>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</si>
  <si>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</si>
  <si>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</si>
  <si>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</si>
  <si>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</si>
  <si>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</si>
  <si>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</si>
  <si>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</si>
  <si>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</si>
  <si>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</si>
  <si>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</si>
  <si>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</si>
  <si>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</si>
  <si>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</si>
  <si>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</si>
  <si>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</si>
  <si>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</si>
  <si>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</si>
  <si>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</si>
  <si>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</si>
  <si>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</si>
  <si>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</si>
  <si>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</si>
  <si>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</si>
  <si>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</si>
  <si>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</si>
  <si>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</si>
  <si>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</si>
  <si>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</si>
  <si>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</si>
  <si>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</si>
  <si>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</si>
  <si>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</si>
  <si>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</si>
  <si>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</si>
  <si>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</si>
  <si>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</si>
  <si>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</si>
  <si>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</si>
  <si>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</si>
  <si>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</si>
  <si>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</si>
  <si>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</si>
  <si>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</si>
  <si>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</si>
  <si>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</si>
  <si>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</si>
  <si>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</si>
  <si>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</si>
  <si>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</si>
  <si>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</si>
  <si>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</si>
  <si>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</si>
  <si>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</si>
  <si>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</si>
  <si>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</si>
  <si>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</si>
  <si>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</si>
  <si>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</si>
  <si>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</si>
  <si>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</si>
  <si>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</si>
  <si>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</si>
  <si>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</si>
  <si>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</si>
  <si>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</si>
  <si>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</si>
  <si>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</si>
  <si>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</si>
  <si>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</si>
  <si>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</si>
  <si>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</si>
  <si>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</si>
  <si>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</si>
  <si>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</si>
  <si>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</si>
  <si>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</si>
  <si>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</si>
  <si>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</si>
  <si>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</si>
  <si>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</si>
  <si>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</si>
  <si>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</si>
  <si>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</si>
  <si>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</si>
  <si>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</si>
  <si>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</si>
  <si>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</si>
  <si>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</si>
  <si>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</si>
  <si>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</si>
  <si>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</si>
  <si>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</si>
  <si>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</si>
  <si>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</si>
  <si>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</si>
  <si>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</si>
  <si>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</si>
  <si>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</si>
  <si>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</si>
  <si>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</si>
  <si>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</si>
  <si>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</si>
  <si>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</si>
  <si>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</si>
  <si>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</si>
  <si>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</si>
  <si>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</si>
  <si>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</si>
  <si>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</si>
  <si>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</si>
  <si>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</si>
  <si>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</si>
  <si>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</si>
  <si>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</si>
  <si>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</si>
  <si>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</si>
  <si>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</si>
  <si>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</si>
  <si>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</si>
  <si>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</si>
  <si>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</si>
  <si>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</si>
  <si>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</si>
  <si>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</si>
  <si>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</si>
  <si>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</si>
  <si>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</si>
  <si>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</si>
  <si>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</si>
  <si>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</si>
  <si>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</si>
  <si>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</si>
  <si>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</si>
  <si>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</si>
  <si>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</si>
  <si>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</si>
  <si>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</si>
  <si>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</si>
  <si>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</si>
  <si>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</si>
  <si>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</si>
  <si>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</si>
  <si>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</si>
  <si>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</si>
  <si>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</si>
  <si>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</si>
  <si>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</si>
  <si>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</si>
  <si>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</si>
  <si>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</si>
  <si>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</si>
  <si>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</si>
  <si>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</si>
  <si>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</si>
  <si>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</si>
  <si>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</si>
  <si>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</si>
  <si>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</si>
  <si>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</si>
  <si>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</si>
  <si>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</si>
  <si>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</si>
  <si>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</si>
  <si>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</si>
  <si>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</si>
  <si>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</si>
  <si>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</si>
  <si>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</si>
  <si>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</si>
  <si>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</si>
  <si>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</si>
  <si>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</si>
  <si>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</si>
  <si>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</si>
  <si>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</si>
  <si>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</si>
  <si>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</si>
  <si>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</si>
  <si>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</si>
  <si>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</si>
  <si>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</si>
  <si>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</si>
  <si>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</si>
  <si>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</si>
  <si>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</si>
  <si>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</si>
  <si>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</si>
  <si>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</si>
  <si>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</si>
  <si>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</si>
  <si>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</si>
  <si>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</si>
  <si>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</si>
  <si>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</si>
  <si>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</si>
  <si>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</si>
  <si>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</si>
  <si>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</si>
  <si>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</si>
  <si>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</si>
  <si>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</si>
  <si>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</si>
  <si>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</si>
  <si>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</si>
  <si>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</si>
  <si>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</si>
  <si>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</si>
  <si>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</si>
  <si>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</si>
  <si>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</si>
  <si>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</si>
  <si>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</si>
  <si>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</si>
  <si>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</si>
  <si>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</si>
  <si>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</si>
  <si>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</si>
  <si>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</si>
  <si>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</si>
  <si>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</si>
  <si>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</si>
  <si>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</si>
  <si>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</si>
  <si>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</si>
  <si>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</si>
  <si>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</si>
  <si>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</si>
  <si>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</si>
  <si>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versie: 2012_05</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</si>
  <si>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</si>
  <si>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</si>
  <si>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</si>
  <si>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</si>
  <si>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</si>
  <si>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</si>
  <si>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</si>
  <si>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</si>
  <si>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</si>
  <si>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</si>
  <si>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</si>
  <si>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</si>
  <si>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</si>
  <si>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</si>
  <si>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</si>
  <si>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</si>
  <si>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</si>
  <si>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</si>
  <si>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</si>
  <si>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</si>
  <si>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</si>
  <si>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</si>
  <si>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</si>
  <si>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</si>
  <si>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</si>
  <si>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</si>
  <si>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</si>
  <si>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</si>
  <si>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</si>
  <si>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</si>
  <si>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</si>
  <si>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</si>
  <si>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</si>
  <si>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</si>
  <si>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</si>
  <si>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</si>
  <si>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</si>
  <si>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</si>
  <si>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</si>
  <si>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</si>
  <si>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44049</t>
  </si>
  <si>
    <t>NEVELE</t>
  </si>
  <si>
    <t>Paarden&amp;pony's 200 - 600 kg</t>
  </si>
  <si>
    <t>Paarden&amp;pony's &lt; 200 kg</t>
  </si>
  <si>
    <t>op basis van VEA (maart 2018) en Inventaris Hernieuwbare Energiebronnen (juni 2018)</t>
  </si>
  <si>
    <t>VEA (juni 2018)</t>
  </si>
  <si>
    <t>Vlaemynck</t>
  </si>
  <si>
    <t>Nieuwe Kerkstraat 8, 9850 Nevele</t>
  </si>
  <si>
    <t>WKK-0111 Vlaemynck</t>
  </si>
  <si>
    <t>interne verbrandingsmotor</t>
  </si>
  <si>
    <t>WKK interne verbrandinsgmotor (gas)</t>
  </si>
  <si>
    <t>IMEWO</t>
  </si>
  <si>
    <t>Gemapa bvba</t>
  </si>
  <si>
    <t>Veldeken 25, 9850 Nevele</t>
  </si>
  <si>
    <t>WKK-0117 Gemapa</t>
  </si>
  <si>
    <t>Tonny De Smet</t>
  </si>
  <si>
    <t>Graaf van Hoornestraat 77, 9850 Nevele</t>
  </si>
  <si>
    <t>WKK-0159 Tonny De Smet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</si>
</sst>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23">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199" xfId="222" applyFont="1" applyBorder="1"/>
    <xf numFmtId="0" fontId="0" fillId="0" borderId="199"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830</v>
      </c>
      <c r="B4" s="107"/>
      <c r="C4" s="108"/>
    </row>
    <row r="5" spans="1:7" s="395" customFormat="1" ht="15.75" customHeight="1">
      <c r="A5" s="392" t="s">
        <v>0</v>
      </c>
      <c r="B5" s="393"/>
      <c r="C5" s="394"/>
    </row>
    <row r="6" spans="1:7" s="395" customFormat="1" ht="15" customHeight="1">
      <c r="A6" s="396" t="str">
        <f>txtNIS</f>
        <v>44049</v>
      </c>
      <c r="B6" s="397"/>
      <c r="C6" s="398"/>
    </row>
    <row r="7" spans="1:7" s="395" customFormat="1" ht="15.75" customHeight="1">
      <c r="A7" s="399" t="str">
        <f>txtMunicipality</f>
        <v>NEVELE</v>
      </c>
      <c r="B7" s="397"/>
      <c r="C7" s="398"/>
    </row>
    <row r="8" spans="1:7" ht="15.75" thickBot="1">
      <c r="A8" s="46"/>
      <c r="B8" s="109"/>
      <c r="C8" s="110"/>
    </row>
    <row r="9" spans="1:7" s="388" customFormat="1" ht="15.75" thickBot="1">
      <c r="A9" s="412" t="s">
        <v>357</v>
      </c>
      <c r="B9" s="415"/>
      <c r="C9" s="416"/>
    </row>
    <row r="10" spans="1:7" s="16" customFormat="1" ht="57.75" customHeight="1" thickBot="1">
      <c r="A10" s="998" t="s">
        <v>686</v>
      </c>
      <c r="B10" s="999"/>
      <c r="C10" s="1000"/>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01" t="s">
        <v>538</v>
      </c>
      <c r="C16" s="1002"/>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44049</v>
      </c>
      <c r="B1" s="1194"/>
      <c r="C1" s="1194"/>
      <c r="D1" s="1194"/>
      <c r="E1" s="1194"/>
      <c r="F1" s="1195"/>
    </row>
    <row r="3" spans="1:6" ht="19.5">
      <c r="A3" s="1196" t="s">
        <v>0</v>
      </c>
    </row>
    <row r="4" spans="1:6" ht="22.5">
      <c r="A4" s="1197" t="s">
        <v>871</v>
      </c>
    </row>
    <row r="5" spans="1:6" ht="22.5">
      <c r="A5" s="1197" t="s">
        <v>872</v>
      </c>
    </row>
    <row r="6" spans="1:6" ht="15.75" thickBot="1"/>
    <row r="7" spans="1:6" ht="20.25" thickBot="1">
      <c r="A7" s="1198" t="s">
        <v>1</v>
      </c>
      <c r="B7" s="336" t="s">
        <v>396</v>
      </c>
      <c r="C7" s="336" t="s">
        <v>664</v>
      </c>
      <c r="D7" s="336"/>
      <c r="E7" s="336"/>
      <c r="F7" s="337"/>
    </row>
    <row r="8" spans="1:6" ht="16.5" thickTop="1" thickBot="1">
      <c r="A8" s="1199" t="s">
        <v>4</v>
      </c>
      <c r="B8" s="1200">
        <v>2012</v>
      </c>
      <c r="C8" s="1200">
        <v>2020</v>
      </c>
      <c r="D8" s="1194"/>
      <c r="E8" s="1194"/>
      <c r="F8" s="1195"/>
    </row>
    <row r="9" spans="1:6">
      <c r="A9" s="1201" t="s">
        <v>2</v>
      </c>
      <c r="B9" s="338">
        <v>4703</v>
      </c>
      <c r="C9" s="338">
        <v>4994</v>
      </c>
      <c r="D9" s="338"/>
      <c r="E9" s="338"/>
      <c r="F9" s="338"/>
    </row>
    <row r="10" spans="1:6">
      <c r="A10" s="339"/>
    </row>
    <row r="11" spans="1:6" ht="15.75" thickBot="1">
      <c r="A11" s="339"/>
    </row>
    <row r="12" spans="1:6" ht="20.25" thickBot="1">
      <c r="A12" s="1198" t="s">
        <v>3</v>
      </c>
      <c r="B12" s="336" t="s">
        <v>396</v>
      </c>
      <c r="C12" s="336" t="s">
        <v>642</v>
      </c>
      <c r="D12" s="336"/>
      <c r="E12" s="336"/>
      <c r="F12" s="340"/>
    </row>
    <row r="13" spans="1:6" ht="16.5" thickTop="1" thickBot="1">
      <c r="A13" s="1202" t="s">
        <v>4</v>
      </c>
      <c r="B13" s="1203" t="s">
        <v>5</v>
      </c>
      <c r="C13" s="1203"/>
      <c r="D13" s="1203"/>
      <c r="E13" s="1203"/>
      <c r="F13" s="1204"/>
    </row>
    <row r="14" spans="1:6">
      <c r="A14" s="1205" t="s">
        <v>785</v>
      </c>
      <c r="B14" s="335">
        <v>3424</v>
      </c>
    </row>
    <row r="15" spans="1:6">
      <c r="A15" s="1205" t="s">
        <v>184</v>
      </c>
      <c r="B15" s="335">
        <v>446</v>
      </c>
    </row>
    <row r="16" spans="1:6">
      <c r="A16" s="1205" t="s">
        <v>6</v>
      </c>
      <c r="B16" s="335">
        <v>1467</v>
      </c>
    </row>
    <row r="17" spans="1:6">
      <c r="A17" s="1205" t="s">
        <v>7</v>
      </c>
      <c r="B17" s="335">
        <v>1091</v>
      </c>
    </row>
    <row r="18" spans="1:6">
      <c r="A18" s="1205" t="s">
        <v>8</v>
      </c>
      <c r="B18" s="335">
        <v>1736</v>
      </c>
    </row>
    <row r="19" spans="1:6">
      <c r="A19" s="1205" t="s">
        <v>9</v>
      </c>
      <c r="B19" s="335">
        <v>1601</v>
      </c>
    </row>
    <row r="20" spans="1:6">
      <c r="A20" s="1205" t="s">
        <v>10</v>
      </c>
      <c r="B20" s="335">
        <v>1014</v>
      </c>
    </row>
    <row r="21" spans="1:6">
      <c r="A21" s="1205" t="s">
        <v>11</v>
      </c>
      <c r="B21" s="335">
        <v>11711</v>
      </c>
    </row>
    <row r="22" spans="1:6">
      <c r="A22" s="1205" t="s">
        <v>12</v>
      </c>
      <c r="B22" s="335">
        <v>35923</v>
      </c>
    </row>
    <row r="23" spans="1:6">
      <c r="A23" s="1205" t="s">
        <v>13</v>
      </c>
      <c r="B23" s="335">
        <v>431</v>
      </c>
    </row>
    <row r="24" spans="1:6">
      <c r="A24" s="1205" t="s">
        <v>14</v>
      </c>
      <c r="B24" s="335">
        <v>139</v>
      </c>
    </row>
    <row r="25" spans="1:6">
      <c r="A25" s="1205" t="s">
        <v>15</v>
      </c>
      <c r="B25" s="335">
        <v>3041</v>
      </c>
    </row>
    <row r="26" spans="1:6">
      <c r="A26" s="1205" t="s">
        <v>16</v>
      </c>
      <c r="B26" s="335">
        <v>272</v>
      </c>
    </row>
    <row r="27" spans="1:6">
      <c r="A27" s="1205" t="s">
        <v>17</v>
      </c>
      <c r="B27" s="335">
        <v>5</v>
      </c>
    </row>
    <row r="28" spans="1:6" s="341" customFormat="1">
      <c r="A28" s="1206" t="s">
        <v>18</v>
      </c>
      <c r="B28" s="1206">
        <v>226782</v>
      </c>
    </row>
    <row r="29" spans="1:6">
      <c r="A29" s="1206" t="s">
        <v>873</v>
      </c>
      <c r="B29" s="1206">
        <v>271</v>
      </c>
      <c r="C29" s="341"/>
      <c r="D29" s="341"/>
      <c r="E29" s="341"/>
      <c r="F29" s="341"/>
    </row>
    <row r="30" spans="1:6">
      <c r="A30" s="1201" t="s">
        <v>874</v>
      </c>
      <c r="B30" s="1201">
        <v>65</v>
      </c>
      <c r="C30" s="338"/>
      <c r="D30" s="338"/>
      <c r="E30" s="338"/>
      <c r="F30" s="338"/>
    </row>
    <row r="31" spans="1:6" ht="15.75" thickBot="1">
      <c r="A31" s="339"/>
    </row>
    <row r="32" spans="1:6" ht="20.25" thickBot="1">
      <c r="A32" s="1198" t="s">
        <v>19</v>
      </c>
      <c r="B32" s="336" t="s">
        <v>396</v>
      </c>
      <c r="C32" s="336" t="s">
        <v>671</v>
      </c>
      <c r="D32" s="336"/>
      <c r="E32" s="336"/>
      <c r="F32" s="340"/>
    </row>
    <row r="33" spans="1:6" ht="16.5" thickTop="1" thickBot="1">
      <c r="A33" s="1207"/>
      <c r="B33" s="1208"/>
      <c r="C33" s="1208" t="s">
        <v>20</v>
      </c>
      <c r="D33" s="1208"/>
      <c r="E33" s="1208" t="s">
        <v>21</v>
      </c>
      <c r="F33" s="1209"/>
    </row>
    <row r="34" spans="1:6" ht="16.5" thickTop="1" thickBot="1">
      <c r="A34" s="1210" t="s">
        <v>22</v>
      </c>
      <c r="B34" s="1211" t="s">
        <v>23</v>
      </c>
      <c r="C34" s="1211" t="s">
        <v>5</v>
      </c>
      <c r="D34" s="1211" t="s">
        <v>24</v>
      </c>
      <c r="E34" s="1211" t="s">
        <v>5</v>
      </c>
      <c r="F34" s="1212" t="s">
        <v>24</v>
      </c>
    </row>
    <row r="35" spans="1:6">
      <c r="A35" s="1205" t="s">
        <v>25</v>
      </c>
      <c r="B35" s="1205" t="s">
        <v>26</v>
      </c>
      <c r="C35" s="335">
        <v>0</v>
      </c>
      <c r="D35" s="335">
        <v>0</v>
      </c>
      <c r="E35" s="335">
        <v>0</v>
      </c>
      <c r="F35" s="335">
        <v>0</v>
      </c>
    </row>
    <row r="36" spans="1:6">
      <c r="A36" s="1205" t="s">
        <v>25</v>
      </c>
      <c r="B36" s="1205" t="s">
        <v>27</v>
      </c>
      <c r="C36" s="335">
        <v>0</v>
      </c>
      <c r="D36" s="335">
        <v>0</v>
      </c>
      <c r="E36" s="335">
        <v>0</v>
      </c>
      <c r="F36" s="335">
        <v>0</v>
      </c>
    </row>
    <row r="37" spans="1:6">
      <c r="A37" s="1205" t="s">
        <v>25</v>
      </c>
      <c r="B37" s="1205" t="s">
        <v>28</v>
      </c>
      <c r="C37" s="335">
        <v>0</v>
      </c>
      <c r="D37" s="335">
        <v>0</v>
      </c>
      <c r="E37" s="335">
        <v>0</v>
      </c>
      <c r="F37" s="335">
        <v>0</v>
      </c>
    </row>
    <row r="38" spans="1:6">
      <c r="A38" s="1205" t="s">
        <v>25</v>
      </c>
      <c r="B38" s="1205" t="s">
        <v>29</v>
      </c>
      <c r="C38" s="335">
        <v>1</v>
      </c>
      <c r="D38" s="335">
        <v>17816.2458118662</v>
      </c>
      <c r="E38" s="335">
        <v>4</v>
      </c>
      <c r="F38" s="335">
        <v>23885.705030985599</v>
      </c>
    </row>
    <row r="39" spans="1:6">
      <c r="A39" s="1205" t="s">
        <v>30</v>
      </c>
      <c r="B39" s="1205" t="s">
        <v>31</v>
      </c>
      <c r="C39" s="335">
        <v>1844</v>
      </c>
      <c r="D39" s="335">
        <v>31571931.041008599</v>
      </c>
      <c r="E39" s="335">
        <v>4499</v>
      </c>
      <c r="F39" s="335">
        <v>24015362.643003553</v>
      </c>
    </row>
    <row r="40" spans="1:6">
      <c r="A40" s="1205" t="s">
        <v>30</v>
      </c>
      <c r="B40" s="1205" t="s">
        <v>29</v>
      </c>
      <c r="C40" s="335">
        <v>0</v>
      </c>
      <c r="D40" s="335">
        <v>0</v>
      </c>
      <c r="E40" s="335">
        <v>0</v>
      </c>
      <c r="F40" s="335">
        <v>0</v>
      </c>
    </row>
    <row r="41" spans="1:6">
      <c r="A41" s="1205" t="s">
        <v>32</v>
      </c>
      <c r="B41" s="1205" t="s">
        <v>33</v>
      </c>
      <c r="C41" s="335">
        <v>15</v>
      </c>
      <c r="D41" s="335">
        <v>919194.115827261</v>
      </c>
      <c r="E41" s="335">
        <v>115</v>
      </c>
      <c r="F41" s="335">
        <v>1104349.6800752101</v>
      </c>
    </row>
    <row r="42" spans="1:6">
      <c r="A42" s="1205" t="s">
        <v>32</v>
      </c>
      <c r="B42" s="1205" t="s">
        <v>34</v>
      </c>
      <c r="C42" s="335">
        <v>0</v>
      </c>
      <c r="D42" s="335">
        <v>0</v>
      </c>
      <c r="E42" s="335">
        <v>0</v>
      </c>
      <c r="F42" s="335">
        <v>0</v>
      </c>
    </row>
    <row r="43" spans="1:6">
      <c r="A43" s="1205" t="s">
        <v>32</v>
      </c>
      <c r="B43" s="1205" t="s">
        <v>35</v>
      </c>
      <c r="C43" s="335">
        <v>0</v>
      </c>
      <c r="D43" s="335">
        <v>0</v>
      </c>
      <c r="E43" s="335">
        <v>0</v>
      </c>
      <c r="F43" s="335">
        <v>0</v>
      </c>
    </row>
    <row r="44" spans="1:6">
      <c r="A44" s="1205" t="s">
        <v>32</v>
      </c>
      <c r="B44" s="1205" t="s">
        <v>36</v>
      </c>
      <c r="C44" s="335">
        <v>0</v>
      </c>
      <c r="D44" s="335">
        <v>0</v>
      </c>
      <c r="E44" s="335">
        <v>7</v>
      </c>
      <c r="F44" s="335">
        <v>75365.374784026804</v>
      </c>
    </row>
    <row r="45" spans="1:6">
      <c r="A45" s="1205" t="s">
        <v>32</v>
      </c>
      <c r="B45" s="1205" t="s">
        <v>37</v>
      </c>
      <c r="C45" s="335">
        <v>0</v>
      </c>
      <c r="D45" s="335">
        <v>0</v>
      </c>
      <c r="E45" s="335">
        <v>0</v>
      </c>
      <c r="F45" s="335">
        <v>0</v>
      </c>
    </row>
    <row r="46" spans="1:6">
      <c r="A46" s="1205" t="s">
        <v>32</v>
      </c>
      <c r="B46" s="1205" t="s">
        <v>38</v>
      </c>
      <c r="C46" s="335">
        <v>0</v>
      </c>
      <c r="D46" s="335">
        <v>0</v>
      </c>
      <c r="E46" s="335">
        <v>0</v>
      </c>
      <c r="F46" s="335">
        <v>0</v>
      </c>
    </row>
    <row r="47" spans="1:6">
      <c r="A47" s="1205" t="s">
        <v>32</v>
      </c>
      <c r="B47" s="1205" t="s">
        <v>39</v>
      </c>
      <c r="C47" s="335">
        <v>0</v>
      </c>
      <c r="D47" s="335">
        <v>0</v>
      </c>
      <c r="E47" s="335">
        <v>0</v>
      </c>
      <c r="F47" s="335">
        <v>0</v>
      </c>
    </row>
    <row r="48" spans="1:6">
      <c r="A48" s="1205" t="s">
        <v>32</v>
      </c>
      <c r="B48" s="1205" t="s">
        <v>29</v>
      </c>
      <c r="C48" s="335">
        <v>19</v>
      </c>
      <c r="D48" s="335">
        <v>1650033.33630709</v>
      </c>
      <c r="E48" s="335">
        <v>23</v>
      </c>
      <c r="F48" s="335">
        <v>1516354.86147802</v>
      </c>
    </row>
    <row r="49" spans="1:6">
      <c r="A49" s="1205" t="s">
        <v>32</v>
      </c>
      <c r="B49" s="1205" t="s">
        <v>40</v>
      </c>
      <c r="C49" s="335">
        <v>0</v>
      </c>
      <c r="D49" s="335">
        <v>0</v>
      </c>
      <c r="E49" s="335">
        <v>0</v>
      </c>
      <c r="F49" s="335">
        <v>0</v>
      </c>
    </row>
    <row r="50" spans="1:6">
      <c r="A50" s="1205" t="s">
        <v>32</v>
      </c>
      <c r="B50" s="1205" t="s">
        <v>41</v>
      </c>
      <c r="C50" s="335">
        <v>7</v>
      </c>
      <c r="D50" s="335">
        <v>417571.11626661499</v>
      </c>
      <c r="E50" s="335">
        <v>14</v>
      </c>
      <c r="F50" s="335">
        <v>842232.40958677698</v>
      </c>
    </row>
    <row r="51" spans="1:6">
      <c r="A51" s="1205" t="s">
        <v>42</v>
      </c>
      <c r="B51" s="1205" t="s">
        <v>43</v>
      </c>
      <c r="C51" s="335">
        <v>22</v>
      </c>
      <c r="D51" s="335">
        <v>74174239.900803506</v>
      </c>
      <c r="E51" s="335">
        <v>189</v>
      </c>
      <c r="F51" s="335">
        <v>4334495.1521371901</v>
      </c>
    </row>
    <row r="52" spans="1:6">
      <c r="A52" s="1205" t="s">
        <v>42</v>
      </c>
      <c r="B52" s="1205" t="s">
        <v>29</v>
      </c>
      <c r="C52" s="335">
        <v>4</v>
      </c>
      <c r="D52" s="335">
        <v>2225588.6727179601</v>
      </c>
      <c r="E52" s="335">
        <v>7</v>
      </c>
      <c r="F52" s="335">
        <v>42036.479019361803</v>
      </c>
    </row>
    <row r="53" spans="1:6">
      <c r="A53" s="1205" t="s">
        <v>44</v>
      </c>
      <c r="B53" s="1205" t="s">
        <v>45</v>
      </c>
      <c r="C53" s="335">
        <v>43</v>
      </c>
      <c r="D53" s="335">
        <v>1057497.52273175</v>
      </c>
      <c r="E53" s="335">
        <v>132</v>
      </c>
      <c r="F53" s="335">
        <v>895630.87143586704</v>
      </c>
    </row>
    <row r="54" spans="1:6">
      <c r="A54" s="1205" t="s">
        <v>46</v>
      </c>
      <c r="B54" s="1205" t="s">
        <v>47</v>
      </c>
      <c r="C54" s="335">
        <v>0</v>
      </c>
      <c r="D54" s="335">
        <v>0</v>
      </c>
      <c r="E54" s="335">
        <v>6</v>
      </c>
      <c r="F54" s="335">
        <v>1187081</v>
      </c>
    </row>
    <row r="55" spans="1:6">
      <c r="A55" s="1205" t="s">
        <v>46</v>
      </c>
      <c r="B55" s="1205" t="s">
        <v>29</v>
      </c>
      <c r="C55" s="335">
        <v>0</v>
      </c>
      <c r="D55" s="335">
        <v>0</v>
      </c>
      <c r="E55" s="335">
        <v>0</v>
      </c>
      <c r="F55" s="335">
        <v>0</v>
      </c>
    </row>
    <row r="56" spans="1:6">
      <c r="A56" s="1205" t="s">
        <v>48</v>
      </c>
      <c r="B56" s="1205" t="s">
        <v>29</v>
      </c>
      <c r="C56" s="335">
        <v>0</v>
      </c>
      <c r="D56" s="335">
        <v>0</v>
      </c>
      <c r="E56" s="335">
        <v>0</v>
      </c>
      <c r="F56" s="335">
        <v>0</v>
      </c>
    </row>
    <row r="57" spans="1:6">
      <c r="A57" s="1205" t="s">
        <v>49</v>
      </c>
      <c r="B57" s="1205" t="s">
        <v>50</v>
      </c>
      <c r="C57" s="335">
        <v>9</v>
      </c>
      <c r="D57" s="335">
        <v>355574.656685972</v>
      </c>
      <c r="E57" s="335">
        <v>79</v>
      </c>
      <c r="F57" s="335">
        <v>1233342.20216154</v>
      </c>
    </row>
    <row r="58" spans="1:6">
      <c r="A58" s="1205" t="s">
        <v>49</v>
      </c>
      <c r="B58" s="1205" t="s">
        <v>51</v>
      </c>
      <c r="C58" s="335">
        <v>10</v>
      </c>
      <c r="D58" s="335">
        <v>660168.75291801803</v>
      </c>
      <c r="E58" s="335">
        <v>24</v>
      </c>
      <c r="F58" s="335">
        <v>439654.03026333998</v>
      </c>
    </row>
    <row r="59" spans="1:6">
      <c r="A59" s="1205" t="s">
        <v>49</v>
      </c>
      <c r="B59" s="1205" t="s">
        <v>52</v>
      </c>
      <c r="C59" s="335">
        <v>15</v>
      </c>
      <c r="D59" s="335">
        <v>832830.26943178999</v>
      </c>
      <c r="E59" s="335">
        <v>122</v>
      </c>
      <c r="F59" s="335">
        <v>2956569.7183070001</v>
      </c>
    </row>
    <row r="60" spans="1:6">
      <c r="A60" s="1205" t="s">
        <v>49</v>
      </c>
      <c r="B60" s="1205" t="s">
        <v>53</v>
      </c>
      <c r="C60" s="335">
        <v>23</v>
      </c>
      <c r="D60" s="335">
        <v>726802.93111246498</v>
      </c>
      <c r="E60" s="335">
        <v>38</v>
      </c>
      <c r="F60" s="335">
        <v>704738.063282063</v>
      </c>
    </row>
    <row r="61" spans="1:6">
      <c r="A61" s="1205" t="s">
        <v>49</v>
      </c>
      <c r="B61" s="1205" t="s">
        <v>54</v>
      </c>
      <c r="C61" s="335">
        <v>49</v>
      </c>
      <c r="D61" s="335">
        <v>2894105.9400294898</v>
      </c>
      <c r="E61" s="335">
        <v>189</v>
      </c>
      <c r="F61" s="335">
        <v>5118038.4833661802</v>
      </c>
    </row>
    <row r="62" spans="1:6">
      <c r="A62" s="1205" t="s">
        <v>49</v>
      </c>
      <c r="B62" s="1205" t="s">
        <v>55</v>
      </c>
      <c r="C62" s="335">
        <v>3</v>
      </c>
      <c r="D62" s="335">
        <v>480555.47634909197</v>
      </c>
      <c r="E62" s="335">
        <v>11</v>
      </c>
      <c r="F62" s="335">
        <v>128964.211071224</v>
      </c>
    </row>
    <row r="63" spans="1:6">
      <c r="A63" s="1205" t="s">
        <v>49</v>
      </c>
      <c r="B63" s="1205" t="s">
        <v>29</v>
      </c>
      <c r="C63" s="335">
        <v>65</v>
      </c>
      <c r="D63" s="335">
        <v>14676164.6549301</v>
      </c>
      <c r="E63" s="335">
        <v>87</v>
      </c>
      <c r="F63" s="335">
        <v>1775474.0119388101</v>
      </c>
    </row>
    <row r="64" spans="1:6">
      <c r="A64" s="1205" t="s">
        <v>56</v>
      </c>
      <c r="B64" s="1205" t="s">
        <v>57</v>
      </c>
      <c r="C64" s="335">
        <v>0</v>
      </c>
      <c r="D64" s="335">
        <v>0</v>
      </c>
      <c r="E64" s="335">
        <v>0</v>
      </c>
      <c r="F64" s="335">
        <v>0</v>
      </c>
    </row>
    <row r="65" spans="1:6">
      <c r="A65" s="1205" t="s">
        <v>56</v>
      </c>
      <c r="B65" s="1205" t="s">
        <v>29</v>
      </c>
      <c r="C65" s="335">
        <v>0</v>
      </c>
      <c r="D65" s="335">
        <v>0</v>
      </c>
      <c r="E65" s="335">
        <v>3</v>
      </c>
      <c r="F65" s="335">
        <v>33788.914032863999</v>
      </c>
    </row>
    <row r="66" spans="1:6">
      <c r="A66" s="1205" t="s">
        <v>56</v>
      </c>
      <c r="B66" s="1205" t="s">
        <v>58</v>
      </c>
      <c r="C66" s="335">
        <v>0</v>
      </c>
      <c r="D66" s="335">
        <v>0</v>
      </c>
      <c r="E66" s="335">
        <v>0</v>
      </c>
      <c r="F66" s="335">
        <v>0</v>
      </c>
    </row>
    <row r="67" spans="1:6">
      <c r="A67" s="1206" t="s">
        <v>56</v>
      </c>
      <c r="B67" s="1206" t="s">
        <v>59</v>
      </c>
      <c r="C67" s="335">
        <v>0</v>
      </c>
      <c r="D67" s="335">
        <v>0</v>
      </c>
      <c r="E67" s="335">
        <v>0</v>
      </c>
      <c r="F67" s="335">
        <v>0</v>
      </c>
    </row>
    <row r="68" spans="1:6">
      <c r="A68" s="1201" t="s">
        <v>56</v>
      </c>
      <c r="B68" s="1201" t="s">
        <v>60</v>
      </c>
      <c r="C68" s="335">
        <v>0</v>
      </c>
      <c r="D68" s="335">
        <v>0</v>
      </c>
      <c r="E68" s="335">
        <v>5</v>
      </c>
      <c r="F68" s="335">
        <v>144720.31228851699</v>
      </c>
    </row>
    <row r="69" spans="1:6" ht="15.75" thickBot="1">
      <c r="A69" s="339"/>
    </row>
    <row r="70" spans="1:6" ht="19.5">
      <c r="A70" s="1198" t="s">
        <v>61</v>
      </c>
      <c r="B70" s="336"/>
      <c r="C70" s="336" t="s">
        <v>414</v>
      </c>
      <c r="D70" s="336" t="s">
        <v>828</v>
      </c>
      <c r="E70" s="336"/>
      <c r="F70" s="340"/>
    </row>
    <row r="71" spans="1:6" ht="20.25" thickBot="1">
      <c r="A71" s="1213"/>
      <c r="B71" s="342"/>
      <c r="C71" s="342"/>
      <c r="D71" s="343" t="s">
        <v>456</v>
      </c>
      <c r="E71" s="342"/>
      <c r="F71" s="344"/>
    </row>
    <row r="72" spans="1:6" ht="16.5" thickTop="1" thickBot="1">
      <c r="A72" s="1202" t="s">
        <v>62</v>
      </c>
      <c r="B72" s="1203" t="s">
        <v>63</v>
      </c>
      <c r="C72" s="1214" t="s">
        <v>764</v>
      </c>
      <c r="D72" s="1215">
        <v>2012</v>
      </c>
      <c r="E72" s="1215">
        <v>2020</v>
      </c>
      <c r="F72" s="1204"/>
    </row>
    <row r="73" spans="1:6">
      <c r="A73" s="1205" t="s">
        <v>64</v>
      </c>
      <c r="B73" s="1205" t="s">
        <v>771</v>
      </c>
      <c r="C73" s="1216" t="s">
        <v>765</v>
      </c>
      <c r="D73" s="335">
        <v>24170952</v>
      </c>
      <c r="E73" s="335">
        <v>27168693.147626031</v>
      </c>
    </row>
    <row r="74" spans="1:6">
      <c r="A74" s="1205" t="s">
        <v>64</v>
      </c>
      <c r="B74" s="1205" t="s">
        <v>772</v>
      </c>
      <c r="C74" s="1216" t="s">
        <v>766</v>
      </c>
      <c r="D74" s="335">
        <v>2301328.4206837472</v>
      </c>
      <c r="E74" s="335">
        <v>2470917.8494675634</v>
      </c>
    </row>
    <row r="75" spans="1:6">
      <c r="A75" s="1205" t="s">
        <v>65</v>
      </c>
      <c r="B75" s="1205" t="s">
        <v>771</v>
      </c>
      <c r="C75" s="1216" t="s">
        <v>767</v>
      </c>
      <c r="D75" s="335">
        <v>36910174</v>
      </c>
      <c r="E75" s="335">
        <v>37459307.701985493</v>
      </c>
    </row>
    <row r="76" spans="1:6">
      <c r="A76" s="1205" t="s">
        <v>65</v>
      </c>
      <c r="B76" s="1205" t="s">
        <v>772</v>
      </c>
      <c r="C76" s="1216" t="s">
        <v>768</v>
      </c>
      <c r="D76" s="335">
        <v>2726563.4206837472</v>
      </c>
      <c r="E76" s="335">
        <v>2723193.6926225428</v>
      </c>
    </row>
    <row r="77" spans="1:6">
      <c r="A77" s="1205" t="s">
        <v>66</v>
      </c>
      <c r="B77" s="1205" t="s">
        <v>771</v>
      </c>
      <c r="C77" s="1216" t="s">
        <v>769</v>
      </c>
      <c r="D77" s="335">
        <v>181648729</v>
      </c>
      <c r="E77" s="335">
        <v>193064775.34342694</v>
      </c>
    </row>
    <row r="78" spans="1:6">
      <c r="A78" s="1201" t="s">
        <v>66</v>
      </c>
      <c r="B78" s="1201" t="s">
        <v>772</v>
      </c>
      <c r="C78" s="1201" t="s">
        <v>770</v>
      </c>
      <c r="D78" s="1201">
        <v>30072105</v>
      </c>
      <c r="E78" s="1201">
        <v>32578738.177524697</v>
      </c>
      <c r="F78" s="338"/>
    </row>
    <row r="79" spans="1:6">
      <c r="A79" s="1217"/>
      <c r="B79" s="1217"/>
    </row>
    <row r="80" spans="1:6" ht="15.75" thickBot="1">
      <c r="A80" s="1217"/>
      <c r="B80" s="1217"/>
    </row>
    <row r="81" spans="1:6" ht="20.25" thickBot="1">
      <c r="A81" s="1198" t="s">
        <v>334</v>
      </c>
      <c r="B81" s="1218" t="s">
        <v>396</v>
      </c>
      <c r="C81" s="336" t="s">
        <v>829</v>
      </c>
      <c r="D81" s="336"/>
      <c r="E81" s="336"/>
      <c r="F81" s="340"/>
    </row>
    <row r="82" spans="1:6" ht="16.5" thickTop="1" thickBot="1">
      <c r="A82" s="1202" t="s">
        <v>335</v>
      </c>
      <c r="B82" s="1215">
        <v>2012</v>
      </c>
      <c r="C82" s="1215">
        <v>2020</v>
      </c>
      <c r="D82" s="1203"/>
      <c r="E82" s="1203"/>
      <c r="F82" s="1204"/>
    </row>
    <row r="83" spans="1:6">
      <c r="A83" s="1205" t="s">
        <v>336</v>
      </c>
      <c r="B83" s="335">
        <v>98859.158632506049</v>
      </c>
      <c r="C83" s="335">
        <v>94951.672125617464</v>
      </c>
    </row>
    <row r="84" spans="1:6">
      <c r="A84" s="1201" t="s">
        <v>337</v>
      </c>
      <c r="B84" s="338">
        <v>0</v>
      </c>
      <c r="C84" s="338">
        <v>0</v>
      </c>
      <c r="D84" s="338"/>
      <c r="E84" s="338"/>
      <c r="F84" s="338"/>
    </row>
    <row r="85" spans="1:6">
      <c r="A85" s="1217"/>
      <c r="B85" s="1219"/>
    </row>
    <row r="86" spans="1:6" ht="15.75" thickBot="1">
      <c r="A86" s="339"/>
    </row>
    <row r="87" spans="1:6" ht="20.25" thickBot="1">
      <c r="A87" s="1198" t="s">
        <v>67</v>
      </c>
      <c r="B87" s="336" t="s">
        <v>396</v>
      </c>
      <c r="C87" s="336" t="s">
        <v>875</v>
      </c>
      <c r="D87" s="336"/>
      <c r="E87" s="336"/>
      <c r="F87" s="340"/>
    </row>
    <row r="88" spans="1:6" ht="16.5" thickTop="1" thickBot="1">
      <c r="A88" s="1202" t="s">
        <v>4</v>
      </c>
      <c r="B88" s="1203" t="s">
        <v>170</v>
      </c>
      <c r="C88" s="1203"/>
      <c r="D88" s="1203"/>
      <c r="E88" s="1203"/>
      <c r="F88" s="1204"/>
    </row>
    <row r="89" spans="1:6">
      <c r="A89" s="1205" t="s">
        <v>566</v>
      </c>
      <c r="B89" s="335">
        <v>0</v>
      </c>
    </row>
    <row r="90" spans="1:6">
      <c r="A90" s="1205" t="s">
        <v>567</v>
      </c>
      <c r="B90" s="1220">
        <v>0</v>
      </c>
    </row>
    <row r="91" spans="1:6">
      <c r="A91" s="1205" t="s">
        <v>68</v>
      </c>
      <c r="B91" s="335">
        <v>2159.6859186147544</v>
      </c>
    </row>
    <row r="92" spans="1:6">
      <c r="A92" s="1201" t="s">
        <v>69</v>
      </c>
      <c r="B92" s="338">
        <v>678.38327978142866</v>
      </c>
      <c r="C92" s="338"/>
      <c r="D92" s="338"/>
      <c r="E92" s="338"/>
      <c r="F92" s="338"/>
    </row>
    <row r="93" spans="1:6">
      <c r="A93" s="339"/>
    </row>
    <row r="94" spans="1:6" ht="15.75" thickBot="1">
      <c r="A94" s="339"/>
    </row>
    <row r="95" spans="1:6" ht="20.25" thickBot="1">
      <c r="A95" s="1198" t="s">
        <v>70</v>
      </c>
      <c r="B95" s="336" t="s">
        <v>396</v>
      </c>
      <c r="C95" s="336" t="s">
        <v>419</v>
      </c>
      <c r="D95" s="336"/>
      <c r="E95" s="336"/>
      <c r="F95" s="340"/>
    </row>
    <row r="96" spans="1:6" ht="16.5" thickTop="1" thickBot="1">
      <c r="A96" s="1202" t="s">
        <v>4</v>
      </c>
      <c r="B96" s="1203" t="s">
        <v>5</v>
      </c>
      <c r="C96" s="1203"/>
      <c r="D96" s="1203"/>
      <c r="E96" s="1203"/>
      <c r="F96" s="1204"/>
    </row>
    <row r="97" spans="1:6">
      <c r="A97" s="1205" t="s">
        <v>71</v>
      </c>
      <c r="B97" s="335">
        <v>418</v>
      </c>
    </row>
    <row r="98" spans="1:6">
      <c r="A98" s="1205" t="s">
        <v>72</v>
      </c>
      <c r="B98" s="335">
        <v>0</v>
      </c>
    </row>
    <row r="99" spans="1:6">
      <c r="A99" s="1205" t="s">
        <v>73</v>
      </c>
      <c r="B99" s="335">
        <v>183</v>
      </c>
    </row>
    <row r="100" spans="1:6">
      <c r="A100" s="1205" t="s">
        <v>74</v>
      </c>
      <c r="B100" s="335">
        <v>540</v>
      </c>
    </row>
    <row r="101" spans="1:6">
      <c r="A101" s="1205" t="s">
        <v>75</v>
      </c>
      <c r="B101" s="335">
        <v>124</v>
      </c>
    </row>
    <row r="102" spans="1:6">
      <c r="A102" s="1205" t="s">
        <v>76</v>
      </c>
      <c r="B102" s="335">
        <v>87</v>
      </c>
    </row>
    <row r="103" spans="1:6">
      <c r="A103" s="1205" t="s">
        <v>77</v>
      </c>
      <c r="B103" s="335">
        <v>228</v>
      </c>
    </row>
    <row r="104" spans="1:6">
      <c r="A104" s="1205" t="s">
        <v>78</v>
      </c>
      <c r="B104" s="335">
        <v>2518</v>
      </c>
    </row>
    <row r="105" spans="1:6">
      <c r="A105" s="1201" t="s">
        <v>79</v>
      </c>
      <c r="B105" s="1201">
        <v>1</v>
      </c>
      <c r="C105" s="338"/>
      <c r="D105" s="338"/>
      <c r="E105" s="338"/>
      <c r="F105" s="338"/>
    </row>
    <row r="106" spans="1:6">
      <c r="A106" s="339"/>
    </row>
    <row r="107" spans="1:6" ht="15.75" thickBot="1">
      <c r="A107" s="339"/>
    </row>
    <row r="108" spans="1:6" ht="20.25" thickBot="1">
      <c r="A108" s="1198" t="s">
        <v>708</v>
      </c>
      <c r="B108" s="336" t="s">
        <v>396</v>
      </c>
      <c r="C108" s="336" t="s">
        <v>415</v>
      </c>
      <c r="D108" s="336"/>
      <c r="E108" s="336"/>
      <c r="F108" s="340"/>
    </row>
    <row r="109" spans="1:6" ht="16.5" thickTop="1" thickBot="1">
      <c r="A109" s="1202" t="s">
        <v>4</v>
      </c>
      <c r="B109" s="1203" t="s">
        <v>5</v>
      </c>
      <c r="C109" s="1203"/>
      <c r="D109" s="1203"/>
      <c r="E109" s="1203"/>
      <c r="F109" s="1204"/>
    </row>
    <row r="110" spans="1:6">
      <c r="A110" s="1205" t="s">
        <v>709</v>
      </c>
      <c r="B110" s="335">
        <v>1</v>
      </c>
    </row>
    <row r="111" spans="1:6">
      <c r="A111" s="1221" t="s">
        <v>710</v>
      </c>
      <c r="B111" s="1222">
        <v>0</v>
      </c>
      <c r="C111" s="1222"/>
      <c r="D111" s="1222"/>
      <c r="E111" s="1222"/>
      <c r="F111" s="1222"/>
    </row>
    <row r="112" spans="1:6">
      <c r="A112" s="1205"/>
    </row>
    <row r="113" spans="1:6" ht="15.75" thickBot="1">
      <c r="A113" s="1201"/>
      <c r="B113" s="338"/>
      <c r="C113" s="338"/>
      <c r="D113" s="338"/>
      <c r="E113" s="338"/>
      <c r="F113" s="338"/>
    </row>
    <row r="114" spans="1:6" ht="20.25" thickBot="1">
      <c r="A114" s="1198" t="s">
        <v>80</v>
      </c>
      <c r="B114" s="336" t="s">
        <v>396</v>
      </c>
      <c r="C114" s="336" t="s">
        <v>876</v>
      </c>
      <c r="D114" s="336"/>
      <c r="E114" s="336"/>
      <c r="F114" s="340"/>
    </row>
    <row r="115" spans="1:6" ht="16.5" thickTop="1" thickBot="1">
      <c r="A115" s="345"/>
      <c r="B115" s="346" t="s">
        <v>81</v>
      </c>
      <c r="C115" s="346" t="s">
        <v>82</v>
      </c>
      <c r="D115" s="346"/>
      <c r="E115" s="346"/>
      <c r="F115" s="347"/>
    </row>
    <row r="116" spans="1:6" ht="16.5" thickTop="1" thickBot="1">
      <c r="A116" s="1202" t="s">
        <v>4</v>
      </c>
      <c r="B116" s="1203" t="s">
        <v>5</v>
      </c>
      <c r="C116" s="1203" t="s">
        <v>5</v>
      </c>
      <c r="D116" s="1203"/>
      <c r="E116" s="1203"/>
      <c r="F116" s="1204"/>
    </row>
    <row r="117" spans="1:6">
      <c r="A117" s="1205" t="s">
        <v>83</v>
      </c>
      <c r="B117" s="335">
        <v>0</v>
      </c>
      <c r="C117" s="335">
        <v>0</v>
      </c>
    </row>
    <row r="118" spans="1:6">
      <c r="A118" s="1205" t="s">
        <v>84</v>
      </c>
      <c r="B118" s="335">
        <v>0</v>
      </c>
      <c r="C118" s="335">
        <v>0</v>
      </c>
    </row>
    <row r="119" spans="1:6">
      <c r="A119" s="1205" t="s">
        <v>32</v>
      </c>
      <c r="B119" s="335">
        <v>0</v>
      </c>
      <c r="C119" s="335">
        <v>0</v>
      </c>
    </row>
    <row r="120" spans="1:6">
      <c r="A120" s="1205" t="s">
        <v>85</v>
      </c>
      <c r="B120" s="335">
        <v>0</v>
      </c>
      <c r="C120" s="335">
        <v>0</v>
      </c>
    </row>
    <row r="121" spans="1:6">
      <c r="A121" s="1205" t="s">
        <v>86</v>
      </c>
      <c r="B121" s="335">
        <v>0</v>
      </c>
      <c r="C121" s="335">
        <v>0</v>
      </c>
    </row>
    <row r="122" spans="1:6">
      <c r="A122" s="1205" t="s">
        <v>87</v>
      </c>
      <c r="B122" s="335">
        <v>0</v>
      </c>
      <c r="C122" s="335">
        <v>0</v>
      </c>
    </row>
    <row r="123" spans="1:6">
      <c r="A123" s="1205" t="s">
        <v>88</v>
      </c>
      <c r="B123" s="335">
        <v>16</v>
      </c>
      <c r="C123" s="335">
        <v>14</v>
      </c>
    </row>
    <row r="124" spans="1:6">
      <c r="A124" s="1201" t="s">
        <v>89</v>
      </c>
      <c r="B124" s="335">
        <v>0</v>
      </c>
      <c r="C124" s="335">
        <v>0</v>
      </c>
      <c r="D124" s="338"/>
      <c r="E124" s="338"/>
      <c r="F124" s="338"/>
    </row>
    <row r="125" spans="1:6">
      <c r="A125" s="1217"/>
    </row>
    <row r="126" spans="1:6" ht="15.75" thickBot="1">
      <c r="A126" s="1217"/>
    </row>
    <row r="127" spans="1:6" ht="20.25" thickBot="1">
      <c r="A127" s="1198" t="s">
        <v>293</v>
      </c>
      <c r="B127" s="336" t="s">
        <v>396</v>
      </c>
      <c r="C127" s="336" t="s">
        <v>415</v>
      </c>
      <c r="D127" s="336"/>
      <c r="E127" s="336"/>
      <c r="F127" s="340"/>
    </row>
    <row r="128" spans="1:6" ht="16.5" thickTop="1" thickBot="1">
      <c r="A128" s="1202" t="s">
        <v>4</v>
      </c>
      <c r="B128" s="1203" t="s">
        <v>5</v>
      </c>
      <c r="C128" s="1203"/>
      <c r="D128" s="1203"/>
      <c r="E128" s="1203"/>
      <c r="F128" s="1204"/>
    </row>
    <row r="129" spans="1:6">
      <c r="A129" s="1205" t="s">
        <v>294</v>
      </c>
      <c r="B129" s="335">
        <v>62</v>
      </c>
    </row>
    <row r="130" spans="1:6">
      <c r="A130" s="1205" t="s">
        <v>295</v>
      </c>
      <c r="B130" s="335">
        <v>3</v>
      </c>
    </row>
    <row r="131" spans="1:6">
      <c r="A131" s="1205" t="s">
        <v>296</v>
      </c>
      <c r="B131" s="335">
        <v>0</v>
      </c>
    </row>
    <row r="132" spans="1:6">
      <c r="A132" s="1201" t="s">
        <v>297</v>
      </c>
      <c r="B132" s="338">
        <v>4</v>
      </c>
      <c r="C132" s="338"/>
      <c r="D132" s="338"/>
      <c r="E132" s="338"/>
      <c r="F132" s="338"/>
    </row>
    <row r="134" spans="1:6">
      <c r="A134" s="12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47638.851282196891</v>
      </c>
      <c r="C3" s="44" t="s">
        <v>170</v>
      </c>
      <c r="D3" s="44"/>
      <c r="E3" s="157"/>
      <c r="F3" s="44"/>
      <c r="G3" s="44"/>
      <c r="H3" s="44"/>
      <c r="I3" s="44"/>
      <c r="J3" s="44"/>
      <c r="K3" s="97"/>
    </row>
    <row r="4" spans="1:11">
      <c r="A4" s="365" t="s">
        <v>171</v>
      </c>
      <c r="B4" s="50">
        <f>IF(ISERROR('SEAP template'!B69),0,'SEAP template'!B69)</f>
        <v>24438.069198396184</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840</v>
      </c>
      <c r="G6" s="44" t="s">
        <v>846</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5133.176470588237</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0.21538196314449465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7333.1092436974805</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30857.142857142855</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0.23764705882352949</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00">
        <v>2012</v>
      </c>
      <c r="B1" s="1101"/>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02"/>
      <c r="B2" s="1103"/>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02"/>
      <c r="B3" s="1103"/>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04"/>
      <c r="B4" s="1105"/>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06" t="s">
        <v>485</v>
      </c>
      <c r="B2" s="1107"/>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8" sqref="B8"/>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08" t="s">
        <v>194</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1187.0809999999999</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1187.0809999999999</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0.21538196314449465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255.67583619152984</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08" t="s">
        <v>155</v>
      </c>
      <c r="B1" s="1109" t="s">
        <v>195</v>
      </c>
      <c r="C1" s="1110"/>
      <c r="D1" s="1110"/>
      <c r="E1" s="1110"/>
      <c r="F1" s="1110"/>
      <c r="G1" s="1110"/>
      <c r="H1" s="1110"/>
      <c r="I1" s="1110"/>
      <c r="J1" s="1110"/>
      <c r="K1" s="1110"/>
      <c r="L1" s="1110"/>
      <c r="M1" s="1110"/>
      <c r="N1" s="1110"/>
      <c r="O1" s="1110"/>
      <c r="P1" s="1110"/>
    </row>
    <row r="2" spans="1:16" s="335"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6" s="335"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24015.362643003555</v>
      </c>
      <c r="C5" s="18">
        <f>IF(ISERROR('Eigen informatie GS &amp; warmtenet'!B57),0,'Eigen informatie GS &amp; warmtenet'!B57)</f>
        <v>0</v>
      </c>
      <c r="D5" s="31">
        <f>(SUM(HH_hh_gas_kWh,HH_rest_gas_kWh)/1000)*0.902</f>
        <v>28477.881798989758</v>
      </c>
      <c r="E5" s="18">
        <f>B46*B57</f>
        <v>7232.1377848807879</v>
      </c>
      <c r="F5" s="18">
        <f>B51*B62</f>
        <v>24370.861143985941</v>
      </c>
      <c r="G5" s="19"/>
      <c r="H5" s="18"/>
      <c r="I5" s="18"/>
      <c r="J5" s="18">
        <f>B50*B61+C50*C61</f>
        <v>2694.9694073569617</v>
      </c>
      <c r="K5" s="18"/>
      <c r="L5" s="18"/>
      <c r="M5" s="18"/>
      <c r="N5" s="18">
        <f>B48*B59+C48*C59</f>
        <v>15914.467862645288</v>
      </c>
      <c r="O5" s="18">
        <f>B69*B70*B71</f>
        <v>118.81333333333333</v>
      </c>
      <c r="P5" s="18">
        <f>B77*B78*B79/1000-B77*B78*B79/1000/B80</f>
        <v>381.33333333333337</v>
      </c>
    </row>
    <row r="6" spans="1:16">
      <c r="A6" s="17" t="s">
        <v>639</v>
      </c>
      <c r="B6" s="831">
        <f>kWh_PV_kleiner_dan_10kW</f>
        <v>2159.6859186147544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26175.04856161831</v>
      </c>
      <c r="C8" s="22">
        <f>C5</f>
        <v>0</v>
      </c>
      <c r="D8" s="22">
        <f>D5</f>
        <v>28477.881798989758</v>
      </c>
      <c r="E8" s="22">
        <f>E5</f>
        <v>7232.1377848807879</v>
      </c>
      <c r="F8" s="22">
        <f>F5</f>
        <v>24370.861143985941</v>
      </c>
      <c r="G8" s="22"/>
      <c r="H8" s="22"/>
      <c r="I8" s="22"/>
      <c r="J8" s="22">
        <f>J5</f>
        <v>2694.9694073569617</v>
      </c>
      <c r="K8" s="22"/>
      <c r="L8" s="22">
        <f>L5</f>
        <v>0</v>
      </c>
      <c r="M8" s="22">
        <f>M5</f>
        <v>0</v>
      </c>
      <c r="N8" s="22">
        <f>N5</f>
        <v>15914.467862645288</v>
      </c>
      <c r="O8" s="22">
        <f>O5</f>
        <v>118.81333333333333</v>
      </c>
      <c r="P8" s="22">
        <f>P5</f>
        <v>381.33333333333337</v>
      </c>
    </row>
    <row r="9" spans="1:16">
      <c r="B9" s="20"/>
      <c r="C9" s="20"/>
      <c r="D9" s="262"/>
      <c r="E9" s="20"/>
      <c r="F9" s="20"/>
      <c r="G9" s="20"/>
      <c r="H9" s="20"/>
      <c r="I9" s="20"/>
      <c r="J9" s="20"/>
      <c r="K9" s="20"/>
      <c r="L9" s="20"/>
      <c r="M9" s="20"/>
      <c r="N9" s="20"/>
      <c r="O9" s="20"/>
      <c r="P9" s="20"/>
    </row>
    <row r="10" spans="1:16">
      <c r="A10" s="25" t="s">
        <v>214</v>
      </c>
      <c r="B10" s="26">
        <f ca="1">'EF ele_warmte'!B12</f>
        <v>0.21538196314449465</v>
      </c>
      <c r="C10" s="26">
        <f ca="1">'EF ele_warmte'!B22</f>
        <v>0.23764705882352949</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5637.6333446038325</v>
      </c>
      <c r="C12" s="24">
        <f ca="1">C10*C8</f>
        <v>0</v>
      </c>
      <c r="D12" s="24">
        <f>D8*D10</f>
        <v>5752.5321233959312</v>
      </c>
      <c r="E12" s="24">
        <f>E10*E8</f>
        <v>1641.6952771679389</v>
      </c>
      <c r="F12" s="24">
        <f>F10*F8</f>
        <v>6507.0199254442468</v>
      </c>
      <c r="G12" s="24"/>
      <c r="H12" s="24"/>
      <c r="I12" s="24"/>
      <c r="J12" s="24">
        <f>J10*J8</f>
        <v>954.0191702043644</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418</v>
      </c>
      <c r="C18" s="169" t="s">
        <v>111</v>
      </c>
      <c r="D18" s="231"/>
      <c r="E18" s="16"/>
    </row>
    <row r="19" spans="1:7">
      <c r="A19" s="174" t="s">
        <v>72</v>
      </c>
      <c r="B19" s="38">
        <f>aantalw2001_ander</f>
        <v>0</v>
      </c>
      <c r="C19" s="169" t="s">
        <v>111</v>
      </c>
      <c r="D19" s="232"/>
      <c r="E19" s="16"/>
    </row>
    <row r="20" spans="1:7">
      <c r="A20" s="174" t="s">
        <v>73</v>
      </c>
      <c r="B20" s="38">
        <f>aantalw2001_propaan</f>
        <v>183</v>
      </c>
      <c r="C20" s="170">
        <f>IF(ISERROR(B20/SUM($B$20,$B$21,$B$22)*100),0,B20/SUM($B$20,$B$21,$B$22)*100)</f>
        <v>21.605667060212514</v>
      </c>
      <c r="D20" s="232"/>
      <c r="E20" s="16"/>
    </row>
    <row r="21" spans="1:7">
      <c r="A21" s="174" t="s">
        <v>74</v>
      </c>
      <c r="B21" s="38">
        <f>aantalw2001_elektriciteit</f>
        <v>540</v>
      </c>
      <c r="C21" s="170">
        <f>IF(ISERROR(B21/SUM($B$20,$B$21,$B$22)*100),0,B21/SUM($B$20,$B$21,$B$22)*100)</f>
        <v>63.754427390791022</v>
      </c>
      <c r="D21" s="232"/>
      <c r="E21" s="16"/>
    </row>
    <row r="22" spans="1:7">
      <c r="A22" s="174" t="s">
        <v>75</v>
      </c>
      <c r="B22" s="38">
        <f>aantalw2001_hout</f>
        <v>124</v>
      </c>
      <c r="C22" s="170">
        <f>IF(ISERROR(B22/SUM($B$20,$B$21,$B$22)*100),0,B22/SUM($B$20,$B$21,$B$22)*100)</f>
        <v>14.639905548996456</v>
      </c>
      <c r="D22" s="232"/>
      <c r="E22" s="16"/>
    </row>
    <row r="23" spans="1:7">
      <c r="A23" s="174" t="s">
        <v>76</v>
      </c>
      <c r="B23" s="38">
        <f>aantalw2001_niet_gespec</f>
        <v>87</v>
      </c>
      <c r="C23" s="169" t="s">
        <v>111</v>
      </c>
      <c r="D23" s="231"/>
      <c r="E23" s="16"/>
    </row>
    <row r="24" spans="1:7">
      <c r="A24" s="174" t="s">
        <v>77</v>
      </c>
      <c r="B24" s="38">
        <f>aantalw2001_steenkool</f>
        <v>228</v>
      </c>
      <c r="C24" s="169" t="s">
        <v>111</v>
      </c>
      <c r="D24" s="232"/>
      <c r="E24" s="16"/>
    </row>
    <row r="25" spans="1:7">
      <c r="A25" s="174" t="s">
        <v>78</v>
      </c>
      <c r="B25" s="38">
        <f>aantalw2001_stookolie</f>
        <v>2518</v>
      </c>
      <c r="C25" s="169" t="s">
        <v>111</v>
      </c>
      <c r="D25" s="231"/>
      <c r="E25" s="53"/>
    </row>
    <row r="26" spans="1:7">
      <c r="A26" s="174" t="s">
        <v>79</v>
      </c>
      <c r="B26" s="38">
        <f>aantalw2001_WP</f>
        <v>1</v>
      </c>
      <c r="C26" s="169" t="s">
        <v>111</v>
      </c>
      <c r="D26" s="231"/>
      <c r="E26" s="16"/>
    </row>
    <row r="27" spans="1:7" s="16" customFormat="1">
      <c r="A27" s="174"/>
      <c r="B27" s="30"/>
      <c r="C27" s="37"/>
      <c r="D27" s="231"/>
    </row>
    <row r="28" spans="1:7" s="16" customFormat="1">
      <c r="A28" s="233" t="s">
        <v>665</v>
      </c>
      <c r="B28" s="38">
        <f>aantalHuishoudens2011</f>
        <v>4703</v>
      </c>
      <c r="C28" s="37"/>
      <c r="D28" s="231"/>
    </row>
    <row r="29" spans="1:7" s="16" customFormat="1">
      <c r="A29" s="233" t="s">
        <v>666</v>
      </c>
      <c r="B29" s="38">
        <f>SUM(HH_hh_gas_aantal,HH_rest_gas_aantal)</f>
        <v>1844</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1844</v>
      </c>
      <c r="C32" s="170">
        <f>IF(ISERROR(B32/SUM($B$32,$B$34,$B$35,$B$36,$B$38,$B$39)*100),0,B32/SUM($B$32,$B$34,$B$35,$B$36,$B$38,$B$39)*100)</f>
        <v>39.376468076019641</v>
      </c>
      <c r="D32" s="236"/>
      <c r="G32" s="16"/>
    </row>
    <row r="33" spans="1:7">
      <c r="A33" s="174" t="s">
        <v>72</v>
      </c>
      <c r="B33" s="35" t="s">
        <v>111</v>
      </c>
      <c r="C33" s="170"/>
      <c r="D33" s="236"/>
      <c r="G33" s="16"/>
    </row>
    <row r="34" spans="1:7">
      <c r="A34" s="174" t="s">
        <v>73</v>
      </c>
      <c r="B34" s="34">
        <f>IF((($B$28-$B$32-$B$39-$B$77-$B$38)*C20/100)&lt;0,0,($B$28-$B$32-$B$39-$B$77-$B$38)*C20/100)</f>
        <v>328.19008264462815</v>
      </c>
      <c r="C34" s="170">
        <f>IF(ISERROR(B34/SUM($B$32,$B$34,$B$35,$B$36,$B$38,$B$39)*100),0,B34/SUM($B$32,$B$34,$B$35,$B$36,$B$38,$B$39)*100)</f>
        <v>7.0081162213245385</v>
      </c>
      <c r="D34" s="236"/>
      <c r="G34" s="16"/>
    </row>
    <row r="35" spans="1:7">
      <c r="A35" s="174" t="s">
        <v>74</v>
      </c>
      <c r="B35" s="34">
        <f>IF((($B$28-$B$32-$B$39-$B$77-$B$38)*C21/100)&lt;0,0,($B$28-$B$32-$B$39-$B$77-$B$38)*C21/100)</f>
        <v>968.42975206611561</v>
      </c>
      <c r="C35" s="170">
        <f>IF(ISERROR(B35/SUM($B$32,$B$34,$B$35,$B$36,$B$38,$B$39)*100),0,B35/SUM($B$32,$B$34,$B$35,$B$36,$B$38,$B$39)*100)</f>
        <v>20.679687210465847</v>
      </c>
      <c r="D35" s="236"/>
      <c r="G35" s="16"/>
    </row>
    <row r="36" spans="1:7">
      <c r="A36" s="174" t="s">
        <v>75</v>
      </c>
      <c r="B36" s="34">
        <f>IF((($B$28-$B$32-$B$39-$B$77-$B$38)*C22/100)&lt;0,0,($B$28-$B$32-$B$39-$B$77-$B$38)*C22/100)</f>
        <v>222.38016528925618</v>
      </c>
      <c r="C36" s="170">
        <f>IF(ISERROR(B36/SUM($B$32,$B$34,$B$35,$B$36,$B$38,$B$39)*100),0,B36/SUM($B$32,$B$34,$B$35,$B$36,$B$38,$B$39)*100)</f>
        <v>4.7486689149958616</v>
      </c>
      <c r="D36" s="236"/>
      <c r="G36" s="16"/>
    </row>
    <row r="37" spans="1:7">
      <c r="A37" s="174" t="s">
        <v>76</v>
      </c>
      <c r="B37" s="35" t="s">
        <v>111</v>
      </c>
      <c r="C37" s="170"/>
      <c r="D37" s="176"/>
      <c r="G37" s="16"/>
    </row>
    <row r="38" spans="1:7">
      <c r="A38" s="174" t="s">
        <v>77</v>
      </c>
      <c r="B38" s="34">
        <f>IF((B24-(B29-B18)*0.1)&lt;0,0,B24-(B29-B18)*0.1)</f>
        <v>85.4</v>
      </c>
      <c r="C38" s="170">
        <f>IF(ISERROR(B38/SUM($B$32,$B$34,$B$35,$B$36,$B$38,$B$39)*100),0,B38/SUM($B$32,$B$34,$B$35,$B$36,$B$38,$B$39)*100)</f>
        <v>1.8236173393124067</v>
      </c>
      <c r="D38" s="237"/>
      <c r="G38" s="16"/>
    </row>
    <row r="39" spans="1:7">
      <c r="A39" s="174" t="s">
        <v>78</v>
      </c>
      <c r="B39" s="34">
        <f>IF((B25-(B29-B18))&lt;0,0,B25-(B29-B18)*0.9)</f>
        <v>1234.5999999999999</v>
      </c>
      <c r="C39" s="170">
        <f>IF(ISERROR(B39/SUM($B$32,$B$34,$B$35,$B$36,$B$38,$B$39)*100),0,B39/SUM($B$32,$B$34,$B$35,$B$36,$B$38,$B$39)*100)</f>
        <v>26.363442237881696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1844</v>
      </c>
      <c r="C44" s="35" t="s">
        <v>111</v>
      </c>
      <c r="D44" s="177"/>
    </row>
    <row r="45" spans="1:7">
      <c r="A45" s="174" t="s">
        <v>72</v>
      </c>
      <c r="B45" s="34" t="str">
        <f t="shared" si="0"/>
        <v>-</v>
      </c>
      <c r="C45" s="35" t="s">
        <v>111</v>
      </c>
      <c r="D45" s="177"/>
    </row>
    <row r="46" spans="1:7">
      <c r="A46" s="174" t="s">
        <v>73</v>
      </c>
      <c r="B46" s="34">
        <f t="shared" si="0"/>
        <v>328.19008264462815</v>
      </c>
      <c r="C46" s="35" t="s">
        <v>111</v>
      </c>
      <c r="D46" s="177"/>
    </row>
    <row r="47" spans="1:7">
      <c r="A47" s="174" t="s">
        <v>74</v>
      </c>
      <c r="B47" s="34">
        <f t="shared" si="0"/>
        <v>968.42975206611561</v>
      </c>
      <c r="C47" s="35" t="s">
        <v>111</v>
      </c>
      <c r="D47" s="177"/>
    </row>
    <row r="48" spans="1:7">
      <c r="A48" s="174" t="s">
        <v>75</v>
      </c>
      <c r="B48" s="34">
        <f t="shared" si="0"/>
        <v>222.38016528925618</v>
      </c>
      <c r="C48" s="34">
        <f>B48*10</f>
        <v>2223.8016528925618</v>
      </c>
      <c r="D48" s="237"/>
    </row>
    <row r="49" spans="1:6">
      <c r="A49" s="174" t="s">
        <v>76</v>
      </c>
      <c r="B49" s="34" t="str">
        <f t="shared" si="0"/>
        <v>-</v>
      </c>
      <c r="C49" s="35" t="s">
        <v>111</v>
      </c>
      <c r="D49" s="237"/>
    </row>
    <row r="50" spans="1:6">
      <c r="A50" s="174" t="s">
        <v>77</v>
      </c>
      <c r="B50" s="34">
        <f t="shared" si="0"/>
        <v>85.4</v>
      </c>
      <c r="C50" s="34">
        <f>B50*2</f>
        <v>170.8</v>
      </c>
      <c r="D50" s="237"/>
    </row>
    <row r="51" spans="1:6">
      <c r="A51" s="174" t="s">
        <v>78</v>
      </c>
      <c r="B51" s="34">
        <f t="shared" si="0"/>
        <v>1234.5999999999999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76</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20</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156</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12356.780720390159</v>
      </c>
      <c r="C5" s="18">
        <f>IF(ISERROR('Eigen informatie GS &amp; warmtenet'!B58),0,'Eigen informatie GS &amp; warmtenet'!B58)</f>
        <v>0</v>
      </c>
      <c r="D5" s="31">
        <f>SUM(D6:D12)</f>
        <v>18604.83481867415</v>
      </c>
      <c r="E5" s="18">
        <f>SUM(E6:E12)</f>
        <v>86.837898037481068</v>
      </c>
      <c r="F5" s="18">
        <f>SUM(F6:F12)</f>
        <v>2283.6884486453691</v>
      </c>
      <c r="G5" s="19"/>
      <c r="H5" s="18"/>
      <c r="I5" s="18"/>
      <c r="J5" s="18">
        <f>SUM(J6:J12)</f>
        <v>0</v>
      </c>
      <c r="K5" s="18"/>
      <c r="L5" s="18"/>
      <c r="M5" s="18"/>
      <c r="N5" s="18">
        <f>SUM(N6:N12)</f>
        <v>848.2725987635572</v>
      </c>
      <c r="O5" s="18">
        <f>B38*B39*B40</f>
        <v>4.6900000000000004</v>
      </c>
      <c r="P5" s="18">
        <f>B46*B47*B48/1000-B46*B47*B48/1000/B49</f>
        <v>0</v>
      </c>
      <c r="R5" s="33"/>
    </row>
    <row r="6" spans="1:18">
      <c r="A6" s="33" t="s">
        <v>54</v>
      </c>
      <c r="B6" s="38">
        <f>B26</f>
        <v>5118.0384833661801</v>
      </c>
      <c r="C6" s="34"/>
      <c r="D6" s="38">
        <f>IF(ISERROR(TER_kantoor_gas_kWh/1000),0,TER_kantoor_gas_kWh/1000)*0.902</f>
        <v>2610.4835579065998</v>
      </c>
      <c r="E6" s="34">
        <f>$C$26*'E Balans VL '!I12/100/3.6*1000000</f>
        <v>8.3997384539986246</v>
      </c>
      <c r="F6" s="34">
        <f>$C$26*('E Balans VL '!L12+'E Balans VL '!N12)/100/3.6*1000000</f>
        <v>603.29631628276127</v>
      </c>
      <c r="G6" s="35"/>
      <c r="H6" s="34"/>
      <c r="I6" s="34"/>
      <c r="J6" s="34">
        <f>$C$26*('E Balans VL '!D12+'E Balans VL '!E12)/100/3.6*1000000</f>
        <v>0</v>
      </c>
      <c r="K6" s="34"/>
      <c r="L6" s="34"/>
      <c r="M6" s="34"/>
      <c r="N6" s="34">
        <f>$C$26*'E Balans VL '!Y12/100/3.6*1000000</f>
        <v>1.0340754396677883</v>
      </c>
      <c r="O6" s="34"/>
      <c r="P6" s="34"/>
      <c r="R6" s="33"/>
    </row>
    <row r="7" spans="1:18">
      <c r="A7" s="33" t="s">
        <v>53</v>
      </c>
      <c r="B7" s="38">
        <f t="shared" ref="B7:B12" si="0">B27</f>
        <v>704.73806328206297</v>
      </c>
      <c r="C7" s="34"/>
      <c r="D7" s="38">
        <f>IF(ISERROR(TER_horeca_gas_kWh/1000),0,TER_horeca_gas_kWh/1000)*0.902</f>
        <v>655.57624386344344</v>
      </c>
      <c r="E7" s="34">
        <f>$C$27*'E Balans VL '!I9/100/3.6*1000000</f>
        <v>36.570805890585909</v>
      </c>
      <c r="F7" s="34">
        <f>$C$27*('E Balans VL '!L9+'E Balans VL '!N9)/100/3.6*1000000</f>
        <v>160.82173740143989</v>
      </c>
      <c r="G7" s="35"/>
      <c r="H7" s="34"/>
      <c r="I7" s="34"/>
      <c r="J7" s="34">
        <f>$C$27*('E Balans VL '!D9+'E Balans VL '!E9)/100/3.6*1000000</f>
        <v>0</v>
      </c>
      <c r="K7" s="34"/>
      <c r="L7" s="34"/>
      <c r="M7" s="34"/>
      <c r="N7" s="34">
        <f>$C$27*'E Balans VL '!Y9/100/3.6*1000000</f>
        <v>7.4420016522278448E-2</v>
      </c>
      <c r="O7" s="34"/>
      <c r="P7" s="34"/>
      <c r="R7" s="33"/>
    </row>
    <row r="8" spans="1:18">
      <c r="A8" s="6" t="s">
        <v>52</v>
      </c>
      <c r="B8" s="38">
        <f t="shared" si="0"/>
        <v>2956.5697183070001</v>
      </c>
      <c r="C8" s="34"/>
      <c r="D8" s="38">
        <f>IF(ISERROR(TER_handel_gas_kWh/1000),0,TER_handel_gas_kWh/1000)*0.902</f>
        <v>751.21290302747468</v>
      </c>
      <c r="E8" s="34">
        <f>$C$28*'E Balans VL '!I13/100/3.6*1000000</f>
        <v>15.921491247213222</v>
      </c>
      <c r="F8" s="34">
        <f>$C$28*('E Balans VL '!L13+'E Balans VL '!N13)/100/3.6*1000000</f>
        <v>602.93242690143904</v>
      </c>
      <c r="G8" s="35"/>
      <c r="H8" s="34"/>
      <c r="I8" s="34"/>
      <c r="J8" s="34">
        <f>$C$28*('E Balans VL '!D13+'E Balans VL '!E13)/100/3.6*1000000</f>
        <v>0</v>
      </c>
      <c r="K8" s="34"/>
      <c r="L8" s="34"/>
      <c r="M8" s="34"/>
      <c r="N8" s="34">
        <f>$C$28*'E Balans VL '!Y13/100/3.6*1000000</f>
        <v>14.701459889405189</v>
      </c>
      <c r="O8" s="34"/>
      <c r="P8" s="34"/>
      <c r="R8" s="33"/>
    </row>
    <row r="9" spans="1:18">
      <c r="A9" s="33" t="s">
        <v>51</v>
      </c>
      <c r="B9" s="38">
        <f t="shared" si="0"/>
        <v>439.65403026333996</v>
      </c>
      <c r="C9" s="34"/>
      <c r="D9" s="38">
        <f>IF(ISERROR(TER_gezond_gas_kWh/1000),0,TER_gezond_gas_kWh/1000)*0.902</f>
        <v>595.47221513205227</v>
      </c>
      <c r="E9" s="34">
        <f>$C$29*'E Balans VL '!I10/100/3.6*1000000</f>
        <v>0.43570214371591015</v>
      </c>
      <c r="F9" s="34">
        <f>$C$29*('E Balans VL '!L10+'E Balans VL '!N10)/100/3.6*1000000</f>
        <v>152.54727596013055</v>
      </c>
      <c r="G9" s="35"/>
      <c r="H9" s="34"/>
      <c r="I9" s="34"/>
      <c r="J9" s="34">
        <f>$C$29*('E Balans VL '!D10+'E Balans VL '!E10)/100/3.6*1000000</f>
        <v>0</v>
      </c>
      <c r="K9" s="34"/>
      <c r="L9" s="34"/>
      <c r="M9" s="34"/>
      <c r="N9" s="34">
        <f>$C$29*'E Balans VL '!Y10/100/3.6*1000000</f>
        <v>3.7884606917331598</v>
      </c>
      <c r="O9" s="34"/>
      <c r="P9" s="34"/>
      <c r="R9" s="33"/>
    </row>
    <row r="10" spans="1:18">
      <c r="A10" s="33" t="s">
        <v>50</v>
      </c>
      <c r="B10" s="38">
        <f t="shared" si="0"/>
        <v>1233.3422021615399</v>
      </c>
      <c r="C10" s="34"/>
      <c r="D10" s="38">
        <f>IF(ISERROR(TER_ander_gas_kWh/1000),0,TER_ander_gas_kWh/1000)*0.902</f>
        <v>320.72834033074673</v>
      </c>
      <c r="E10" s="34">
        <f>$C$30*'E Balans VL '!I14/100/3.6*1000000</f>
        <v>10.089971851426663</v>
      </c>
      <c r="F10" s="34">
        <f>$C$30*('E Balans VL '!L14+'E Balans VL '!N14)/100/3.6*1000000</f>
        <v>360.57904847140219</v>
      </c>
      <c r="G10" s="35"/>
      <c r="H10" s="34"/>
      <c r="I10" s="34"/>
      <c r="J10" s="34">
        <f>$C$30*('E Balans VL '!D14+'E Balans VL '!E14)/100/3.6*1000000</f>
        <v>0</v>
      </c>
      <c r="K10" s="34"/>
      <c r="L10" s="34"/>
      <c r="M10" s="34"/>
      <c r="N10" s="34">
        <f>$C$30*'E Balans VL '!Y14/100/3.6*1000000</f>
        <v>711.4766224767061</v>
      </c>
      <c r="O10" s="34"/>
      <c r="P10" s="34"/>
      <c r="R10" s="33"/>
    </row>
    <row r="11" spans="1:18">
      <c r="A11" s="33" t="s">
        <v>55</v>
      </c>
      <c r="B11" s="38">
        <f t="shared" si="0"/>
        <v>128.96421107122399</v>
      </c>
      <c r="C11" s="34"/>
      <c r="D11" s="38">
        <f>IF(ISERROR(TER_onderwijs_gas_kWh/1000),0,TER_onderwijs_gas_kWh/1000)*0.902</f>
        <v>433.46103966688099</v>
      </c>
      <c r="E11" s="34">
        <f>$C$31*'E Balans VL '!I11/100/3.6*1000000</f>
        <v>7.9488098163991369E-2</v>
      </c>
      <c r="F11" s="34">
        <f>$C$31*('E Balans VL '!L11+'E Balans VL '!N11)/100/3.6*1000000</f>
        <v>49.859652532886933</v>
      </c>
      <c r="G11" s="35"/>
      <c r="H11" s="34"/>
      <c r="I11" s="34"/>
      <c r="J11" s="34">
        <f>$C$31*('E Balans VL '!D11+'E Balans VL '!E11)/100/3.6*1000000</f>
        <v>0</v>
      </c>
      <c r="K11" s="34"/>
      <c r="L11" s="34"/>
      <c r="M11" s="34"/>
      <c r="N11" s="34">
        <f>$C$31*'E Balans VL '!Y11/100/3.6*1000000</f>
        <v>0.41949294217433691</v>
      </c>
      <c r="O11" s="34"/>
      <c r="P11" s="34"/>
      <c r="R11" s="33"/>
    </row>
    <row r="12" spans="1:18">
      <c r="A12" s="33" t="s">
        <v>260</v>
      </c>
      <c r="B12" s="38">
        <f t="shared" si="0"/>
        <v>1775.47401193881</v>
      </c>
      <c r="C12" s="34"/>
      <c r="D12" s="38">
        <f>IF(ISERROR(TER_rest_gas_kWh/1000),0,TER_rest_gas_kWh/1000)*0.902</f>
        <v>13237.90051874695</v>
      </c>
      <c r="E12" s="34">
        <f>$C$32*'E Balans VL '!I8/100/3.6*1000000</f>
        <v>15.340700352376759</v>
      </c>
      <c r="F12" s="34">
        <f>$C$32*('E Balans VL '!L8+'E Balans VL '!N8)/100/3.6*1000000</f>
        <v>353.65199109530892</v>
      </c>
      <c r="G12" s="35"/>
      <c r="H12" s="34"/>
      <c r="I12" s="34"/>
      <c r="J12" s="34">
        <f>$C$32*('E Balans VL '!D8+'E Balans VL '!E8)/100/3.6*1000000</f>
        <v>0</v>
      </c>
      <c r="K12" s="34"/>
      <c r="L12" s="34"/>
      <c r="M12" s="34"/>
      <c r="N12" s="34">
        <f>$C$32*'E Balans VL '!Y8/100/3.6*1000000</f>
        <v>116.77806730734841</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12356.780720390159</v>
      </c>
      <c r="C16" s="22">
        <f t="shared" ca="1" si="1"/>
        <v>0</v>
      </c>
      <c r="D16" s="22">
        <f t="shared" ca="1" si="1"/>
        <v>18604.83481867415</v>
      </c>
      <c r="E16" s="22">
        <f t="shared" si="1"/>
        <v>86.837898037481068</v>
      </c>
      <c r="F16" s="22">
        <f t="shared" ca="1" si="1"/>
        <v>2283.6884486453691</v>
      </c>
      <c r="G16" s="22">
        <f t="shared" si="1"/>
        <v>0</v>
      </c>
      <c r="H16" s="22">
        <f t="shared" si="1"/>
        <v>0</v>
      </c>
      <c r="I16" s="22">
        <f t="shared" si="1"/>
        <v>0</v>
      </c>
      <c r="J16" s="22">
        <f t="shared" si="1"/>
        <v>0</v>
      </c>
      <c r="K16" s="22">
        <f t="shared" si="1"/>
        <v>0</v>
      </c>
      <c r="L16" s="22">
        <f t="shared" ca="1" si="1"/>
        <v>0</v>
      </c>
      <c r="M16" s="22">
        <f t="shared" si="1"/>
        <v>0</v>
      </c>
      <c r="N16" s="22">
        <f t="shared" ca="1" si="1"/>
        <v>848.2725987635572</v>
      </c>
      <c r="O16" s="22">
        <f>O5</f>
        <v>4.6900000000000004</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0.21538196314449465</v>
      </c>
      <c r="C18" s="26">
        <f ca="1">'EF ele_warmte'!B22</f>
        <v>0.23764705882352949</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2661.4276897036752</v>
      </c>
      <c r="C20" s="24">
        <f t="shared" ref="C20:P20" ca="1" si="2">C16*C18</f>
        <v>0</v>
      </c>
      <c r="D20" s="24">
        <f t="shared" ca="1" si="2"/>
        <v>3758.1766333721785</v>
      </c>
      <c r="E20" s="24">
        <f t="shared" si="2"/>
        <v>19.712202854508202</v>
      </c>
      <c r="F20" s="24">
        <f t="shared" ca="1" si="2"/>
        <v>609.74481578831364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5118.0384833661801</v>
      </c>
      <c r="C26" s="40">
        <f>IF(ISERROR(B26*3.6/1000000/'E Balans VL '!Z12*100),0,B26*3.6/1000000/'E Balans VL '!Z12*100)</f>
        <v>0.10875464746725205</v>
      </c>
      <c r="D26" s="240" t="s">
        <v>707</v>
      </c>
      <c r="F26" s="6"/>
    </row>
    <row r="27" spans="1:18">
      <c r="A27" s="234" t="s">
        <v>53</v>
      </c>
      <c r="B27" s="34">
        <f>IF(ISERROR(TER_horeca_ele_kWh/1000),0,TER_horeca_ele_kWh/1000)</f>
        <v>704.73806328206297</v>
      </c>
      <c r="C27" s="40">
        <f>IF(ISERROR(B27*3.6/1000000/'E Balans VL '!Z9*100),0,B27*3.6/1000000/'E Balans VL '!Z9*100)</f>
        <v>5.5468335296108152E-2</v>
      </c>
      <c r="D27" s="240" t="s">
        <v>707</v>
      </c>
      <c r="F27" s="6"/>
    </row>
    <row r="28" spans="1:18">
      <c r="A28" s="174" t="s">
        <v>52</v>
      </c>
      <c r="B28" s="34">
        <f>IF(ISERROR(TER_handel_ele_kWh/1000),0,TER_handel_ele_kWh/1000)</f>
        <v>2956.5697183070001</v>
      </c>
      <c r="C28" s="40">
        <f>IF(ISERROR(B28*3.6/1000000/'E Balans VL '!Z13*100),0,B28*3.6/1000000/'E Balans VL '!Z13*100)</f>
        <v>8.2815100103423814E-2</v>
      </c>
      <c r="D28" s="240" t="s">
        <v>707</v>
      </c>
      <c r="F28" s="6"/>
    </row>
    <row r="29" spans="1:18">
      <c r="A29" s="234" t="s">
        <v>51</v>
      </c>
      <c r="B29" s="34">
        <f>IF(ISERROR(TER_gezond_ele_kWh/1000),0,TER_gezond_ele_kWh/1000)</f>
        <v>439.65403026333996</v>
      </c>
      <c r="C29" s="40">
        <f>IF(ISERROR(B29*3.6/1000000/'E Balans VL '!Z10*100),0,B29*3.6/1000000/'E Balans VL '!Z10*100)</f>
        <v>5.624504507312432E-2</v>
      </c>
      <c r="D29" s="240" t="s">
        <v>707</v>
      </c>
      <c r="F29" s="6"/>
    </row>
    <row r="30" spans="1:18">
      <c r="A30" s="234" t="s">
        <v>50</v>
      </c>
      <c r="B30" s="34">
        <f>IF(ISERROR(TER_ander_ele_kWh/1000),0,TER_ander_ele_kWh/1000)</f>
        <v>1233.3422021615399</v>
      </c>
      <c r="C30" s="40">
        <f>IF(ISERROR(B30*3.6/1000000/'E Balans VL '!Z14*100),0,B30*3.6/1000000/'E Balans VL '!Z14*100)</f>
        <v>9.2243604398745321E-2</v>
      </c>
      <c r="D30" s="240" t="s">
        <v>707</v>
      </c>
      <c r="F30" s="6"/>
    </row>
    <row r="31" spans="1:18">
      <c r="A31" s="234" t="s">
        <v>55</v>
      </c>
      <c r="B31" s="34">
        <f>IF(ISERROR(TER_onderwijs_ele_kWh/1000),0,TER_onderwijs_ele_kWh/1000)</f>
        <v>128.96421107122399</v>
      </c>
      <c r="C31" s="40">
        <f>IF(ISERROR(B31*3.6/1000000/'E Balans VL '!Z11*100),0,B31*3.6/1000000/'E Balans VL '!Z11*100)</f>
        <v>2.7230960219041672E-2</v>
      </c>
      <c r="D31" s="240" t="s">
        <v>707</v>
      </c>
    </row>
    <row r="32" spans="1:18">
      <c r="A32" s="234" t="s">
        <v>260</v>
      </c>
      <c r="B32" s="34">
        <f>IF(ISERROR(TER_rest_ele_kWh/1000),0,TER_rest_ele_kWh/1000)</f>
        <v>1775.47401193881</v>
      </c>
      <c r="C32" s="40">
        <f>IF(ISERROR(B32*3.6/1000000/'E Balans VL '!Z8*100),0,B32*3.6/1000000/'E Balans VL '!Z8*100)</f>
        <v>1.462623429430553E-2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3</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36" sqref="C3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163</v>
      </c>
      <c r="B1" s="1109" t="s">
        <v>195</v>
      </c>
      <c r="C1" s="1110"/>
      <c r="D1" s="1110"/>
      <c r="E1" s="1110"/>
      <c r="F1" s="1110"/>
      <c r="G1" s="1110"/>
      <c r="H1" s="1110"/>
      <c r="I1" s="1110"/>
      <c r="J1" s="1110"/>
      <c r="K1" s="1110"/>
      <c r="L1" s="1110"/>
      <c r="M1" s="1110"/>
      <c r="N1" s="1110"/>
      <c r="O1" s="1110"/>
      <c r="P1" s="1110"/>
      <c r="R1" s="8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c r="R2" s="810"/>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3538.3023259240335</v>
      </c>
      <c r="C5" s="18">
        <f>IF(ISERROR('Eigen informatie GS &amp; warmtenet'!B59),0,'Eigen informatie GS &amp; warmtenet'!B59)</f>
        <v>0</v>
      </c>
      <c r="D5" s="31">
        <f>SUM(D6:D15)</f>
        <v>2694.0923086976718</v>
      </c>
      <c r="E5" s="18">
        <f>SUM(E6:E15)</f>
        <v>28.976489211638075</v>
      </c>
      <c r="F5" s="18">
        <f>SUM(F6:F15)</f>
        <v>1280.6456454249651</v>
      </c>
      <c r="G5" s="19"/>
      <c r="H5" s="18"/>
      <c r="I5" s="18"/>
      <c r="J5" s="18">
        <f>SUM(J6:J15)</f>
        <v>8.9690620011246622</v>
      </c>
      <c r="K5" s="18"/>
      <c r="L5" s="18"/>
      <c r="M5" s="18"/>
      <c r="N5" s="18">
        <f>SUM(N6:N15)</f>
        <v>142.94978189805138</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75.365374784026798</v>
      </c>
      <c r="C8" s="34"/>
      <c r="D8" s="38">
        <f>IF( ISERROR(IND_metaal_Gas_kWH/1000),0,IND_metaal_Gas_kWH/1000)*0.902</f>
        <v>0</v>
      </c>
      <c r="E8" s="34">
        <f>C30*'E Balans VL '!I18/100/3.6*1000000</f>
        <v>0.68633888638649931</v>
      </c>
      <c r="F8" s="34">
        <f>C30*'E Balans VL '!L18/100/3.6*1000000+C30*'E Balans VL '!N18/100/3.6*1000000</f>
        <v>9.9401205995268729</v>
      </c>
      <c r="G8" s="35"/>
      <c r="H8" s="34"/>
      <c r="I8" s="34"/>
      <c r="J8" s="41">
        <f>C30*'E Balans VL '!D18/100/3.6*1000000+C30*'E Balans VL '!E18/100/3.6*1000000</f>
        <v>1.2358827198741864</v>
      </c>
      <c r="K8" s="34"/>
      <c r="L8" s="34"/>
      <c r="M8" s="34"/>
      <c r="N8" s="34">
        <f>C30*'E Balans VL '!Y18/100/3.6*1000000</f>
        <v>0.25900085431436604</v>
      </c>
      <c r="O8" s="34"/>
      <c r="P8" s="34"/>
      <c r="R8" s="33"/>
    </row>
    <row r="9" spans="1:18">
      <c r="A9" s="6" t="s">
        <v>33</v>
      </c>
      <c r="B9" s="38">
        <f t="shared" si="0"/>
        <v>1104.34968007521</v>
      </c>
      <c r="C9" s="34"/>
      <c r="D9" s="38">
        <f>IF( ISERROR(IND_andere_gas_kWh/1000),0,IND_andere_gas_kWh/1000)*0.902</f>
        <v>829.11309247618954</v>
      </c>
      <c r="E9" s="34">
        <f>C31*'E Balans VL '!I19/100/3.6*1000000</f>
        <v>6.3833061822441612</v>
      </c>
      <c r="F9" s="34">
        <f>C31*'E Balans VL '!L19/100/3.6*1000000+C31*'E Balans VL '!N19/100/3.6*1000000</f>
        <v>878.56330970363922</v>
      </c>
      <c r="G9" s="35"/>
      <c r="H9" s="34"/>
      <c r="I9" s="34"/>
      <c r="J9" s="41">
        <f>C31*'E Balans VL '!D19/100/3.6*1000000+C31*'E Balans VL '!E19/100/3.6*1000000</f>
        <v>0.10445921296631008</v>
      </c>
      <c r="K9" s="34"/>
      <c r="L9" s="34"/>
      <c r="M9" s="34"/>
      <c r="N9" s="34">
        <f>C31*'E Balans VL '!Y19/100/3.6*1000000</f>
        <v>83.671200728717707</v>
      </c>
      <c r="O9" s="34"/>
      <c r="P9" s="34"/>
      <c r="R9" s="33"/>
    </row>
    <row r="10" spans="1:18">
      <c r="A10" s="6" t="s">
        <v>41</v>
      </c>
      <c r="B10" s="38">
        <f t="shared" si="0"/>
        <v>842.23240958677695</v>
      </c>
      <c r="C10" s="34"/>
      <c r="D10" s="38">
        <f>IF( ISERROR(IND_voed_gas_kWh/1000),0,IND_voed_gas_kWh/1000)*0.902</f>
        <v>376.64914687248671</v>
      </c>
      <c r="E10" s="34">
        <f>C32*'E Balans VL '!I20/100/3.6*1000000</f>
        <v>8.2813479936636476</v>
      </c>
      <c r="F10" s="34">
        <f>C32*'E Balans VL '!L20/100/3.6*1000000+C32*'E Balans VL '!N20/100/3.6*1000000</f>
        <v>93.540902444748966</v>
      </c>
      <c r="G10" s="35"/>
      <c r="H10" s="34"/>
      <c r="I10" s="34"/>
      <c r="J10" s="41">
        <f>C32*'E Balans VL '!D20/100/3.6*1000000+C32*'E Balans VL '!E20/100/3.6*1000000</f>
        <v>3.3196202766885294E-3</v>
      </c>
      <c r="K10" s="34"/>
      <c r="L10" s="34"/>
      <c r="M10" s="34"/>
      <c r="N10" s="34">
        <f>C32*'E Balans VL '!Y20/100/3.6*1000000</f>
        <v>12.471480846525409</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1516.35486147802</v>
      </c>
      <c r="C15" s="34"/>
      <c r="D15" s="38">
        <f>IF( ISERROR(IND_rest_gas_kWh/1000),0,IND_rest_gas_kWh/1000)*0.902</f>
        <v>1488.3300693489953</v>
      </c>
      <c r="E15" s="34">
        <f>C37*'E Balans VL '!I15/100/3.6*1000000</f>
        <v>13.625496149343769</v>
      </c>
      <c r="F15" s="34">
        <f>C37*'E Balans VL '!L15/100/3.6*1000000+C37*'E Balans VL '!N15/100/3.6*1000000</f>
        <v>298.60131267705003</v>
      </c>
      <c r="G15" s="35"/>
      <c r="H15" s="34"/>
      <c r="I15" s="34"/>
      <c r="J15" s="41">
        <f>C37*'E Balans VL '!D15/100/3.6*1000000+C37*'E Balans VL '!E15/100/3.6*1000000</f>
        <v>7.6254004480074764</v>
      </c>
      <c r="K15" s="34"/>
      <c r="L15" s="34"/>
      <c r="M15" s="34"/>
      <c r="N15" s="34">
        <f>C37*'E Balans VL '!Y15/100/3.6*1000000</f>
        <v>46.548099468493902</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3538.3023259240335</v>
      </c>
      <c r="C18" s="22">
        <f>C5+C16</f>
        <v>0</v>
      </c>
      <c r="D18" s="22">
        <f>MAX((D5+D16),0)</f>
        <v>2694.0923086976718</v>
      </c>
      <c r="E18" s="22">
        <f>MAX((E5+E16),0)</f>
        <v>28.976489211638075</v>
      </c>
      <c r="F18" s="22">
        <f>MAX((F5+F16),0)</f>
        <v>1280.6456454249651</v>
      </c>
      <c r="G18" s="22"/>
      <c r="H18" s="22"/>
      <c r="I18" s="22"/>
      <c r="J18" s="22">
        <f>MAX((J5+J16),0)</f>
        <v>8.9690620011246622</v>
      </c>
      <c r="K18" s="22"/>
      <c r="L18" s="22">
        <f>MAX((L5+L16),0)</f>
        <v>0</v>
      </c>
      <c r="M18" s="22"/>
      <c r="N18" s="22">
        <f>MAX((N5+N16),0)</f>
        <v>142.94978189805138</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0.21538196314449465</v>
      </c>
      <c r="C20" s="26">
        <f ca="1">'EF ele_warmte'!B22</f>
        <v>0.23764705882352949</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762.08650115624994</v>
      </c>
      <c r="C22" s="24">
        <f ca="1">C18*C20</f>
        <v>0</v>
      </c>
      <c r="D22" s="24">
        <f>D18*D20</f>
        <v>544.2066463569297</v>
      </c>
      <c r="E22" s="24">
        <f>E18*E20</f>
        <v>6.577663051041843</v>
      </c>
      <c r="F22" s="24">
        <f>F18*F20</f>
        <v>341.93238732846572</v>
      </c>
      <c r="G22" s="24"/>
      <c r="H22" s="24"/>
      <c r="I22" s="24"/>
      <c r="J22" s="24">
        <f>J18*J20</f>
        <v>3.1750479483981304</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75.365374784026798</v>
      </c>
      <c r="C30" s="40">
        <f>IF(ISERROR(B30*3.6/1000000/'E Balans VL '!Z18*100),0,B30*3.6/1000000/'E Balans VL '!Z18*100)</f>
        <v>4.19357914279379E-3</v>
      </c>
      <c r="D30" s="240" t="s">
        <v>707</v>
      </c>
    </row>
    <row r="31" spans="1:18">
      <c r="A31" s="6" t="s">
        <v>33</v>
      </c>
      <c r="B31" s="38">
        <f>IF( ISERROR(IND_ander_ele_kWh/1000),0,IND_ander_ele_kWh/1000)</f>
        <v>1104.34968007521</v>
      </c>
      <c r="C31" s="40">
        <f>IF(ISERROR(B31*3.6/1000000/'E Balans VL '!Z19*100),0,B31*3.6/1000000/'E Balans VL '!Z19*100)</f>
        <v>5.1338316270131919E-2</v>
      </c>
      <c r="D31" s="240" t="s">
        <v>707</v>
      </c>
    </row>
    <row r="32" spans="1:18">
      <c r="A32" s="174" t="s">
        <v>41</v>
      </c>
      <c r="B32" s="38">
        <f>IF( ISERROR(IND_voed_ele_kWh/1000),0,IND_voed_ele_kWh/1000)</f>
        <v>842.23240958677695</v>
      </c>
      <c r="C32" s="40">
        <f>IF(ISERROR(B32*3.6/1000000/'E Balans VL '!Z20*100),0,B32*3.6/1000000/'E Balans VL '!Z20*100)</f>
        <v>2.9771214718504985E-2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1516.35486147802</v>
      </c>
      <c r="C37" s="40">
        <f>IF(ISERROR(B37*3.6/1000000/'E Balans VL '!Z15*100),0,B37*3.6/1000000/'E Balans VL '!Z15*100)</f>
        <v>1.1450719199010204E-2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08" t="s">
        <v>271</v>
      </c>
      <c r="B1" s="1109" t="s">
        <v>195</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4376.5316311565521</v>
      </c>
      <c r="C5" s="18">
        <f>'Eigen informatie GS &amp; warmtenet'!B60</f>
        <v>0</v>
      </c>
      <c r="D5" s="31">
        <f>IF(ISERROR(SUM(LB_lb_gas_kWh,LB_rest_gas_kWh,onbekend_gas_kWh)/1000),0,SUM(LB_lb_gas_kWh,LB_rest_gas_kWh,onbekend_gas_kWh)/1000)*0.902</f>
        <v>69866.508138820413</v>
      </c>
      <c r="E5" s="18">
        <f>B17*'E Balans VL '!I25/3.6*1000000/100</f>
        <v>41.229860337878492</v>
      </c>
      <c r="F5" s="18">
        <f>B17*('E Balans VL '!L25/3.6*1000000+'E Balans VL '!N25/3.6*1000000)/100</f>
        <v>14282.075155753901</v>
      </c>
      <c r="G5" s="19"/>
      <c r="H5" s="18"/>
      <c r="I5" s="18"/>
      <c r="J5" s="18">
        <f>('E Balans VL '!D25+'E Balans VL '!E25)/3.6*1000000*landbouw!B17/100</f>
        <v>541.39825021983029</v>
      </c>
      <c r="K5" s="18"/>
      <c r="L5" s="18">
        <f>L6*(-1)</f>
        <v>0</v>
      </c>
      <c r="M5" s="18"/>
      <c r="N5" s="18">
        <f>N6*(-1)</f>
        <v>0</v>
      </c>
      <c r="O5" s="18"/>
      <c r="P5" s="18"/>
      <c r="R5" s="33"/>
    </row>
    <row r="6" spans="1:18">
      <c r="A6" s="17" t="s">
        <v>502</v>
      </c>
      <c r="B6" s="18" t="s">
        <v>211</v>
      </c>
      <c r="C6" s="18">
        <f>'lokale energieproductie'!O91+'lokale energieproductie'!O60</f>
        <v>30857.142857142855</v>
      </c>
      <c r="D6" s="312">
        <f>('lokale energieproductie'!P60+'lokale energieproductie'!P91)*(-1)</f>
        <v>-61714.285714285725</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4376.5316311565521</v>
      </c>
      <c r="C8" s="22">
        <f>C5+C6</f>
        <v>30857.142857142855</v>
      </c>
      <c r="D8" s="22">
        <f>MAX((D5+D6),0)</f>
        <v>8152.2224245346879</v>
      </c>
      <c r="E8" s="22">
        <f>MAX((E5+E6),0)</f>
        <v>41.229860337878492</v>
      </c>
      <c r="F8" s="22">
        <f>MAX((F5+F6),0)</f>
        <v>14282.075155753901</v>
      </c>
      <c r="G8" s="22"/>
      <c r="H8" s="22"/>
      <c r="I8" s="22"/>
      <c r="J8" s="22">
        <f>MAX((J5+J6),0)</f>
        <v>541.39825021983029</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0.21538196314449465</v>
      </c>
      <c r="C10" s="32">
        <f ca="1">'EF ele_warmte'!B22</f>
        <v>0.23764705882352949</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942.6259744824755</v>
      </c>
      <c r="C12" s="24">
        <f ca="1">C8*C10</f>
        <v>7333.1092436974805</v>
      </c>
      <c r="D12" s="24">
        <f>D8*D10</f>
        <v>1646.7489297560071</v>
      </c>
      <c r="E12" s="24">
        <f>E8*E10</f>
        <v>9.3591782966984187</v>
      </c>
      <c r="F12" s="24">
        <f>F8*F10</f>
        <v>3813.3140665862916</v>
      </c>
      <c r="G12" s="24"/>
      <c r="H12" s="24"/>
      <c r="I12" s="24"/>
      <c r="J12" s="24">
        <f>J8*J10</f>
        <v>191.65498057781991</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0.59251244811873294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16" t="s">
        <v>303</v>
      </c>
      <c r="B22" s="1119" t="s">
        <v>304</v>
      </c>
      <c r="C22" s="1119" t="s">
        <v>507</v>
      </c>
    </row>
    <row r="23" spans="1:4">
      <c r="A23" s="1117"/>
      <c r="B23" s="1120"/>
      <c r="C23" s="1120"/>
    </row>
    <row r="24" spans="1:4" ht="15.75" thickBot="1">
      <c r="A24" s="1118"/>
      <c r="B24" s="1121"/>
      <c r="C24" s="1121"/>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577.74073965042408</v>
      </c>
      <c r="C26" s="250">
        <f>B26*'GWP N2O_CH4'!B5</f>
        <v>12132.555532658906</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318.63361439449488</v>
      </c>
      <c r="C27" s="250">
        <f>B27*'GWP N2O_CH4'!B5</f>
        <v>6691.3059022843927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8.6980816609323846</v>
      </c>
      <c r="C28" s="250">
        <f>B28*'GWP N2O_CH4'!B4</f>
        <v>2696.4053148890393</v>
      </c>
      <c r="D28" s="51"/>
    </row>
    <row r="29" spans="1:4">
      <c r="A29" s="42" t="s">
        <v>277</v>
      </c>
      <c r="B29" s="250">
        <f>B34*'ha_N2O bodem landbouw'!B4</f>
        <v>18.884609260576958</v>
      </c>
      <c r="C29" s="250">
        <f>B29*'GWP N2O_CH4'!B4</f>
        <v>5854.2288707788575</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5.098250007817118E-3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85" zoomScaleNormal="85" workbookViewId="0">
      <selection activeCell="C24" sqref="C2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08" t="s">
        <v>511</v>
      </c>
      <c r="B1" s="1109" t="s">
        <v>564</v>
      </c>
      <c r="C1" s="1110"/>
      <c r="D1" s="1110"/>
      <c r="E1" s="1110"/>
      <c r="F1" s="1110"/>
      <c r="G1" s="1110"/>
      <c r="H1" s="1110"/>
      <c r="I1" s="1110"/>
      <c r="J1" s="1110"/>
      <c r="K1" s="1110"/>
      <c r="L1" s="1110"/>
      <c r="M1" s="1110"/>
      <c r="N1" s="1110"/>
      <c r="O1" s="1110"/>
      <c r="P1" s="1110"/>
    </row>
    <row r="2" spans="1:18" s="318" customFormat="1" ht="15.75" thickTop="1">
      <c r="A2" s="1108"/>
      <c r="B2" s="1111" t="s">
        <v>21</v>
      </c>
      <c r="C2" s="1111" t="s">
        <v>196</v>
      </c>
      <c r="D2" s="1113" t="s">
        <v>197</v>
      </c>
      <c r="E2" s="1114"/>
      <c r="F2" s="1114"/>
      <c r="G2" s="1114"/>
      <c r="H2" s="1114"/>
      <c r="I2" s="1114"/>
      <c r="J2" s="1114"/>
      <c r="K2" s="1115"/>
      <c r="L2" s="1113" t="s">
        <v>198</v>
      </c>
      <c r="M2" s="1114"/>
      <c r="N2" s="1114"/>
      <c r="O2" s="1114"/>
      <c r="P2" s="1115"/>
    </row>
    <row r="3" spans="1:18" s="318" customFormat="1" ht="45">
      <c r="A3" s="1108"/>
      <c r="B3" s="1112"/>
      <c r="C3" s="1112"/>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1.8385355188188429E-5</v>
      </c>
      <c r="C5" s="447" t="s">
        <v>211</v>
      </c>
      <c r="D5" s="432">
        <f>SUM(D6:D11)</f>
        <v>5.1493021727881772E-5</v>
      </c>
      <c r="E5" s="432">
        <f>SUM(E6:E11)</f>
        <v>3.5101603689351281E-3</v>
      </c>
      <c r="F5" s="445" t="s">
        <v>211</v>
      </c>
      <c r="G5" s="432">
        <f>SUM(G6:G11)</f>
        <v>0.79681893867228326</v>
      </c>
      <c r="H5" s="432">
        <f>SUM(H6:H11)</f>
        <v>0.11901311131986432</v>
      </c>
      <c r="I5" s="447" t="s">
        <v>211</v>
      </c>
      <c r="J5" s="447" t="s">
        <v>211</v>
      </c>
      <c r="K5" s="447" t="s">
        <v>211</v>
      </c>
      <c r="L5" s="447" t="s">
        <v>211</v>
      </c>
      <c r="M5" s="432">
        <f>SUM(M6:M11)</f>
        <v>4.0926765143723585E-2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1.8308070828644191E-6</v>
      </c>
      <c r="C6" s="433"/>
      <c r="D6" s="433">
        <f>vkm_2011_GW_PW*SUMIFS(TableVerdeelsleutelVkm[CNG],TableVerdeelsleutelVkm[Voertuigtype],"Lichte voertuigen")*SUMIFS(TableECFTransport[EnergieConsumptieFactor (PJ per km)],TableECFTransport[Index],CONCATENATE($A6,"_CNG_CNG"))</f>
        <v>4.4708615570760145E-6</v>
      </c>
      <c r="E6" s="435">
        <f>vkm_2011_GW_PW*SUMIFS(TableVerdeelsleutelVkm[LPG],TableVerdeelsleutelVkm[Voertuigtype],"Lichte voertuigen")*SUMIFS(TableECFTransport[EnergieConsumptieFactor (PJ per km)],TableECFTransport[Index],CONCATENATE($A6,"_LPG_LPG"))</f>
        <v>2.6500956831228999E-4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3.8310250533340834E-2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1.0040016031678889E-2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2.165213979258796E-3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2.1396694090098988E-2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8.6327318783692405E-6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9.5321610162311216E-4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2.7957280287908452E-6</v>
      </c>
      <c r="C8" s="433"/>
      <c r="D8" s="435">
        <f>vkm_2011_NGW_PW*SUMIFS(TableVerdeelsleutelVkm[CNG],TableVerdeelsleutelVkm[Voertuigtype],"Lichte voertuigen")*SUMIFS(TableECFTransport[EnergieConsumptieFactor (PJ per km)],TableECFTransport[Index],CONCATENATE($A8,"_CNG_CNG"))</f>
        <v>1.2249183063237293E-5</v>
      </c>
      <c r="E8" s="435">
        <f>vkm_2011_NGW_PW*SUMIFS(TableVerdeelsleutelVkm[LPG],TableVerdeelsleutelVkm[Voertuigtype],"Lichte voertuigen")*SUMIFS(TableECFTransport[EnergieConsumptieFactor (PJ per km)],TableECFTransport[Index],CONCATENATE($A8,"_LPG_LPG"))</f>
        <v>6.6609482724763953E-4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9.096545554660021E-2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2.6341054645443306E-2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5.2555937251928747E-3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3.5145389227767561E-2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1.2346284514344107E-5</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1.5656323549566691E-3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1.3758820076533165E-5</v>
      </c>
      <c r="C10" s="433"/>
      <c r="D10" s="435">
        <f>vkm_2011_SW_PW*SUMIFS(TableVerdeelsleutelVkm[CNG],TableVerdeelsleutelVkm[Voertuigtype],"Lichte voertuigen")*SUMIFS(TableECFTransport[EnergieConsumptieFactor (PJ per km)],TableECFTransport[Index],CONCATENATE($A10,"_CNG_CNG"))</f>
        <v>3.4772977107568466E-5</v>
      </c>
      <c r="E10" s="435">
        <f>vkm_2011_SW_PW*SUMIFS(TableVerdeelsleutelVkm[LPG],TableVerdeelsleutelVkm[Voertuigtype],"Lichte voertuigen")*SUMIFS(TableECFTransport[EnergieConsumptieFactor (PJ per km)],TableECFTransport[Index],CONCATENATE($A10,"_LPG_LPG"))</f>
        <v>2.5790559733751984E-3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0.33977619974599094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8.2494963408439648E-2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1.8903816346295056E-2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0.2712249495284848</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1.160982179097637E-4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1.2083292636397075E-2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5.1070431078301199</v>
      </c>
      <c r="C14" s="22"/>
      <c r="D14" s="22">
        <f t="shared" ref="D14:M14" si="0">((D5)*10^9/3600)+D12</f>
        <v>14.303617146633826</v>
      </c>
      <c r="E14" s="22">
        <f t="shared" si="0"/>
        <v>975.04454692642446</v>
      </c>
      <c r="F14" s="22"/>
      <c r="G14" s="22">
        <f t="shared" si="0"/>
        <v>221338.59407563426</v>
      </c>
      <c r="H14" s="22">
        <f t="shared" si="0"/>
        <v>33059.197588851202</v>
      </c>
      <c r="I14" s="22"/>
      <c r="J14" s="22"/>
      <c r="K14" s="22"/>
      <c r="L14" s="22"/>
      <c r="M14" s="22">
        <f t="shared" si="0"/>
        <v>11368.545873256551</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0.21538196314449465</v>
      </c>
      <c r="C16" s="57">
        <f ca="1">'EF ele_warmte'!B22</f>
        <v>0.23764705882352949</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1.0999649704280123</v>
      </c>
      <c r="C18" s="24"/>
      <c r="D18" s="24">
        <f t="shared" ref="D18:M18" si="1">D14*D16</f>
        <v>2.8893306636200329</v>
      </c>
      <c r="E18" s="24">
        <f t="shared" si="1"/>
        <v>221.33511215229836</v>
      </c>
      <c r="F18" s="24"/>
      <c r="G18" s="24">
        <f t="shared" si="1"/>
        <v>59097.404618194349</v>
      </c>
      <c r="H18" s="24">
        <f t="shared" si="1"/>
        <v>8231.7401996239496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22" t="s">
        <v>512</v>
      </c>
      <c r="B46" s="1123" t="s">
        <v>563</v>
      </c>
      <c r="C46" s="1124"/>
      <c r="D46" s="1124"/>
      <c r="E46" s="1124"/>
      <c r="F46" s="1124"/>
      <c r="G46" s="1124"/>
      <c r="H46" s="1124"/>
      <c r="I46" s="1124"/>
      <c r="J46" s="1124"/>
      <c r="K46" s="1124"/>
      <c r="L46" s="1124"/>
      <c r="M46" s="1124"/>
      <c r="N46" s="1124"/>
      <c r="O46" s="1124"/>
      <c r="P46" s="1124"/>
    </row>
    <row r="47" spans="1:16" s="16" customFormat="1" ht="15.75" thickTop="1">
      <c r="A47" s="1122"/>
      <c r="B47" s="1125" t="s">
        <v>21</v>
      </c>
      <c r="C47" s="1125" t="s">
        <v>196</v>
      </c>
      <c r="D47" s="1127" t="s">
        <v>197</v>
      </c>
      <c r="E47" s="1128"/>
      <c r="F47" s="1128"/>
      <c r="G47" s="1128"/>
      <c r="H47" s="1128"/>
      <c r="I47" s="1128"/>
      <c r="J47" s="1128"/>
      <c r="K47" s="1129"/>
      <c r="L47" s="1127" t="s">
        <v>198</v>
      </c>
      <c r="M47" s="1128"/>
      <c r="N47" s="1128"/>
      <c r="O47" s="1128"/>
      <c r="P47" s="1129"/>
    </row>
    <row r="48" spans="1:16" s="16" customFormat="1" ht="45">
      <c r="A48" s="1122"/>
      <c r="B48" s="1126"/>
      <c r="C48" s="1126"/>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1.2957735250495039E-3</v>
      </c>
      <c r="H50" s="323">
        <f t="shared" si="2"/>
        <v>0</v>
      </c>
      <c r="I50" s="323">
        <f t="shared" si="2"/>
        <v>0</v>
      </c>
      <c r="J50" s="323">
        <f t="shared" si="2"/>
        <v>0</v>
      </c>
      <c r="K50" s="323">
        <f t="shared" si="2"/>
        <v>0</v>
      </c>
      <c r="L50" s="323">
        <f t="shared" si="2"/>
        <v>0</v>
      </c>
      <c r="M50" s="323">
        <f t="shared" si="2"/>
        <v>5.6899552997057006E-5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1.2957735250495039E-3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5.6899552997057006E-5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359.93709029152888</v>
      </c>
      <c r="H54" s="22">
        <f t="shared" si="3"/>
        <v>0</v>
      </c>
      <c r="I54" s="22">
        <f t="shared" si="3"/>
        <v>0</v>
      </c>
      <c r="J54" s="22">
        <f t="shared" si="3"/>
        <v>0</v>
      </c>
      <c r="K54" s="22">
        <f t="shared" si="3"/>
        <v>0</v>
      </c>
      <c r="L54" s="22">
        <f t="shared" si="3"/>
        <v>0</v>
      </c>
      <c r="M54" s="22">
        <f t="shared" si="3"/>
        <v>15.805431388071391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0.21538196314449465</v>
      </c>
      <c r="C56" s="57">
        <f ca="1">'EF ele_warmte'!B22</f>
        <v>0.23764705882352949</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96.103203107838212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4"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148" t="s">
        <v>241</v>
      </c>
      <c r="B1" s="1148" t="s">
        <v>242</v>
      </c>
      <c r="C1" s="1155" t="s">
        <v>243</v>
      </c>
      <c r="D1" s="1156"/>
      <c r="E1" s="1156"/>
      <c r="F1" s="1156"/>
      <c r="G1" s="1156"/>
      <c r="H1" s="1156"/>
      <c r="I1" s="1156"/>
      <c r="J1" s="1156"/>
      <c r="K1" s="1156"/>
      <c r="L1" s="1157"/>
      <c r="M1" s="1152" t="s">
        <v>244</v>
      </c>
      <c r="N1" s="1169" t="s">
        <v>565</v>
      </c>
      <c r="O1" s="1152"/>
      <c r="Q1" s="1147"/>
      <c r="R1" s="1147"/>
      <c r="S1" s="1147"/>
    </row>
    <row r="2" spans="1:19" s="548" customFormat="1" ht="15.75" thickBot="1">
      <c r="A2" s="1149"/>
      <c r="B2" s="1149"/>
      <c r="C2" s="1158" t="s">
        <v>197</v>
      </c>
      <c r="D2" s="1159"/>
      <c r="E2" s="1159"/>
      <c r="F2" s="1159"/>
      <c r="G2" s="1160"/>
      <c r="H2" s="1161" t="s">
        <v>245</v>
      </c>
      <c r="I2" s="1163" t="s">
        <v>246</v>
      </c>
      <c r="J2" s="1163" t="s">
        <v>234</v>
      </c>
      <c r="K2" s="1163" t="s">
        <v>247</v>
      </c>
      <c r="L2" s="1145" t="s">
        <v>127</v>
      </c>
      <c r="M2" s="1153"/>
      <c r="N2" s="1170"/>
      <c r="O2" s="1153"/>
      <c r="Q2" s="1147"/>
      <c r="R2" s="1147"/>
      <c r="S2" s="1147"/>
    </row>
    <row r="3" spans="1:19" s="548" customFormat="1" ht="53.45" customHeight="1" thickBot="1">
      <c r="A3" s="1150"/>
      <c r="B3" s="1151"/>
      <c r="C3" s="549" t="s">
        <v>199</v>
      </c>
      <c r="D3" s="550" t="s">
        <v>200</v>
      </c>
      <c r="E3" s="551" t="s">
        <v>201</v>
      </c>
      <c r="F3" s="552" t="s">
        <v>203</v>
      </c>
      <c r="G3" s="553" t="s">
        <v>204</v>
      </c>
      <c r="H3" s="1162"/>
      <c r="I3" s="1164"/>
      <c r="J3" s="1164"/>
      <c r="K3" s="1164"/>
      <c r="L3" s="1146"/>
      <c r="M3" s="1154"/>
      <c r="N3" s="1151"/>
      <c r="O3" s="1154"/>
      <c r="Q3" s="1147"/>
      <c r="R3" s="1147"/>
      <c r="S3" s="1147"/>
    </row>
    <row r="4" spans="1:19" s="548" customFormat="1" ht="15.75" thickTop="1">
      <c r="A4" s="554" t="s">
        <v>249</v>
      </c>
      <c r="B4" s="555">
        <f>IF(ISERROR(kWh_wind_land),0,kWh_wind_land)</f>
        <v>0</v>
      </c>
      <c r="C4" s="1133"/>
      <c r="D4" s="1136"/>
      <c r="E4" s="1136"/>
      <c r="F4" s="1139"/>
      <c r="G4" s="1142"/>
      <c r="H4" s="1130"/>
      <c r="I4" s="1136"/>
      <c r="J4" s="1136"/>
      <c r="K4" s="556"/>
      <c r="L4" s="1166"/>
      <c r="M4" s="557"/>
      <c r="N4" s="1178"/>
      <c r="O4" s="1179"/>
      <c r="Q4" s="558"/>
      <c r="R4" s="1165"/>
      <c r="S4" s="1165"/>
    </row>
    <row r="5" spans="1:19" s="548" customFormat="1">
      <c r="A5" s="559" t="s">
        <v>250</v>
      </c>
      <c r="B5" s="555">
        <f>IF(ISERROR(kWh_waterkracht),0,kWh_waterkracht)</f>
        <v>0</v>
      </c>
      <c r="C5" s="1134"/>
      <c r="D5" s="1137"/>
      <c r="E5" s="1137"/>
      <c r="F5" s="1140"/>
      <c r="G5" s="1143"/>
      <c r="H5" s="1131"/>
      <c r="I5" s="1137"/>
      <c r="J5" s="1137"/>
      <c r="K5" s="1137"/>
      <c r="L5" s="1167"/>
      <c r="M5" s="560"/>
      <c r="N5" s="1180"/>
      <c r="O5" s="1181"/>
      <c r="Q5" s="558"/>
      <c r="R5" s="1165"/>
      <c r="S5" s="1165"/>
    </row>
    <row r="6" spans="1:19" s="548" customFormat="1">
      <c r="A6" s="559" t="s">
        <v>251</v>
      </c>
      <c r="B6" s="555">
        <f>IF(ISERROR((kWh_PV_kleiner_dan_10kW+kWh_PV_groter_dan_10kW)),0,(kWh_PV_kleiner_dan_10kW+kWh_PV_groter_dan_10kW))</f>
        <v>2838.0691983961833</v>
      </c>
      <c r="C6" s="1135"/>
      <c r="D6" s="1138"/>
      <c r="E6" s="1138"/>
      <c r="F6" s="1141"/>
      <c r="G6" s="1144"/>
      <c r="H6" s="1132"/>
      <c r="I6" s="1138"/>
      <c r="J6" s="1138"/>
      <c r="K6" s="1138"/>
      <c r="L6" s="1168"/>
      <c r="M6" s="560"/>
      <c r="N6" s="1180"/>
      <c r="O6" s="1181"/>
      <c r="Q6" s="558"/>
      <c r="R6" s="1165"/>
      <c r="S6" s="1165"/>
    </row>
    <row r="7" spans="1:19" s="548" customFormat="1">
      <c r="A7" s="561" t="s">
        <v>252</v>
      </c>
      <c r="B7" s="562">
        <f>N57</f>
        <v>21600</v>
      </c>
      <c r="C7" s="563">
        <f>B100</f>
        <v>25411.76470588236</v>
      </c>
      <c r="D7" s="564"/>
      <c r="E7" s="564">
        <f>E100</f>
        <v>0</v>
      </c>
      <c r="F7" s="565"/>
      <c r="G7" s="566"/>
      <c r="H7" s="564">
        <f>I100</f>
        <v>0</v>
      </c>
      <c r="I7" s="564">
        <f>G100+F100</f>
        <v>0</v>
      </c>
      <c r="J7" s="564">
        <f>H100+D100+C100</f>
        <v>0</v>
      </c>
      <c r="K7" s="564"/>
      <c r="L7" s="567"/>
      <c r="M7" s="568">
        <f>C7*$C$11+D7*$D$11+E7*$E$11+F7*$F$11+G7*$G$11+H7*$H$11+I7*$I$11+J7*$J$11</f>
        <v>5133.176470588237</v>
      </c>
      <c r="N7" s="1180"/>
      <c r="O7" s="1181"/>
      <c r="Q7" s="558"/>
      <c r="R7" s="1165"/>
      <c r="S7" s="1165"/>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182"/>
      <c r="O8" s="1183"/>
      <c r="P8" s="576"/>
      <c r="Q8" s="558"/>
      <c r="R8" s="1165"/>
      <c r="S8" s="1165"/>
    </row>
    <row r="9" spans="1:19" s="548" customFormat="1" ht="16.5" thickTop="1" thickBot="1">
      <c r="A9" s="577" t="s">
        <v>116</v>
      </c>
      <c r="B9" s="578">
        <f>SUM(B4:B8)</f>
        <v>24438.069198396184</v>
      </c>
      <c r="C9" s="579">
        <f t="shared" ref="C9:L9" si="0">SUM(C7:C8)</f>
        <v>25411.76470588236</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5133.176470588237</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148" t="s">
        <v>253</v>
      </c>
      <c r="B13" s="1148" t="s">
        <v>254</v>
      </c>
      <c r="C13" s="1155" t="s">
        <v>255</v>
      </c>
      <c r="D13" s="1156"/>
      <c r="E13" s="1156"/>
      <c r="F13" s="1156"/>
      <c r="G13" s="1156"/>
      <c r="H13" s="1156"/>
      <c r="I13" s="1156"/>
      <c r="J13" s="1156"/>
      <c r="K13" s="1156"/>
      <c r="L13" s="1157"/>
      <c r="M13" s="1152" t="s">
        <v>244</v>
      </c>
      <c r="N13" s="1169" t="s">
        <v>256</v>
      </c>
      <c r="O13" s="1152"/>
      <c r="P13" s="1147"/>
      <c r="Q13" s="1147"/>
      <c r="R13" s="1147"/>
    </row>
    <row r="14" spans="1:19" s="548" customFormat="1" ht="15.75" thickBot="1">
      <c r="A14" s="1149"/>
      <c r="B14" s="1149"/>
      <c r="C14" s="1171" t="s">
        <v>197</v>
      </c>
      <c r="D14" s="1172"/>
      <c r="E14" s="1172"/>
      <c r="F14" s="1172"/>
      <c r="G14" s="1173"/>
      <c r="H14" s="1174" t="s">
        <v>245</v>
      </c>
      <c r="I14" s="1174" t="s">
        <v>246</v>
      </c>
      <c r="J14" s="1175" t="s">
        <v>234</v>
      </c>
      <c r="K14" s="1163" t="s">
        <v>257</v>
      </c>
      <c r="L14" s="1145" t="s">
        <v>127</v>
      </c>
      <c r="M14" s="1153"/>
      <c r="N14" s="1170"/>
      <c r="O14" s="1153"/>
      <c r="P14" s="1147"/>
      <c r="Q14" s="1147"/>
      <c r="R14" s="1147"/>
    </row>
    <row r="15" spans="1:19" s="548" customFormat="1" ht="40.700000000000003" customHeight="1" thickBot="1">
      <c r="A15" s="1150"/>
      <c r="B15" s="1150"/>
      <c r="C15" s="590" t="s">
        <v>199</v>
      </c>
      <c r="D15" s="550" t="s">
        <v>200</v>
      </c>
      <c r="E15" s="591" t="s">
        <v>201</v>
      </c>
      <c r="F15" s="550" t="s">
        <v>203</v>
      </c>
      <c r="G15" s="592" t="s">
        <v>204</v>
      </c>
      <c r="H15" s="1162"/>
      <c r="I15" s="1162"/>
      <c r="J15" s="1176"/>
      <c r="K15" s="1164"/>
      <c r="L15" s="1177"/>
      <c r="M15" s="1154"/>
      <c r="N15" s="1151"/>
      <c r="O15" s="1154"/>
      <c r="P15" s="1147"/>
      <c r="Q15" s="1147"/>
      <c r="R15" s="1147"/>
    </row>
    <row r="16" spans="1:19" s="548" customFormat="1" ht="15.75" thickTop="1">
      <c r="A16" s="593" t="s">
        <v>252</v>
      </c>
      <c r="B16" s="594">
        <f>O57</f>
        <v>30857.142857142855</v>
      </c>
      <c r="C16" s="595">
        <f>B101</f>
        <v>36302.521008403368</v>
      </c>
      <c r="D16" s="596"/>
      <c r="E16" s="596">
        <f>E101</f>
        <v>0</v>
      </c>
      <c r="F16" s="597"/>
      <c r="G16" s="598"/>
      <c r="H16" s="595">
        <f>I101</f>
        <v>0</v>
      </c>
      <c r="I16" s="596">
        <f>G101+F101</f>
        <v>0</v>
      </c>
      <c r="J16" s="596">
        <f>H101+D101+C101</f>
        <v>0</v>
      </c>
      <c r="K16" s="596"/>
      <c r="L16" s="599"/>
      <c r="M16" s="600">
        <f>C16*$C$21+E16*$E$21+H16*$H$21+I16*$I$21+J16*$J$21+D16*$D$21+F16*$F$21+G16*$G$21+K16*$K$21+L16*$L$21</f>
        <v>7333.1092436974805</v>
      </c>
      <c r="N16" s="1187"/>
      <c r="O16" s="1188"/>
      <c r="P16" s="601"/>
      <c r="Q16" s="1189"/>
      <c r="R16" s="1189"/>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190"/>
      <c r="O17" s="1191"/>
      <c r="P17" s="558"/>
      <c r="Q17" s="1165"/>
      <c r="R17" s="1165"/>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192"/>
      <c r="O18" s="1193"/>
      <c r="P18" s="558"/>
      <c r="Q18" s="1165"/>
      <c r="R18" s="1165"/>
    </row>
    <row r="19" spans="1:26" s="548" customFormat="1" ht="16.5" thickTop="1" thickBot="1">
      <c r="A19" s="577" t="s">
        <v>116</v>
      </c>
      <c r="B19" s="578">
        <f>SUM(B16:B18)</f>
        <v>30857.142857142855</v>
      </c>
      <c r="C19" s="578">
        <f>SUM(C16:C18)</f>
        <v>36302.521008403368</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7333.1092436974805</v>
      </c>
      <c r="N19" s="1184"/>
      <c r="O19" s="1185"/>
      <c r="P19" s="558"/>
      <c r="Q19" s="1186"/>
      <c r="R19" s="1186"/>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25.5">
      <c r="A27" s="609"/>
      <c r="B27" s="840">
        <v>44049</v>
      </c>
      <c r="C27" s="840">
        <v>9850</v>
      </c>
      <c r="D27" s="657" t="s">
        <v>877</v>
      </c>
      <c r="E27" s="656" t="s">
        <v>878</v>
      </c>
      <c r="F27" s="656" t="s">
        <v>879</v>
      </c>
      <c r="G27" s="656" t="s">
        <v>880</v>
      </c>
      <c r="H27" s="656" t="s">
        <v>881</v>
      </c>
      <c r="I27" s="656" t="s">
        <v>878</v>
      </c>
      <c r="J27" s="839">
        <v>39436</v>
      </c>
      <c r="K27" s="839">
        <v>39436</v>
      </c>
      <c r="L27" s="656" t="s">
        <v>882</v>
      </c>
      <c r="M27" s="656">
        <v>2000</v>
      </c>
      <c r="N27" s="656">
        <v>9000</v>
      </c>
      <c r="O27" s="656">
        <v>12857.142857142857</v>
      </c>
      <c r="P27" s="656">
        <v>25714.285714285717</v>
      </c>
      <c r="Q27" s="656">
        <v>0</v>
      </c>
      <c r="R27" s="656">
        <v>0</v>
      </c>
      <c r="S27" s="656">
        <v>0</v>
      </c>
      <c r="T27" s="656">
        <v>0</v>
      </c>
      <c r="U27" s="656">
        <v>0</v>
      </c>
      <c r="V27" s="656">
        <v>0</v>
      </c>
      <c r="W27" s="656"/>
      <c r="X27" s="656">
        <v>10</v>
      </c>
      <c r="Y27" s="656" t="s">
        <v>112</v>
      </c>
      <c r="Z27" s="658" t="s">
        <v>112</v>
      </c>
    </row>
    <row r="28" spans="1:26" s="610" customFormat="1" ht="25.5">
      <c r="A28" s="609"/>
      <c r="B28" s="840">
        <v>44049</v>
      </c>
      <c r="C28" s="840">
        <v>9850</v>
      </c>
      <c r="D28" s="657" t="s">
        <v>883</v>
      </c>
      <c r="E28" s="656" t="s">
        <v>884</v>
      </c>
      <c r="F28" s="656" t="s">
        <v>885</v>
      </c>
      <c r="G28" s="656" t="s">
        <v>880</v>
      </c>
      <c r="H28" s="656" t="s">
        <v>881</v>
      </c>
      <c r="I28" s="656" t="s">
        <v>884</v>
      </c>
      <c r="J28" s="839">
        <v>39496</v>
      </c>
      <c r="K28" s="839">
        <v>39542</v>
      </c>
      <c r="L28" s="656" t="s">
        <v>882</v>
      </c>
      <c r="M28" s="656">
        <v>2000</v>
      </c>
      <c r="N28" s="656">
        <v>9000</v>
      </c>
      <c r="O28" s="656">
        <v>12857.142857142857</v>
      </c>
      <c r="P28" s="656">
        <v>25714.285714285717</v>
      </c>
      <c r="Q28" s="656">
        <v>0</v>
      </c>
      <c r="R28" s="656">
        <v>0</v>
      </c>
      <c r="S28" s="656">
        <v>0</v>
      </c>
      <c r="T28" s="656">
        <v>0</v>
      </c>
      <c r="U28" s="656">
        <v>0</v>
      </c>
      <c r="V28" s="656">
        <v>0</v>
      </c>
      <c r="W28" s="656"/>
      <c r="X28" s="656">
        <v>10</v>
      </c>
      <c r="Y28" s="656" t="s">
        <v>112</v>
      </c>
      <c r="Z28" s="658" t="s">
        <v>112</v>
      </c>
    </row>
    <row r="29" spans="1:26" s="610" customFormat="1" ht="25.5">
      <c r="A29" s="609"/>
      <c r="B29" s="840">
        <v>44049</v>
      </c>
      <c r="C29" s="840">
        <v>9850</v>
      </c>
      <c r="D29" s="657" t="s">
        <v>886</v>
      </c>
      <c r="E29" s="656" t="s">
        <v>887</v>
      </c>
      <c r="F29" s="656" t="s">
        <v>888</v>
      </c>
      <c r="G29" s="656" t="s">
        <v>880</v>
      </c>
      <c r="H29" s="656" t="s">
        <v>881</v>
      </c>
      <c r="I29" s="656" t="s">
        <v>887</v>
      </c>
      <c r="J29" s="839">
        <v>39898</v>
      </c>
      <c r="K29" s="839">
        <v>39708</v>
      </c>
      <c r="L29" s="656" t="s">
        <v>882</v>
      </c>
      <c r="M29" s="656">
        <v>800</v>
      </c>
      <c r="N29" s="656">
        <v>3600</v>
      </c>
      <c r="O29" s="656">
        <v>5142.8571428571431</v>
      </c>
      <c r="P29" s="656">
        <v>10285.714285714286</v>
      </c>
      <c r="Q29" s="656">
        <v>0</v>
      </c>
      <c r="R29" s="656">
        <v>0</v>
      </c>
      <c r="S29" s="656">
        <v>0</v>
      </c>
      <c r="T29" s="656">
        <v>0</v>
      </c>
      <c r="U29" s="656">
        <v>0</v>
      </c>
      <c r="V29" s="656">
        <v>0</v>
      </c>
      <c r="W29" s="656"/>
      <c r="X29" s="656">
        <v>10</v>
      </c>
      <c r="Y29" s="656" t="s">
        <v>112</v>
      </c>
      <c r="Z29" s="658" t="s">
        <v>112</v>
      </c>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4800</v>
      </c>
      <c r="N57" s="614">
        <f>SUM(N27:N56)</f>
        <v>21600</v>
      </c>
      <c r="O57" s="614">
        <f t="shared" ref="O57:W57" si="2">SUM(O27:O56)</f>
        <v>30857.142857142855</v>
      </c>
      <c r="P57" s="614">
        <f t="shared" si="2"/>
        <v>61714.285714285725</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4800</v>
      </c>
      <c r="N60" s="619">
        <f t="shared" ref="N60:W60" si="4">SUMIF($Z$27:$Z$56,"landbouw",N27:N56)</f>
        <v>21600</v>
      </c>
      <c r="O60" s="619">
        <f t="shared" si="4"/>
        <v>30857.142857142855</v>
      </c>
      <c r="P60" s="619">
        <f t="shared" si="4"/>
        <v>61714.285714285725</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0.58823529411764708</v>
      </c>
      <c r="C97" s="639">
        <f>IF(ISERROR(N57/(O57+N57)),0,N57/(N57+O57))</f>
        <v>0.41176470588235298</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25411.76470588236</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36302.521008403368</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842</v>
      </c>
      <c r="B10" s="986" t="s">
        <v>845</v>
      </c>
      <c r="C10" s="982" t="s">
        <v>844</v>
      </c>
      <c r="D10" s="982" t="s">
        <v>843</v>
      </c>
      <c r="E10" s="984" t="s">
        <v>841</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858</v>
      </c>
      <c r="G15" s="353" t="s">
        <v>859</v>
      </c>
      <c r="H15" s="354" t="s">
        <v>860</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850</v>
      </c>
      <c r="C18" s="350" t="s">
        <v>854</v>
      </c>
      <c r="D18" s="359" t="s">
        <v>855</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850</v>
      </c>
      <c r="C23" s="355" t="s">
        <v>418</v>
      </c>
      <c r="D23" s="355" t="s">
        <v>851</v>
      </c>
      <c r="E23" s="352" t="s">
        <v>433</v>
      </c>
      <c r="F23" s="353" t="s">
        <v>861</v>
      </c>
      <c r="G23" s="353" t="s">
        <v>862</v>
      </c>
      <c r="H23" s="354" t="s">
        <v>863</v>
      </c>
    </row>
    <row r="24" spans="1:9" s="955" customFormat="1">
      <c r="A24" s="355" t="s">
        <v>418</v>
      </c>
      <c r="B24" s="351" t="s">
        <v>852</v>
      </c>
      <c r="C24" s="355" t="s">
        <v>418</v>
      </c>
      <c r="D24" s="355" t="s">
        <v>853</v>
      </c>
      <c r="E24" s="352"/>
      <c r="F24" s="353" t="s">
        <v>864</v>
      </c>
      <c r="G24" s="353" t="s">
        <v>865</v>
      </c>
      <c r="H24" s="354" t="s">
        <v>866</v>
      </c>
    </row>
    <row r="25" spans="1:9">
      <c r="A25" s="350" t="s">
        <v>416</v>
      </c>
      <c r="B25" s="351" t="s">
        <v>676</v>
      </c>
      <c r="C25" s="350" t="s">
        <v>416</v>
      </c>
      <c r="D25" s="359" t="s">
        <v>677</v>
      </c>
      <c r="E25" s="352" t="s">
        <v>433</v>
      </c>
      <c r="F25" s="353" t="s">
        <v>867</v>
      </c>
      <c r="G25" s="353" t="s">
        <v>868</v>
      </c>
      <c r="H25" s="354" t="s">
        <v>869</v>
      </c>
    </row>
    <row r="26" spans="1:9" s="955" customFormat="1">
      <c r="A26" s="355" t="s">
        <v>416</v>
      </c>
      <c r="B26" s="351" t="s">
        <v>676</v>
      </c>
      <c r="C26" s="355" t="s">
        <v>416</v>
      </c>
      <c r="D26" s="355" t="s">
        <v>856</v>
      </c>
      <c r="E26" s="352" t="s">
        <v>857</v>
      </c>
      <c r="F26" s="353" t="s">
        <v>867</v>
      </c>
      <c r="G26" s="353" t="s">
        <v>868</v>
      </c>
      <c r="H26" s="354" t="s">
        <v>869</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1"/>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847</v>
      </c>
      <c r="D34" s="960" t="s">
        <v>791</v>
      </c>
    </row>
    <row r="35" spans="1:4">
      <c r="A35" s="955" t="s">
        <v>790</v>
      </c>
      <c r="B35" s="819">
        <v>42877</v>
      </c>
      <c r="C35" s="955" t="s">
        <v>848</v>
      </c>
      <c r="D35" s="961" t="s">
        <v>792</v>
      </c>
    </row>
    <row r="36" spans="1:4">
      <c r="A36" s="955" t="s">
        <v>790</v>
      </c>
      <c r="B36" s="819">
        <v>42877</v>
      </c>
      <c r="C36" s="955" t="s">
        <v>849</v>
      </c>
      <c r="D36" s="961" t="s">
        <v>793</v>
      </c>
    </row>
    <row r="37" spans="1:4">
      <c r="A37" t="s">
        <v>831</v>
      </c>
      <c r="B37" s="819">
        <v>43166</v>
      </c>
      <c r="C37" s="964" t="s">
        <v>832</v>
      </c>
      <c r="D37" s="961" t="s">
        <v>833</v>
      </c>
    </row>
    <row r="38" spans="1:4">
      <c r="A38" t="s">
        <v>831</v>
      </c>
      <c r="B38" s="819">
        <v>43166</v>
      </c>
      <c r="C38" s="964" t="s">
        <v>834</v>
      </c>
      <c r="D38" s="960" t="s">
        <v>835</v>
      </c>
    </row>
    <row r="39" spans="1:4">
      <c r="A39" t="s">
        <v>831</v>
      </c>
      <c r="B39" s="819">
        <v>43166</v>
      </c>
      <c r="C39" s="964" t="s">
        <v>836</v>
      </c>
      <c r="D39" s="960" t="s">
        <v>837</v>
      </c>
    </row>
    <row r="40" spans="1:4">
      <c r="A40" t="s">
        <v>831</v>
      </c>
      <c r="B40" s="819">
        <v>43166</v>
      </c>
      <c r="C40" s="964" t="s">
        <v>838</v>
      </c>
      <c r="D40" s="960" t="s">
        <v>839</v>
      </c>
    </row>
    <row r="41" spans="1:4">
      <c r="A41" t="s">
        <v>831</v>
      </c>
      <c r="B41" s="819">
        <v>43278</v>
      </c>
      <c r="C41"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03" t="s">
        <v>221</v>
      </c>
      <c r="B2" s="1003"/>
      <c r="C2" s="1003"/>
      <c r="D2" s="60"/>
      <c r="E2" s="60"/>
      <c r="F2" s="60"/>
      <c r="G2" s="60"/>
      <c r="H2" s="61"/>
      <c r="I2" s="61"/>
      <c r="J2" s="62"/>
      <c r="K2" s="62"/>
      <c r="L2" s="61"/>
      <c r="M2" s="61"/>
      <c r="N2" s="61"/>
      <c r="O2" s="61"/>
      <c r="P2" s="61"/>
      <c r="Q2" s="61"/>
      <c r="R2" s="61"/>
    </row>
    <row r="3" spans="1:19">
      <c r="A3" s="1004"/>
      <c r="B3" s="1004"/>
      <c r="C3" s="1004"/>
      <c r="D3" s="1004"/>
      <c r="E3" s="1004"/>
      <c r="F3" s="1004"/>
      <c r="G3" s="1004"/>
      <c r="H3" s="1004"/>
      <c r="I3" s="1004"/>
      <c r="J3" s="1004"/>
      <c r="K3" s="1004"/>
      <c r="L3" s="1004"/>
      <c r="M3" s="1004"/>
      <c r="N3" s="1004"/>
      <c r="O3" s="1004"/>
      <c r="P3" s="1004"/>
      <c r="Q3" s="1004"/>
      <c r="R3" s="1004"/>
    </row>
    <row r="4" spans="1:19" ht="15.75" thickBot="1">
      <c r="A4" s="457"/>
      <c r="B4" s="457"/>
      <c r="C4" s="64"/>
      <c r="D4" s="64"/>
      <c r="E4" s="64"/>
      <c r="F4" s="64"/>
      <c r="G4" s="64"/>
      <c r="H4" s="64"/>
      <c r="I4" s="64"/>
      <c r="J4" s="64"/>
      <c r="K4" s="64"/>
      <c r="L4" s="64"/>
      <c r="M4" s="64"/>
      <c r="N4" s="64"/>
      <c r="O4" s="64"/>
      <c r="P4" s="64"/>
      <c r="Q4" s="64"/>
      <c r="R4" s="64"/>
    </row>
    <row r="5" spans="1:19" ht="16.5" thickBot="1">
      <c r="A5" s="1005" t="s">
        <v>222</v>
      </c>
      <c r="B5" s="849"/>
      <c r="C5" s="1008" t="s">
        <v>343</v>
      </c>
      <c r="D5" s="1009"/>
      <c r="E5" s="1009"/>
      <c r="F5" s="1009"/>
      <c r="G5" s="1009"/>
      <c r="H5" s="1009"/>
      <c r="I5" s="1009"/>
      <c r="J5" s="1009"/>
      <c r="K5" s="1009"/>
      <c r="L5" s="1009"/>
      <c r="M5" s="1009"/>
      <c r="N5" s="1009"/>
      <c r="O5" s="1009"/>
      <c r="P5" s="1009"/>
      <c r="Q5" s="1009"/>
      <c r="R5" s="1010"/>
    </row>
    <row r="6" spans="1:19" ht="16.5" thickTop="1">
      <c r="A6" s="1006"/>
      <c r="B6" s="850"/>
      <c r="C6" s="1011" t="s">
        <v>21</v>
      </c>
      <c r="D6" s="1013" t="s">
        <v>196</v>
      </c>
      <c r="E6" s="1015" t="s">
        <v>197</v>
      </c>
      <c r="F6" s="1016"/>
      <c r="G6" s="1016"/>
      <c r="H6" s="1016"/>
      <c r="I6" s="1016"/>
      <c r="J6" s="1016"/>
      <c r="K6" s="1016"/>
      <c r="L6" s="1017"/>
      <c r="M6" s="1015" t="s">
        <v>198</v>
      </c>
      <c r="N6" s="1016"/>
      <c r="O6" s="1016"/>
      <c r="P6" s="1016"/>
      <c r="Q6" s="1016"/>
      <c r="R6" s="1018" t="s">
        <v>116</v>
      </c>
    </row>
    <row r="7" spans="1:19" ht="45.75" thickBot="1">
      <c r="A7" s="1007"/>
      <c r="B7" s="851"/>
      <c r="C7" s="1012"/>
      <c r="D7" s="1014"/>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19"/>
    </row>
    <row r="8" spans="1:19" ht="18.75" customHeight="1" thickTop="1">
      <c r="A8" s="858" t="s">
        <v>344</v>
      </c>
      <c r="B8" s="863"/>
      <c r="C8" s="1020"/>
      <c r="D8" s="1020"/>
      <c r="E8" s="1020"/>
      <c r="F8" s="1020"/>
      <c r="G8" s="1020"/>
      <c r="H8" s="1020"/>
      <c r="I8" s="1020"/>
      <c r="J8" s="1020"/>
      <c r="K8" s="1020"/>
      <c r="L8" s="1020"/>
      <c r="M8" s="1020"/>
      <c r="N8" s="1020"/>
      <c r="O8" s="1020"/>
      <c r="P8" s="1020"/>
      <c r="Q8" s="1020"/>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13543.861720390159</v>
      </c>
      <c r="D10" s="703">
        <f ca="1">tertiair!C16</f>
        <v>0</v>
      </c>
      <c r="E10" s="703">
        <f ca="1">tertiair!D16</f>
        <v>18604.83481867415</v>
      </c>
      <c r="F10" s="703">
        <f>tertiair!E16</f>
        <v>86.837898037481068</v>
      </c>
      <c r="G10" s="703">
        <f ca="1">tertiair!F16</f>
        <v>2283.6884486453691</v>
      </c>
      <c r="H10" s="703">
        <f>tertiair!G16</f>
        <v>0</v>
      </c>
      <c r="I10" s="703">
        <f>tertiair!H16</f>
        <v>0</v>
      </c>
      <c r="J10" s="703">
        <f>tertiair!I16</f>
        <v>0</v>
      </c>
      <c r="K10" s="703">
        <f>tertiair!J16</f>
        <v>0</v>
      </c>
      <c r="L10" s="703">
        <f>tertiair!K16</f>
        <v>0</v>
      </c>
      <c r="M10" s="703">
        <f ca="1">tertiair!L16</f>
        <v>0</v>
      </c>
      <c r="N10" s="703">
        <f>tertiair!M16</f>
        <v>0</v>
      </c>
      <c r="O10" s="703">
        <f ca="1">tertiair!N16</f>
        <v>848.2725987635572</v>
      </c>
      <c r="P10" s="703">
        <f>tertiair!O16</f>
        <v>4.6900000000000004</v>
      </c>
      <c r="Q10" s="704">
        <f>tertiair!P16</f>
        <v>0</v>
      </c>
      <c r="R10" s="706">
        <f ca="1">SUM(C10:Q10)</f>
        <v>35372.185484510715</v>
      </c>
      <c r="S10" s="68"/>
    </row>
    <row r="11" spans="1:19" s="458" customFormat="1">
      <c r="A11" s="859" t="s">
        <v>225</v>
      </c>
      <c r="B11" s="864"/>
      <c r="C11" s="703">
        <f>huishoudens!B8</f>
        <v>26175.04856161831</v>
      </c>
      <c r="D11" s="703">
        <f>huishoudens!C8</f>
        <v>0</v>
      </c>
      <c r="E11" s="703">
        <f>huishoudens!D8</f>
        <v>28477.881798989758</v>
      </c>
      <c r="F11" s="703">
        <f>huishoudens!E8</f>
        <v>7232.1377848807879</v>
      </c>
      <c r="G11" s="703">
        <f>huishoudens!F8</f>
        <v>24370.861143985941</v>
      </c>
      <c r="H11" s="703">
        <f>huishoudens!G8</f>
        <v>0</v>
      </c>
      <c r="I11" s="703">
        <f>huishoudens!H8</f>
        <v>0</v>
      </c>
      <c r="J11" s="703">
        <f>huishoudens!I8</f>
        <v>0</v>
      </c>
      <c r="K11" s="703">
        <f>huishoudens!J8</f>
        <v>2694.9694073569617</v>
      </c>
      <c r="L11" s="703">
        <f>huishoudens!K8</f>
        <v>0</v>
      </c>
      <c r="M11" s="703">
        <f>huishoudens!L8</f>
        <v>0</v>
      </c>
      <c r="N11" s="703">
        <f>huishoudens!M8</f>
        <v>0</v>
      </c>
      <c r="O11" s="703">
        <f>huishoudens!N8</f>
        <v>15914.467862645288</v>
      </c>
      <c r="P11" s="703">
        <f>huishoudens!O8</f>
        <v>118.81333333333333</v>
      </c>
      <c r="Q11" s="704">
        <f>huishoudens!P8</f>
        <v>381.33333333333337</v>
      </c>
      <c r="R11" s="706">
        <f>SUM(C11:Q11)</f>
        <v>105365.5132261437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3538.3023259240335</v>
      </c>
      <c r="D13" s="703">
        <f>industrie!C18</f>
        <v>0</v>
      </c>
      <c r="E13" s="703">
        <f>industrie!D18</f>
        <v>2694.0923086976718</v>
      </c>
      <c r="F13" s="703">
        <f>industrie!E18</f>
        <v>28.976489211638075</v>
      </c>
      <c r="G13" s="703">
        <f>industrie!F18</f>
        <v>1280.6456454249651</v>
      </c>
      <c r="H13" s="703">
        <f>industrie!G18</f>
        <v>0</v>
      </c>
      <c r="I13" s="703">
        <f>industrie!H18</f>
        <v>0</v>
      </c>
      <c r="J13" s="703">
        <f>industrie!I18</f>
        <v>0</v>
      </c>
      <c r="K13" s="703">
        <f>industrie!J18</f>
        <v>8.9690620011246622</v>
      </c>
      <c r="L13" s="703">
        <f>industrie!K18</f>
        <v>0</v>
      </c>
      <c r="M13" s="703">
        <f>industrie!L18</f>
        <v>0</v>
      </c>
      <c r="N13" s="703">
        <f>industrie!M18</f>
        <v>0</v>
      </c>
      <c r="O13" s="703">
        <f>industrie!N18</f>
        <v>142.94978189805138</v>
      </c>
      <c r="P13" s="703">
        <f>industrie!O18</f>
        <v>0</v>
      </c>
      <c r="Q13" s="704">
        <f>industrie!P18</f>
        <v>0</v>
      </c>
      <c r="R13" s="706">
        <f>SUM(C13:Q13)</f>
        <v>7693.935613157485</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43257.212607932503</v>
      </c>
      <c r="D15" s="708">
        <f t="shared" ref="D15:Q15" ca="1" si="0">SUM(D9:D14)</f>
        <v>0</v>
      </c>
      <c r="E15" s="708">
        <f t="shared" ca="1" si="0"/>
        <v>49776.808926361577</v>
      </c>
      <c r="F15" s="708">
        <f t="shared" si="0"/>
        <v>7347.952172129907</v>
      </c>
      <c r="G15" s="708">
        <f t="shared" ca="1" si="0"/>
        <v>27935.195238056273</v>
      </c>
      <c r="H15" s="708">
        <f t="shared" si="0"/>
        <v>0</v>
      </c>
      <c r="I15" s="708">
        <f t="shared" si="0"/>
        <v>0</v>
      </c>
      <c r="J15" s="708">
        <f t="shared" si="0"/>
        <v>0</v>
      </c>
      <c r="K15" s="708">
        <f t="shared" si="0"/>
        <v>2703.9384693580864</v>
      </c>
      <c r="L15" s="708">
        <f t="shared" si="0"/>
        <v>0</v>
      </c>
      <c r="M15" s="708">
        <f t="shared" ca="1" si="0"/>
        <v>0</v>
      </c>
      <c r="N15" s="708">
        <f t="shared" si="0"/>
        <v>0</v>
      </c>
      <c r="O15" s="708">
        <f t="shared" ca="1" si="0"/>
        <v>16905.690243306897</v>
      </c>
      <c r="P15" s="708">
        <f t="shared" si="0"/>
        <v>123.50333333333333</v>
      </c>
      <c r="Q15" s="709">
        <f t="shared" si="0"/>
        <v>381.33333333333337</v>
      </c>
      <c r="R15" s="710">
        <f ca="1">SUM(R9:R14)</f>
        <v>148431.63432381189</v>
      </c>
      <c r="S15" s="68"/>
    </row>
    <row r="16" spans="1:19" s="458" customFormat="1" ht="15.75">
      <c r="A16" s="861" t="s">
        <v>227</v>
      </c>
      <c r="B16" s="753"/>
      <c r="C16" s="1021"/>
      <c r="D16" s="1021"/>
      <c r="E16" s="1021"/>
      <c r="F16" s="1021"/>
      <c r="G16" s="1021"/>
      <c r="H16" s="1021"/>
      <c r="I16" s="1021"/>
      <c r="J16" s="1021"/>
      <c r="K16" s="1021"/>
      <c r="L16" s="1021"/>
      <c r="M16" s="1021"/>
      <c r="N16" s="1021"/>
      <c r="O16" s="1021"/>
      <c r="P16" s="1021"/>
      <c r="Q16" s="1021"/>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359.93709029152888</v>
      </c>
      <c r="I18" s="703">
        <f>transport!H54</f>
        <v>0</v>
      </c>
      <c r="J18" s="703">
        <f>transport!I54</f>
        <v>0</v>
      </c>
      <c r="K18" s="703">
        <f>transport!J54</f>
        <v>0</v>
      </c>
      <c r="L18" s="703">
        <f>transport!K54</f>
        <v>0</v>
      </c>
      <c r="M18" s="703">
        <f>transport!L54</f>
        <v>0</v>
      </c>
      <c r="N18" s="703">
        <f>transport!M54</f>
        <v>15.805431388071391</v>
      </c>
      <c r="O18" s="703">
        <f>transport!N54</f>
        <v>0</v>
      </c>
      <c r="P18" s="703">
        <f>transport!O54</f>
        <v>0</v>
      </c>
      <c r="Q18" s="704">
        <f>transport!P54</f>
        <v>0</v>
      </c>
      <c r="R18" s="706">
        <f>SUM(C18:Q18)</f>
        <v>375.74252167960026</v>
      </c>
      <c r="S18" s="68"/>
    </row>
    <row r="19" spans="1:19" s="458" customFormat="1" ht="15" thickBot="1">
      <c r="A19" s="859" t="s">
        <v>307</v>
      </c>
      <c r="B19" s="864"/>
      <c r="C19" s="712">
        <f>transport!B14</f>
        <v>5.1070431078301199</v>
      </c>
      <c r="D19" s="712">
        <f>transport!C14</f>
        <v>0</v>
      </c>
      <c r="E19" s="712">
        <f>transport!D14</f>
        <v>14.303617146633826</v>
      </c>
      <c r="F19" s="712">
        <f>transport!E14</f>
        <v>975.04454692642446</v>
      </c>
      <c r="G19" s="712">
        <f>transport!F14</f>
        <v>0</v>
      </c>
      <c r="H19" s="712">
        <f>transport!G14</f>
        <v>221338.59407563426</v>
      </c>
      <c r="I19" s="712">
        <f>transport!H14</f>
        <v>33059.197588851202</v>
      </c>
      <c r="J19" s="712">
        <f>transport!I14</f>
        <v>0</v>
      </c>
      <c r="K19" s="712">
        <f>transport!J14</f>
        <v>0</v>
      </c>
      <c r="L19" s="712">
        <f>transport!K14</f>
        <v>0</v>
      </c>
      <c r="M19" s="712">
        <f>transport!L14</f>
        <v>0</v>
      </c>
      <c r="N19" s="712">
        <f>transport!M14</f>
        <v>11368.545873256551</v>
      </c>
      <c r="O19" s="712">
        <f>transport!N14</f>
        <v>0</v>
      </c>
      <c r="P19" s="712">
        <f>transport!O14</f>
        <v>0</v>
      </c>
      <c r="Q19" s="713">
        <f>transport!P14</f>
        <v>0</v>
      </c>
      <c r="R19" s="714">
        <f>SUM(C19:Q19)</f>
        <v>266760.79274492292</v>
      </c>
      <c r="S19" s="68"/>
    </row>
    <row r="20" spans="1:19" s="458" customFormat="1" ht="15.75" thickBot="1">
      <c r="A20" s="715" t="s">
        <v>230</v>
      </c>
      <c r="B20" s="867"/>
      <c r="C20" s="862">
        <f>SUM(C17:C19)</f>
        <v>5.1070431078301199</v>
      </c>
      <c r="D20" s="716">
        <f t="shared" ref="D20:R20" si="1">SUM(D17:D19)</f>
        <v>0</v>
      </c>
      <c r="E20" s="716">
        <f t="shared" si="1"/>
        <v>14.303617146633826</v>
      </c>
      <c r="F20" s="716">
        <f t="shared" si="1"/>
        <v>975.04454692642446</v>
      </c>
      <c r="G20" s="716">
        <f t="shared" si="1"/>
        <v>0</v>
      </c>
      <c r="H20" s="716">
        <f t="shared" si="1"/>
        <v>221698.53116592579</v>
      </c>
      <c r="I20" s="716">
        <f t="shared" si="1"/>
        <v>33059.197588851202</v>
      </c>
      <c r="J20" s="716">
        <f t="shared" si="1"/>
        <v>0</v>
      </c>
      <c r="K20" s="716">
        <f t="shared" si="1"/>
        <v>0</v>
      </c>
      <c r="L20" s="716">
        <f t="shared" si="1"/>
        <v>0</v>
      </c>
      <c r="M20" s="716">
        <f t="shared" si="1"/>
        <v>0</v>
      </c>
      <c r="N20" s="716">
        <f t="shared" si="1"/>
        <v>11384.351304644622</v>
      </c>
      <c r="O20" s="716">
        <f t="shared" si="1"/>
        <v>0</v>
      </c>
      <c r="P20" s="716">
        <f t="shared" si="1"/>
        <v>0</v>
      </c>
      <c r="Q20" s="717">
        <f t="shared" si="1"/>
        <v>0</v>
      </c>
      <c r="R20" s="718">
        <f t="shared" si="1"/>
        <v>267136.53526660253</v>
      </c>
      <c r="S20" s="68"/>
    </row>
    <row r="21" spans="1:19" s="458" customFormat="1" ht="15.75">
      <c r="A21" s="861" t="s">
        <v>237</v>
      </c>
      <c r="B21" s="753"/>
      <c r="C21" s="1021"/>
      <c r="D21" s="1021"/>
      <c r="E21" s="1021"/>
      <c r="F21" s="1021"/>
      <c r="G21" s="1021"/>
      <c r="H21" s="1021"/>
      <c r="I21" s="1021"/>
      <c r="J21" s="1021"/>
      <c r="K21" s="1021"/>
      <c r="L21" s="1021"/>
      <c r="M21" s="1021"/>
      <c r="N21" s="1021"/>
      <c r="O21" s="1021"/>
      <c r="P21" s="1021"/>
      <c r="Q21" s="1021"/>
      <c r="R21" s="711"/>
      <c r="S21" s="68"/>
    </row>
    <row r="22" spans="1:19" s="458" customFormat="1" ht="15" thickBot="1">
      <c r="A22" s="859" t="s">
        <v>678</v>
      </c>
      <c r="B22" s="868"/>
      <c r="C22" s="712">
        <f>+landbouw!B8</f>
        <v>4376.5316311565521</v>
      </c>
      <c r="D22" s="712">
        <f>+landbouw!C8</f>
        <v>30857.142857142855</v>
      </c>
      <c r="E22" s="712">
        <f>+landbouw!D8</f>
        <v>8152.2224245346879</v>
      </c>
      <c r="F22" s="712">
        <f>+landbouw!E8</f>
        <v>41.229860337878492</v>
      </c>
      <c r="G22" s="712">
        <f>+landbouw!F8</f>
        <v>14282.075155753901</v>
      </c>
      <c r="H22" s="712">
        <f>+landbouw!G8</f>
        <v>0</v>
      </c>
      <c r="I22" s="712">
        <f>+landbouw!H8</f>
        <v>0</v>
      </c>
      <c r="J22" s="712">
        <f>+landbouw!I8</f>
        <v>0</v>
      </c>
      <c r="K22" s="712">
        <f>+landbouw!J8</f>
        <v>541.39825021983029</v>
      </c>
      <c r="L22" s="712">
        <f>+landbouw!K8</f>
        <v>0</v>
      </c>
      <c r="M22" s="712">
        <f>+landbouw!L8</f>
        <v>0</v>
      </c>
      <c r="N22" s="712">
        <f>+landbouw!M8</f>
        <v>0</v>
      </c>
      <c r="O22" s="712">
        <f>+landbouw!N8</f>
        <v>0</v>
      </c>
      <c r="P22" s="712">
        <f>+landbouw!O8</f>
        <v>0</v>
      </c>
      <c r="Q22" s="713">
        <f>+landbouw!P8</f>
        <v>0</v>
      </c>
      <c r="R22" s="714">
        <f>SUM(C22:Q22)</f>
        <v>58250.600179145702</v>
      </c>
      <c r="S22" s="68"/>
    </row>
    <row r="23" spans="1:19" s="458" customFormat="1" ht="17.25" thickTop="1" thickBot="1">
      <c r="A23" s="719" t="s">
        <v>116</v>
      </c>
      <c r="B23" s="853"/>
      <c r="C23" s="720">
        <f ca="1">C20+C15+C22</f>
        <v>47638.851282196891</v>
      </c>
      <c r="D23" s="720">
        <f t="shared" ref="D23:Q23" ca="1" si="2">D20+D15+D22</f>
        <v>30857.142857142855</v>
      </c>
      <c r="E23" s="720">
        <f t="shared" ca="1" si="2"/>
        <v>57943.334968042902</v>
      </c>
      <c r="F23" s="720">
        <f t="shared" si="2"/>
        <v>8364.2265793942097</v>
      </c>
      <c r="G23" s="720">
        <f t="shared" ca="1" si="2"/>
        <v>42217.270393810177</v>
      </c>
      <c r="H23" s="720">
        <f t="shared" si="2"/>
        <v>221698.53116592579</v>
      </c>
      <c r="I23" s="720">
        <f t="shared" si="2"/>
        <v>33059.197588851202</v>
      </c>
      <c r="J23" s="720">
        <f t="shared" si="2"/>
        <v>0</v>
      </c>
      <c r="K23" s="720">
        <f t="shared" si="2"/>
        <v>3245.3367195779165</v>
      </c>
      <c r="L23" s="720">
        <f t="shared" si="2"/>
        <v>0</v>
      </c>
      <c r="M23" s="720">
        <f t="shared" ca="1" si="2"/>
        <v>0</v>
      </c>
      <c r="N23" s="720">
        <f t="shared" si="2"/>
        <v>11384.351304644622</v>
      </c>
      <c r="O23" s="720">
        <f t="shared" ca="1" si="2"/>
        <v>16905.690243306897</v>
      </c>
      <c r="P23" s="720">
        <f t="shared" si="2"/>
        <v>123.50333333333333</v>
      </c>
      <c r="Q23" s="721">
        <f t="shared" si="2"/>
        <v>381.33333333333337</v>
      </c>
      <c r="R23" s="722">
        <f ca="1">R20+R15+R22</f>
        <v>473818.76976956008</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22"/>
      <c r="B27" s="1022"/>
      <c r="C27" s="1022"/>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23"/>
      <c r="B29" s="1023"/>
      <c r="C29" s="1023"/>
      <c r="D29" s="1023"/>
      <c r="E29" s="1023"/>
      <c r="F29" s="1023"/>
      <c r="G29" s="1023"/>
      <c r="H29" s="1023"/>
      <c r="I29" s="1023"/>
      <c r="J29" s="1023"/>
      <c r="K29" s="1023"/>
      <c r="L29" s="1023"/>
      <c r="M29" s="1023"/>
      <c r="N29" s="1023"/>
      <c r="O29" s="1023"/>
      <c r="P29" s="1023"/>
      <c r="Q29" s="1023"/>
      <c r="R29" s="1023"/>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24"/>
      <c r="B31" s="871"/>
      <c r="C31" s="1026" t="s">
        <v>347</v>
      </c>
      <c r="D31" s="1027"/>
      <c r="E31" s="1027"/>
      <c r="F31" s="1027"/>
      <c r="G31" s="1027"/>
      <c r="H31" s="1027"/>
      <c r="I31" s="1027"/>
      <c r="J31" s="1027"/>
      <c r="K31" s="1027"/>
      <c r="L31" s="1027"/>
      <c r="M31" s="1027"/>
      <c r="N31" s="1027"/>
      <c r="O31" s="1027"/>
      <c r="P31" s="1027"/>
      <c r="Q31" s="1027"/>
      <c r="R31" s="1028"/>
    </row>
    <row r="32" spans="1:19" ht="16.5" thickTop="1">
      <c r="A32" s="1025"/>
      <c r="B32" s="872"/>
      <c r="C32" s="1029" t="s">
        <v>21</v>
      </c>
      <c r="D32" s="1031" t="s">
        <v>232</v>
      </c>
      <c r="E32" s="1033" t="s">
        <v>197</v>
      </c>
      <c r="F32" s="1034"/>
      <c r="G32" s="1034"/>
      <c r="H32" s="1034"/>
      <c r="I32" s="1034"/>
      <c r="J32" s="1034"/>
      <c r="K32" s="1034"/>
      <c r="L32" s="1035"/>
      <c r="M32" s="1033" t="s">
        <v>198</v>
      </c>
      <c r="N32" s="1034"/>
      <c r="O32" s="1034"/>
      <c r="P32" s="1034"/>
      <c r="Q32" s="1034"/>
      <c r="R32" s="1036" t="s">
        <v>116</v>
      </c>
    </row>
    <row r="33" spans="1:18" ht="45.75" thickBot="1">
      <c r="A33" s="1025"/>
      <c r="B33" s="872"/>
      <c r="C33" s="1030"/>
      <c r="D33" s="1032"/>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37"/>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2917.1035258952052</v>
      </c>
      <c r="D36" s="703">
        <f ca="1">tertiair!C20</f>
        <v>0</v>
      </c>
      <c r="E36" s="703">
        <f ca="1">tertiair!D20</f>
        <v>3758.1766333721785</v>
      </c>
      <c r="F36" s="703">
        <f>tertiair!E20</f>
        <v>19.712202854508202</v>
      </c>
      <c r="G36" s="703">
        <f ca="1">tertiair!F20</f>
        <v>609.74481578831364</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7304.7371779102059</v>
      </c>
    </row>
    <row r="37" spans="1:18">
      <c r="A37" s="874" t="s">
        <v>225</v>
      </c>
      <c r="B37" s="881"/>
      <c r="C37" s="703">
        <f ca="1">huishoudens!B12</f>
        <v>5637.6333446038325</v>
      </c>
      <c r="D37" s="703">
        <f ca="1">huishoudens!C12</f>
        <v>0</v>
      </c>
      <c r="E37" s="703">
        <f>huishoudens!D12</f>
        <v>5752.5321233959312</v>
      </c>
      <c r="F37" s="703">
        <f>huishoudens!E12</f>
        <v>1641.6952771679389</v>
      </c>
      <c r="G37" s="703">
        <f>huishoudens!F12</f>
        <v>6507.0199254442468</v>
      </c>
      <c r="H37" s="703">
        <f>huishoudens!G12</f>
        <v>0</v>
      </c>
      <c r="I37" s="703">
        <f>huishoudens!H12</f>
        <v>0</v>
      </c>
      <c r="J37" s="703">
        <f>huishoudens!I12</f>
        <v>0</v>
      </c>
      <c r="K37" s="703">
        <f>huishoudens!J12</f>
        <v>954.0191702043644</v>
      </c>
      <c r="L37" s="703">
        <f>huishoudens!K12</f>
        <v>0</v>
      </c>
      <c r="M37" s="703">
        <f>huishoudens!L12</f>
        <v>0</v>
      </c>
      <c r="N37" s="703">
        <f>huishoudens!M12</f>
        <v>0</v>
      </c>
      <c r="O37" s="703">
        <f>huishoudens!N12</f>
        <v>0</v>
      </c>
      <c r="P37" s="703">
        <f>huishoudens!O12</f>
        <v>0</v>
      </c>
      <c r="Q37" s="813">
        <f>huishoudens!P12</f>
        <v>0</v>
      </c>
      <c r="R37" s="906">
        <f ca="1">SUM(C37:Q37)</f>
        <v>20492.899840816313</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762.08650115624994</v>
      </c>
      <c r="D39" s="703">
        <f ca="1">industrie!C22</f>
        <v>0</v>
      </c>
      <c r="E39" s="703">
        <f>industrie!D22</f>
        <v>544.2066463569297</v>
      </c>
      <c r="F39" s="703">
        <f>industrie!E22</f>
        <v>6.577663051041843</v>
      </c>
      <c r="G39" s="703">
        <f>industrie!F22</f>
        <v>341.93238732846572</v>
      </c>
      <c r="H39" s="703">
        <f>industrie!G22</f>
        <v>0</v>
      </c>
      <c r="I39" s="703">
        <f>industrie!H22</f>
        <v>0</v>
      </c>
      <c r="J39" s="703">
        <f>industrie!I22</f>
        <v>0</v>
      </c>
      <c r="K39" s="703">
        <f>industrie!J22</f>
        <v>3.1750479483981304</v>
      </c>
      <c r="L39" s="703">
        <f>industrie!K22</f>
        <v>0</v>
      </c>
      <c r="M39" s="703">
        <f>industrie!L22</f>
        <v>0</v>
      </c>
      <c r="N39" s="703">
        <f>industrie!M22</f>
        <v>0</v>
      </c>
      <c r="O39" s="703">
        <f>industrie!N22</f>
        <v>0</v>
      </c>
      <c r="P39" s="703">
        <f>industrie!O22</f>
        <v>0</v>
      </c>
      <c r="Q39" s="813">
        <f>industrie!P22</f>
        <v>0</v>
      </c>
      <c r="R39" s="907">
        <f ca="1">SUM(C39:Q39)</f>
        <v>1657.978245841085</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9316.8233716552859</v>
      </c>
      <c r="D41" s="748">
        <f t="shared" ref="D41:R41" ca="1" si="4">SUM(D35:D40)</f>
        <v>0</v>
      </c>
      <c r="E41" s="748">
        <f t="shared" ca="1" si="4"/>
        <v>10054.91540312504</v>
      </c>
      <c r="F41" s="748">
        <f t="shared" si="4"/>
        <v>1667.9851430734889</v>
      </c>
      <c r="G41" s="748">
        <f t="shared" ca="1" si="4"/>
        <v>7458.6971285610261</v>
      </c>
      <c r="H41" s="748">
        <f t="shared" si="4"/>
        <v>0</v>
      </c>
      <c r="I41" s="748">
        <f t="shared" si="4"/>
        <v>0</v>
      </c>
      <c r="J41" s="748">
        <f t="shared" si="4"/>
        <v>0</v>
      </c>
      <c r="K41" s="748">
        <f t="shared" si="4"/>
        <v>957.19421815276257</v>
      </c>
      <c r="L41" s="748">
        <f t="shared" si="4"/>
        <v>0</v>
      </c>
      <c r="M41" s="748">
        <f t="shared" ca="1" si="4"/>
        <v>0</v>
      </c>
      <c r="N41" s="748">
        <f t="shared" si="4"/>
        <v>0</v>
      </c>
      <c r="O41" s="748">
        <f t="shared" ca="1" si="4"/>
        <v>0</v>
      </c>
      <c r="P41" s="748">
        <f t="shared" si="4"/>
        <v>0</v>
      </c>
      <c r="Q41" s="749">
        <f t="shared" si="4"/>
        <v>0</v>
      </c>
      <c r="R41" s="750">
        <f t="shared" ca="1" si="4"/>
        <v>29455.615264567605</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96.103203107838212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96.103203107838212</v>
      </c>
    </row>
    <row r="45" spans="1:18" ht="15" thickBot="1">
      <c r="A45" s="877" t="s">
        <v>307</v>
      </c>
      <c r="B45" s="887"/>
      <c r="C45" s="712">
        <f ca="1">transport!B18</f>
        <v>1.0999649704280123</v>
      </c>
      <c r="D45" s="712">
        <f>transport!C18</f>
        <v>0</v>
      </c>
      <c r="E45" s="712">
        <f>transport!D18</f>
        <v>2.8893306636200329</v>
      </c>
      <c r="F45" s="712">
        <f>transport!E18</f>
        <v>221.33511215229836</v>
      </c>
      <c r="G45" s="712">
        <f>transport!F18</f>
        <v>0</v>
      </c>
      <c r="H45" s="712">
        <f>transport!G18</f>
        <v>59097.404618194349</v>
      </c>
      <c r="I45" s="712">
        <f>transport!H18</f>
        <v>8231.7401996239496</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67554.46922560464</v>
      </c>
    </row>
    <row r="46" spans="1:18" ht="15.75" thickBot="1">
      <c r="A46" s="875" t="s">
        <v>230</v>
      </c>
      <c r="B46" s="888"/>
      <c r="C46" s="748">
        <f t="shared" ref="C46:R46" ca="1" si="5">SUM(C43:C45)</f>
        <v>1.0999649704280123</v>
      </c>
      <c r="D46" s="748">
        <f t="shared" ca="1" si="5"/>
        <v>0</v>
      </c>
      <c r="E46" s="748">
        <f t="shared" si="5"/>
        <v>2.8893306636200329</v>
      </c>
      <c r="F46" s="748">
        <f t="shared" si="5"/>
        <v>221.33511215229836</v>
      </c>
      <c r="G46" s="748">
        <f t="shared" si="5"/>
        <v>0</v>
      </c>
      <c r="H46" s="748">
        <f t="shared" si="5"/>
        <v>59193.507821302184</v>
      </c>
      <c r="I46" s="748">
        <f t="shared" si="5"/>
        <v>8231.7401996239496</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67650.572428712476</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942.6259744824755</v>
      </c>
      <c r="D48" s="703">
        <f ca="1">+landbouw!C12</f>
        <v>7333.1092436974805</v>
      </c>
      <c r="E48" s="703">
        <f>+landbouw!D12</f>
        <v>1646.7489297560071</v>
      </c>
      <c r="F48" s="703">
        <f>+landbouw!E12</f>
        <v>9.3591782966984187</v>
      </c>
      <c r="G48" s="703">
        <f>+landbouw!F12</f>
        <v>3813.3140665862916</v>
      </c>
      <c r="H48" s="703">
        <f>+landbouw!G12</f>
        <v>0</v>
      </c>
      <c r="I48" s="703">
        <f>+landbouw!H12</f>
        <v>0</v>
      </c>
      <c r="J48" s="703">
        <f>+landbouw!I12</f>
        <v>0</v>
      </c>
      <c r="K48" s="703">
        <f>+landbouw!J12</f>
        <v>191.65498057781991</v>
      </c>
      <c r="L48" s="703">
        <f>+landbouw!K12</f>
        <v>0</v>
      </c>
      <c r="M48" s="703">
        <f>+landbouw!L12</f>
        <v>0</v>
      </c>
      <c r="N48" s="703">
        <f>+landbouw!M12</f>
        <v>0</v>
      </c>
      <c r="O48" s="703">
        <f>+landbouw!N12</f>
        <v>0</v>
      </c>
      <c r="P48" s="703">
        <f>+landbouw!O12</f>
        <v>0</v>
      </c>
      <c r="Q48" s="704">
        <f>+landbouw!P12</f>
        <v>0</v>
      </c>
      <c r="R48" s="746">
        <f ca="1">SUM(C48:Q48)</f>
        <v>13936.812373396773</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47"/>
      <c r="D50" s="1048"/>
      <c r="E50" s="1048"/>
      <c r="F50" s="1048"/>
      <c r="G50" s="1048"/>
      <c r="H50" s="1048"/>
      <c r="I50" s="1048"/>
      <c r="J50" s="1048"/>
      <c r="K50" s="1048"/>
      <c r="L50" s="1048"/>
      <c r="M50" s="1048"/>
      <c r="N50" s="1048"/>
      <c r="O50" s="1048"/>
      <c r="P50" s="1048"/>
      <c r="Q50" s="1048"/>
      <c r="R50" s="755"/>
    </row>
    <row r="51" spans="1:18" ht="15">
      <c r="A51" s="879" t="s">
        <v>239</v>
      </c>
      <c r="B51" s="864"/>
      <c r="C51" s="1049"/>
      <c r="D51" s="1050"/>
      <c r="E51" s="1050"/>
      <c r="F51" s="1050"/>
      <c r="G51" s="1050"/>
      <c r="H51" s="1050"/>
      <c r="I51" s="1050"/>
      <c r="J51" s="1050"/>
      <c r="K51" s="1050"/>
      <c r="L51" s="1050"/>
      <c r="M51" s="1050"/>
      <c r="N51" s="1050"/>
      <c r="O51" s="1050"/>
      <c r="P51" s="1050"/>
      <c r="Q51" s="1050"/>
      <c r="R51" s="756"/>
    </row>
    <row r="52" spans="1:18" ht="15" thickBot="1">
      <c r="A52" s="891" t="s">
        <v>240</v>
      </c>
      <c r="B52" s="892"/>
      <c r="C52" s="1049"/>
      <c r="D52" s="1050"/>
      <c r="E52" s="1050"/>
      <c r="F52" s="1050"/>
      <c r="G52" s="1050"/>
      <c r="H52" s="1050"/>
      <c r="I52" s="1050"/>
      <c r="J52" s="1050"/>
      <c r="K52" s="1050"/>
      <c r="L52" s="1050"/>
      <c r="M52" s="1050"/>
      <c r="N52" s="1050"/>
      <c r="O52" s="1050"/>
      <c r="P52" s="1050"/>
      <c r="Q52" s="1050"/>
      <c r="R52" s="747"/>
    </row>
    <row r="53" spans="1:18" ht="16.5" thickBot="1">
      <c r="A53" s="895" t="s">
        <v>116</v>
      </c>
      <c r="B53" s="896"/>
      <c r="C53" s="757">
        <f ca="1">C41+C46+C48</f>
        <v>10260.549311108189</v>
      </c>
      <c r="D53" s="758">
        <f t="shared" ref="D53:Q53" ca="1" si="6">D41+D46+D48</f>
        <v>7333.1092436974805</v>
      </c>
      <c r="E53" s="758">
        <f t="shared" ca="1" si="6"/>
        <v>11704.553663544668</v>
      </c>
      <c r="F53" s="758">
        <f t="shared" si="6"/>
        <v>1898.6794335224856</v>
      </c>
      <c r="G53" s="758">
        <f t="shared" ca="1" si="6"/>
        <v>11272.011195147317</v>
      </c>
      <c r="H53" s="758">
        <f t="shared" si="6"/>
        <v>59193.507821302184</v>
      </c>
      <c r="I53" s="758">
        <f t="shared" si="6"/>
        <v>8231.7401996239496</v>
      </c>
      <c r="J53" s="758">
        <f t="shared" si="6"/>
        <v>0</v>
      </c>
      <c r="K53" s="758">
        <f t="shared" si="6"/>
        <v>1148.8491987305824</v>
      </c>
      <c r="L53" s="758">
        <f t="shared" si="6"/>
        <v>0</v>
      </c>
      <c r="M53" s="758">
        <f t="shared" ca="1" si="6"/>
        <v>0</v>
      </c>
      <c r="N53" s="758">
        <f t="shared" si="6"/>
        <v>0</v>
      </c>
      <c r="O53" s="758">
        <f t="shared" ca="1" si="6"/>
        <v>0</v>
      </c>
      <c r="P53" s="758">
        <f>P41+P46+P48</f>
        <v>0</v>
      </c>
      <c r="Q53" s="759">
        <f t="shared" si="6"/>
        <v>0</v>
      </c>
      <c r="R53" s="760">
        <f ca="1">R41+R46+R48</f>
        <v>111043.00006667685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0.21538196314449456</v>
      </c>
      <c r="D55" s="824">
        <f t="shared" ca="1" si="7"/>
        <v>0.23764705882352949</v>
      </c>
      <c r="E55" s="824">
        <f t="shared" ca="1" si="7"/>
        <v>0.20200000000000004</v>
      </c>
      <c r="F55" s="824">
        <f t="shared" si="7"/>
        <v>0.22700000000000001</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23"/>
      <c r="B59" s="1023"/>
      <c r="C59" s="1023"/>
      <c r="D59" s="1023"/>
      <c r="E59" s="1023"/>
      <c r="F59" s="1023"/>
      <c r="G59" s="1023"/>
      <c r="H59" s="1023"/>
      <c r="I59" s="1023"/>
      <c r="J59" s="1023"/>
      <c r="K59" s="1023"/>
      <c r="L59" s="1023"/>
      <c r="M59" s="1023"/>
      <c r="N59" s="1023"/>
      <c r="O59" s="1023"/>
      <c r="P59" s="1023"/>
      <c r="Q59" s="1023"/>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36" t="s">
        <v>241</v>
      </c>
      <c r="B61" s="1061" t="s">
        <v>351</v>
      </c>
      <c r="C61" s="1052"/>
      <c r="D61" s="1058" t="s">
        <v>352</v>
      </c>
      <c r="E61" s="1059"/>
      <c r="F61" s="1059"/>
      <c r="G61" s="1059"/>
      <c r="H61" s="1059"/>
      <c r="I61" s="1059"/>
      <c r="J61" s="1059"/>
      <c r="K61" s="1059"/>
      <c r="L61" s="1059"/>
      <c r="M61" s="1060"/>
      <c r="N61" s="1052" t="s">
        <v>693</v>
      </c>
      <c r="O61" s="1063" t="s">
        <v>692</v>
      </c>
      <c r="P61" s="1064"/>
      <c r="Q61" s="770"/>
      <c r="R61" s="727"/>
    </row>
    <row r="62" spans="1:18" ht="31.5" thickTop="1" thickBot="1">
      <c r="A62" s="1051"/>
      <c r="B62" s="1062"/>
      <c r="C62" s="1054"/>
      <c r="D62" s="1055" t="s">
        <v>197</v>
      </c>
      <c r="E62" s="1056"/>
      <c r="F62" s="1056"/>
      <c r="G62" s="1056"/>
      <c r="H62" s="1057"/>
      <c r="I62" s="771" t="s">
        <v>245</v>
      </c>
      <c r="J62" s="772" t="s">
        <v>246</v>
      </c>
      <c r="K62" s="772" t="s">
        <v>234</v>
      </c>
      <c r="L62" s="772" t="s">
        <v>247</v>
      </c>
      <c r="M62" s="1068" t="s">
        <v>127</v>
      </c>
      <c r="N62" s="1053"/>
      <c r="O62" s="915"/>
      <c r="P62" s="916"/>
      <c r="Q62" s="770"/>
      <c r="R62" s="727"/>
    </row>
    <row r="63" spans="1:18" ht="95.25" customHeight="1" thickTop="1" thickBot="1">
      <c r="A63" s="1037"/>
      <c r="B63" s="843" t="s">
        <v>573</v>
      </c>
      <c r="C63" s="843" t="s">
        <v>691</v>
      </c>
      <c r="D63" s="773" t="s">
        <v>199</v>
      </c>
      <c r="E63" s="774" t="s">
        <v>200</v>
      </c>
      <c r="F63" s="775" t="s">
        <v>201</v>
      </c>
      <c r="G63" s="776" t="s">
        <v>203</v>
      </c>
      <c r="H63" s="777" t="s">
        <v>204</v>
      </c>
      <c r="I63" s="778"/>
      <c r="J63" s="774"/>
      <c r="K63" s="774"/>
      <c r="L63" s="774"/>
      <c r="M63" s="1069"/>
      <c r="N63" s="1054"/>
      <c r="O63" s="846" t="s">
        <v>694</v>
      </c>
      <c r="P63" s="844" t="s">
        <v>695</v>
      </c>
      <c r="Q63" s="770"/>
      <c r="R63" s="727"/>
    </row>
    <row r="64" spans="1:18" ht="15.75" thickTop="1">
      <c r="A64" s="779" t="s">
        <v>249</v>
      </c>
      <c r="B64" s="897">
        <f>'lokale energieproductie'!B4</f>
        <v>0</v>
      </c>
      <c r="C64" s="780">
        <f>'lokale energieproductie'!B4</f>
        <v>0</v>
      </c>
      <c r="D64" s="1070"/>
      <c r="E64" s="1038"/>
      <c r="F64" s="1038"/>
      <c r="G64" s="1041"/>
      <c r="H64" s="1044"/>
      <c r="I64" s="781"/>
      <c r="J64" s="781"/>
      <c r="K64" s="781"/>
      <c r="L64" s="781"/>
      <c r="M64" s="1065"/>
      <c r="N64" s="910">
        <v>0</v>
      </c>
      <c r="O64" s="917"/>
      <c r="P64" s="910">
        <v>0</v>
      </c>
      <c r="Q64" s="770"/>
      <c r="R64" s="768"/>
    </row>
    <row r="65" spans="1:18" ht="15">
      <c r="A65" s="782" t="s">
        <v>250</v>
      </c>
      <c r="B65" s="779">
        <f>'lokale energieproductie'!B5</f>
        <v>0</v>
      </c>
      <c r="C65" s="780">
        <f>'lokale energieproductie'!B5</f>
        <v>0</v>
      </c>
      <c r="D65" s="1071"/>
      <c r="E65" s="1039"/>
      <c r="F65" s="1039"/>
      <c r="G65" s="1042"/>
      <c r="H65" s="1045"/>
      <c r="I65" s="783"/>
      <c r="J65" s="783"/>
      <c r="K65" s="783"/>
      <c r="L65" s="783"/>
      <c r="M65" s="1066"/>
      <c r="N65" s="911">
        <v>0</v>
      </c>
      <c r="O65" s="917"/>
      <c r="P65" s="911">
        <v>0</v>
      </c>
      <c r="Q65" s="770"/>
      <c r="R65" s="733"/>
    </row>
    <row r="66" spans="1:18" ht="15">
      <c r="A66" s="782" t="s">
        <v>251</v>
      </c>
      <c r="B66" s="779">
        <f>'lokale energieproductie'!B6</f>
        <v>2838.0691983961833</v>
      </c>
      <c r="C66" s="780">
        <f>'lokale energieproductie'!B6</f>
        <v>2838.0691983961833</v>
      </c>
      <c r="D66" s="1072"/>
      <c r="E66" s="1040"/>
      <c r="F66" s="1040"/>
      <c r="G66" s="1043"/>
      <c r="H66" s="1046"/>
      <c r="I66" s="784"/>
      <c r="J66" s="784"/>
      <c r="K66" s="784"/>
      <c r="L66" s="784"/>
      <c r="M66" s="1067"/>
      <c r="N66" s="911">
        <v>0</v>
      </c>
      <c r="O66" s="917"/>
      <c r="P66" s="911">
        <v>0</v>
      </c>
      <c r="Q66" s="770"/>
      <c r="R66" s="768"/>
    </row>
    <row r="67" spans="1:18" ht="15">
      <c r="A67" s="785" t="s">
        <v>252</v>
      </c>
      <c r="B67" s="779">
        <f>'lokale energieproductie'!B7</f>
        <v>21600</v>
      </c>
      <c r="C67" s="779">
        <f>B67*IFERROR(SUM(J67:L67)/SUM(D67:M67),0)</f>
        <v>0</v>
      </c>
      <c r="D67" s="811">
        <f>'lokale energieproductie'!C7</f>
        <v>25411.76470588236</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5133.176470588237</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24438.069198396184</v>
      </c>
      <c r="C69" s="788">
        <f>SUM(C64:C68)</f>
        <v>2838.0691983961833</v>
      </c>
      <c r="D69" s="789">
        <f t="shared" ref="D69:M69" si="8">SUM(D67:D68)</f>
        <v>25411.76470588236</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5133.176470588237</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23"/>
      <c r="B73" s="1023"/>
      <c r="C73" s="1023"/>
      <c r="D73" s="1023"/>
      <c r="E73" s="1023"/>
      <c r="F73" s="1023"/>
      <c r="G73" s="1023"/>
      <c r="H73" s="1023"/>
      <c r="I73" s="1023"/>
      <c r="J73" s="1023"/>
      <c r="K73" s="1023"/>
      <c r="L73" s="1023"/>
      <c r="M73" s="1023"/>
      <c r="N73" s="1023"/>
      <c r="O73" s="1023"/>
      <c r="P73" s="1023"/>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36" t="s">
        <v>253</v>
      </c>
      <c r="B75" s="1061" t="s">
        <v>355</v>
      </c>
      <c r="C75" s="1052"/>
      <c r="D75" s="1058" t="s">
        <v>356</v>
      </c>
      <c r="E75" s="1059"/>
      <c r="F75" s="1059"/>
      <c r="G75" s="1059"/>
      <c r="H75" s="1059"/>
      <c r="I75" s="1059"/>
      <c r="J75" s="1059"/>
      <c r="K75" s="1059"/>
      <c r="L75" s="1059"/>
      <c r="M75" s="1060"/>
      <c r="N75" s="1052" t="s">
        <v>693</v>
      </c>
      <c r="O75" s="1061" t="s">
        <v>692</v>
      </c>
      <c r="P75" s="1052"/>
      <c r="Q75" s="797"/>
      <c r="R75" s="727"/>
    </row>
    <row r="76" spans="1:18" ht="16.5" thickTop="1" thickBot="1">
      <c r="A76" s="1051"/>
      <c r="B76" s="1078"/>
      <c r="C76" s="1053"/>
      <c r="D76" s="1073" t="s">
        <v>197</v>
      </c>
      <c r="E76" s="1074"/>
      <c r="F76" s="1074"/>
      <c r="G76" s="1074"/>
      <c r="H76" s="1075"/>
      <c r="I76" s="1076" t="s">
        <v>245</v>
      </c>
      <c r="J76" s="1076" t="s">
        <v>246</v>
      </c>
      <c r="K76" s="1031" t="s">
        <v>234</v>
      </c>
      <c r="L76" s="1080" t="s">
        <v>257</v>
      </c>
      <c r="M76" s="1068" t="s">
        <v>127</v>
      </c>
      <c r="N76" s="1053"/>
      <c r="O76" s="915"/>
      <c r="P76" s="916"/>
      <c r="Q76" s="797"/>
      <c r="R76" s="727"/>
    </row>
    <row r="77" spans="1:18" ht="110.25" customHeight="1" thickTop="1" thickBot="1">
      <c r="A77" s="1037"/>
      <c r="B77" s="898" t="s">
        <v>573</v>
      </c>
      <c r="C77" s="898" t="s">
        <v>691</v>
      </c>
      <c r="D77" s="798" t="s">
        <v>199</v>
      </c>
      <c r="E77" s="774" t="s">
        <v>200</v>
      </c>
      <c r="F77" s="799" t="s">
        <v>201</v>
      </c>
      <c r="G77" s="774" t="s">
        <v>203</v>
      </c>
      <c r="H77" s="800" t="s">
        <v>204</v>
      </c>
      <c r="I77" s="1077"/>
      <c r="J77" s="1077"/>
      <c r="K77" s="1079"/>
      <c r="L77" s="1032"/>
      <c r="M77" s="1081"/>
      <c r="N77" s="1054"/>
      <c r="O77" s="846" t="s">
        <v>694</v>
      </c>
      <c r="P77" s="844" t="s">
        <v>695</v>
      </c>
      <c r="Q77" s="797"/>
      <c r="R77" s="727"/>
    </row>
    <row r="78" spans="1:18" ht="15.75" thickTop="1">
      <c r="A78" s="801" t="s">
        <v>252</v>
      </c>
      <c r="B78" s="802">
        <f>'lokale energieproductie'!B16</f>
        <v>30857.142857142855</v>
      </c>
      <c r="C78" s="802">
        <f>B78*IFERROR(SUM(I78:L78)/SUM(D78:M78),0)</f>
        <v>0</v>
      </c>
      <c r="D78" s="817">
        <f>'lokale energieproductie'!C16</f>
        <v>36302.521008403368</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7333.1092436974805</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30857.142857142855</v>
      </c>
      <c r="C81" s="788">
        <f>SUM(C78:C80)</f>
        <v>0</v>
      </c>
      <c r="D81" s="788">
        <f t="shared" ref="D81:P81" si="9">SUM(D78:D80)</f>
        <v>36302.521008403368</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7333.1092436974805</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B7" sqref="B7"/>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082" t="s">
        <v>568</v>
      </c>
      <c r="B1" s="1083" t="s">
        <v>564</v>
      </c>
      <c r="C1" s="1083"/>
      <c r="D1" s="1083"/>
      <c r="E1" s="1083"/>
      <c r="F1" s="1083"/>
      <c r="G1" s="1083"/>
      <c r="H1" s="1083"/>
      <c r="I1" s="1083"/>
      <c r="J1" s="1083"/>
      <c r="K1" s="1083"/>
      <c r="L1" s="1083"/>
      <c r="M1" s="1083"/>
      <c r="N1" s="1083"/>
      <c r="O1" s="1083"/>
      <c r="P1" s="1084"/>
      <c r="Q1" s="459"/>
    </row>
    <row r="2" spans="1:17">
      <c r="A2" s="1082"/>
      <c r="B2" s="1085" t="s">
        <v>21</v>
      </c>
      <c r="C2" s="1087" t="s">
        <v>196</v>
      </c>
      <c r="D2" s="1089" t="s">
        <v>197</v>
      </c>
      <c r="E2" s="1090"/>
      <c r="F2" s="1090"/>
      <c r="G2" s="1090"/>
      <c r="H2" s="1090"/>
      <c r="I2" s="1090"/>
      <c r="J2" s="1090"/>
      <c r="K2" s="1086"/>
      <c r="L2" s="1089" t="s">
        <v>198</v>
      </c>
      <c r="M2" s="1090"/>
      <c r="N2" s="1090"/>
      <c r="O2" s="1090"/>
      <c r="P2" s="1086"/>
      <c r="Q2" s="459"/>
    </row>
    <row r="3" spans="1:17" ht="45">
      <c r="A3" s="1082"/>
      <c r="B3" s="1086"/>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26175.04856161831</v>
      </c>
      <c r="C4" s="462">
        <f>huishoudens!C8</f>
        <v>0</v>
      </c>
      <c r="D4" s="462">
        <f>huishoudens!D8</f>
        <v>28477.881798989758</v>
      </c>
      <c r="E4" s="462">
        <f>huishoudens!E8</f>
        <v>7232.1377848807879</v>
      </c>
      <c r="F4" s="462">
        <f>huishoudens!F8</f>
        <v>24370.861143985941</v>
      </c>
      <c r="G4" s="462">
        <f>huishoudens!G8</f>
        <v>0</v>
      </c>
      <c r="H4" s="462">
        <f>huishoudens!H8</f>
        <v>0</v>
      </c>
      <c r="I4" s="462">
        <f>huishoudens!I8</f>
        <v>0</v>
      </c>
      <c r="J4" s="462">
        <f>huishoudens!J8</f>
        <v>2694.9694073569617</v>
      </c>
      <c r="K4" s="462">
        <f>huishoudens!K8</f>
        <v>0</v>
      </c>
      <c r="L4" s="462">
        <f>huishoudens!L8</f>
        <v>0</v>
      </c>
      <c r="M4" s="462">
        <f>huishoudens!M8</f>
        <v>0</v>
      </c>
      <c r="N4" s="462">
        <f>huishoudens!N8</f>
        <v>15914.467862645288</v>
      </c>
      <c r="O4" s="462">
        <f>huishoudens!O8</f>
        <v>118.81333333333333</v>
      </c>
      <c r="P4" s="463">
        <f>huishoudens!P8</f>
        <v>381.33333333333337</v>
      </c>
      <c r="Q4" s="464">
        <f>SUM(B4:P4)</f>
        <v>105365.5132261437</v>
      </c>
    </row>
    <row r="5" spans="1:17">
      <c r="A5" s="461" t="s">
        <v>156</v>
      </c>
      <c r="B5" s="462">
        <f ca="1">tertiair!B16</f>
        <v>12356.780720390159</v>
      </c>
      <c r="C5" s="462">
        <f ca="1">tertiair!C16</f>
        <v>0</v>
      </c>
      <c r="D5" s="462">
        <f ca="1">tertiair!D16</f>
        <v>18604.83481867415</v>
      </c>
      <c r="E5" s="462">
        <f>tertiair!E16</f>
        <v>86.837898037481068</v>
      </c>
      <c r="F5" s="462">
        <f ca="1">tertiair!F16</f>
        <v>2283.6884486453691</v>
      </c>
      <c r="G5" s="462">
        <f>tertiair!G16</f>
        <v>0</v>
      </c>
      <c r="H5" s="462">
        <f>tertiair!H16</f>
        <v>0</v>
      </c>
      <c r="I5" s="462">
        <f>tertiair!I16</f>
        <v>0</v>
      </c>
      <c r="J5" s="462">
        <f>tertiair!J16</f>
        <v>0</v>
      </c>
      <c r="K5" s="462">
        <f>tertiair!K16</f>
        <v>0</v>
      </c>
      <c r="L5" s="462">
        <f ca="1">tertiair!L16</f>
        <v>0</v>
      </c>
      <c r="M5" s="462">
        <f>tertiair!M16</f>
        <v>0</v>
      </c>
      <c r="N5" s="462">
        <f ca="1">tertiair!N16</f>
        <v>848.2725987635572</v>
      </c>
      <c r="O5" s="462">
        <f>tertiair!O16</f>
        <v>4.6900000000000004</v>
      </c>
      <c r="P5" s="463">
        <f>tertiair!P16</f>
        <v>0</v>
      </c>
      <c r="Q5" s="461">
        <f t="shared" ref="Q5:Q13" ca="1" si="0">SUM(B5:P5)</f>
        <v>34185.104484510717</v>
      </c>
    </row>
    <row r="6" spans="1:17">
      <c r="A6" s="461" t="s">
        <v>194</v>
      </c>
      <c r="B6" s="462">
        <f>'openbare verlichting'!B8</f>
        <v>1187.0809999999999</v>
      </c>
      <c r="C6" s="462"/>
      <c r="D6" s="462"/>
      <c r="E6" s="462"/>
      <c r="F6" s="462"/>
      <c r="G6" s="462"/>
      <c r="H6" s="462"/>
      <c r="I6" s="462"/>
      <c r="J6" s="462"/>
      <c r="K6" s="462"/>
      <c r="L6" s="462"/>
      <c r="M6" s="462"/>
      <c r="N6" s="462"/>
      <c r="O6" s="462"/>
      <c r="P6" s="463"/>
      <c r="Q6" s="461">
        <f t="shared" si="0"/>
        <v>1187.0809999999999</v>
      </c>
    </row>
    <row r="7" spans="1:17">
      <c r="A7" s="461" t="s">
        <v>112</v>
      </c>
      <c r="B7" s="462">
        <f>landbouw!B8</f>
        <v>4376.5316311565521</v>
      </c>
      <c r="C7" s="462">
        <f>landbouw!C8</f>
        <v>30857.142857142855</v>
      </c>
      <c r="D7" s="462">
        <f>landbouw!D8</f>
        <v>8152.2224245346879</v>
      </c>
      <c r="E7" s="462">
        <f>landbouw!E8</f>
        <v>41.229860337878492</v>
      </c>
      <c r="F7" s="462">
        <f>landbouw!F8</f>
        <v>14282.075155753901</v>
      </c>
      <c r="G7" s="462">
        <f>landbouw!G8</f>
        <v>0</v>
      </c>
      <c r="H7" s="462">
        <f>landbouw!H8</f>
        <v>0</v>
      </c>
      <c r="I7" s="462">
        <f>landbouw!I8</f>
        <v>0</v>
      </c>
      <c r="J7" s="462">
        <f>landbouw!J8</f>
        <v>541.39825021983029</v>
      </c>
      <c r="K7" s="462">
        <f>landbouw!K8</f>
        <v>0</v>
      </c>
      <c r="L7" s="462">
        <f>landbouw!L8</f>
        <v>0</v>
      </c>
      <c r="M7" s="462">
        <f>landbouw!M8</f>
        <v>0</v>
      </c>
      <c r="N7" s="462">
        <f>landbouw!N8</f>
        <v>0</v>
      </c>
      <c r="O7" s="462">
        <f>landbouw!O8</f>
        <v>0</v>
      </c>
      <c r="P7" s="463">
        <f>landbouw!P8</f>
        <v>0</v>
      </c>
      <c r="Q7" s="461">
        <f t="shared" si="0"/>
        <v>58250.600179145702</v>
      </c>
    </row>
    <row r="8" spans="1:17">
      <c r="A8" s="461" t="s">
        <v>685</v>
      </c>
      <c r="B8" s="462">
        <f>industrie!B18</f>
        <v>3538.3023259240335</v>
      </c>
      <c r="C8" s="462">
        <f>industrie!C18</f>
        <v>0</v>
      </c>
      <c r="D8" s="462">
        <f>industrie!D18</f>
        <v>2694.0923086976718</v>
      </c>
      <c r="E8" s="462">
        <f>industrie!E18</f>
        <v>28.976489211638075</v>
      </c>
      <c r="F8" s="462">
        <f>industrie!F18</f>
        <v>1280.6456454249651</v>
      </c>
      <c r="G8" s="462">
        <f>industrie!G18</f>
        <v>0</v>
      </c>
      <c r="H8" s="462">
        <f>industrie!H18</f>
        <v>0</v>
      </c>
      <c r="I8" s="462">
        <f>industrie!I18</f>
        <v>0</v>
      </c>
      <c r="J8" s="462">
        <f>industrie!J18</f>
        <v>8.9690620011246622</v>
      </c>
      <c r="K8" s="462">
        <f>industrie!K18</f>
        <v>0</v>
      </c>
      <c r="L8" s="462">
        <f>industrie!L18</f>
        <v>0</v>
      </c>
      <c r="M8" s="462">
        <f>industrie!M18</f>
        <v>0</v>
      </c>
      <c r="N8" s="462">
        <f>industrie!N18</f>
        <v>142.94978189805138</v>
      </c>
      <c r="O8" s="462">
        <f>industrie!O18</f>
        <v>0</v>
      </c>
      <c r="P8" s="463">
        <f>industrie!P18</f>
        <v>0</v>
      </c>
      <c r="Q8" s="461">
        <f t="shared" si="0"/>
        <v>7693.935613157485</v>
      </c>
    </row>
    <row r="9" spans="1:17" s="467" customFormat="1">
      <c r="A9" s="465" t="s">
        <v>579</v>
      </c>
      <c r="B9" s="466">
        <f>transport!B14</f>
        <v>5.1070431078301199</v>
      </c>
      <c r="C9" s="466">
        <f>transport!C14</f>
        <v>0</v>
      </c>
      <c r="D9" s="466">
        <f>transport!D14</f>
        <v>14.303617146633826</v>
      </c>
      <c r="E9" s="466">
        <f>transport!E14</f>
        <v>975.04454692642446</v>
      </c>
      <c r="F9" s="466">
        <f>transport!F14</f>
        <v>0</v>
      </c>
      <c r="G9" s="466">
        <f>transport!G14</f>
        <v>221338.59407563426</v>
      </c>
      <c r="H9" s="466">
        <f>transport!H14</f>
        <v>33059.197588851202</v>
      </c>
      <c r="I9" s="466">
        <f>transport!I14</f>
        <v>0</v>
      </c>
      <c r="J9" s="466">
        <f>transport!J14</f>
        <v>0</v>
      </c>
      <c r="K9" s="466">
        <f>transport!K14</f>
        <v>0</v>
      </c>
      <c r="L9" s="466">
        <f>transport!L14</f>
        <v>0</v>
      </c>
      <c r="M9" s="466">
        <f>transport!M14</f>
        <v>11368.545873256551</v>
      </c>
      <c r="N9" s="466">
        <f>transport!N14</f>
        <v>0</v>
      </c>
      <c r="O9" s="466">
        <f>transport!O14</f>
        <v>0</v>
      </c>
      <c r="P9" s="466">
        <f>transport!P14</f>
        <v>0</v>
      </c>
      <c r="Q9" s="465">
        <f>SUM(B9:P9)</f>
        <v>266760.79274492292</v>
      </c>
    </row>
    <row r="10" spans="1:17">
      <c r="A10" s="461" t="s">
        <v>569</v>
      </c>
      <c r="B10" s="462">
        <f>transport!B54</f>
        <v>0</v>
      </c>
      <c r="C10" s="462">
        <f>transport!C54</f>
        <v>0</v>
      </c>
      <c r="D10" s="462">
        <f>transport!D54</f>
        <v>0</v>
      </c>
      <c r="E10" s="462">
        <f>transport!E54</f>
        <v>0</v>
      </c>
      <c r="F10" s="462">
        <f>transport!F54</f>
        <v>0</v>
      </c>
      <c r="G10" s="462">
        <f>transport!G54</f>
        <v>359.93709029152888</v>
      </c>
      <c r="H10" s="462">
        <f>transport!H54</f>
        <v>0</v>
      </c>
      <c r="I10" s="462">
        <f>transport!I54</f>
        <v>0</v>
      </c>
      <c r="J10" s="462">
        <f>transport!J54</f>
        <v>0</v>
      </c>
      <c r="K10" s="462">
        <f>transport!K54</f>
        <v>0</v>
      </c>
      <c r="L10" s="462">
        <f>transport!L54</f>
        <v>0</v>
      </c>
      <c r="M10" s="462">
        <f>transport!M54</f>
        <v>15.805431388071391</v>
      </c>
      <c r="N10" s="462">
        <f>transport!N54</f>
        <v>0</v>
      </c>
      <c r="O10" s="462">
        <f>transport!O54</f>
        <v>0</v>
      </c>
      <c r="P10" s="463">
        <f>transport!P54</f>
        <v>0</v>
      </c>
      <c r="Q10" s="461">
        <f t="shared" si="0"/>
        <v>375.74252167960026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f>'Eigen vloot'!C27</f>
        <v>0</v>
      </c>
      <c r="D13" s="469">
        <f>'Eigen vloot'!D27</f>
        <v>0</v>
      </c>
      <c r="E13" s="469">
        <f>'Eigen vloot'!E27</f>
        <v>0</v>
      </c>
      <c r="F13" s="469">
        <f>'Eigen vloot'!F27</f>
        <v>0</v>
      </c>
      <c r="G13" s="469">
        <f>'Eigen vloot'!G27</f>
        <v>0</v>
      </c>
      <c r="H13" s="469">
        <f>'Eigen vloot'!H27</f>
        <v>0</v>
      </c>
      <c r="I13" s="469">
        <f>'Eigen vloot'!I27</f>
        <v>0</v>
      </c>
      <c r="J13" s="469">
        <f>'Eigen vloot'!J27</f>
        <v>0</v>
      </c>
      <c r="K13" s="469">
        <f>'Eigen vloot'!K27</f>
        <v>0</v>
      </c>
      <c r="L13" s="469">
        <f>'Eigen vloot'!L27</f>
        <v>0</v>
      </c>
      <c r="M13" s="469">
        <f>'Eigen vloot'!M27</f>
        <v>0</v>
      </c>
      <c r="N13" s="469">
        <f>'Eigen vloot'!N27</f>
        <v>0</v>
      </c>
      <c r="O13" s="469">
        <f>'Eigen vloot'!O27</f>
        <v>0</v>
      </c>
      <c r="P13" s="470">
        <f>'Eigen vloot'!P27</f>
        <v>0</v>
      </c>
      <c r="Q13" s="468">
        <f t="shared" si="0"/>
        <v>0</v>
      </c>
    </row>
    <row r="14" spans="1:17" s="474" customFormat="1">
      <c r="A14" s="471" t="s">
        <v>573</v>
      </c>
      <c r="B14" s="472">
        <f ca="1">SUM(B4:B13)</f>
        <v>47638.851282196891</v>
      </c>
      <c r="C14" s="472">
        <f t="shared" ref="C14:Q14" ca="1" si="1">SUM(C4:C13)</f>
        <v>30857.142857142855</v>
      </c>
      <c r="D14" s="472">
        <f t="shared" ca="1" si="1"/>
        <v>57943.334968042902</v>
      </c>
      <c r="E14" s="472">
        <f t="shared" si="1"/>
        <v>8364.2265793942097</v>
      </c>
      <c r="F14" s="472">
        <f t="shared" ca="1" si="1"/>
        <v>42217.270393810169</v>
      </c>
      <c r="G14" s="472">
        <f t="shared" si="1"/>
        <v>221698.53116592579</v>
      </c>
      <c r="H14" s="472">
        <f t="shared" si="1"/>
        <v>33059.197588851202</v>
      </c>
      <c r="I14" s="472">
        <f t="shared" si="1"/>
        <v>0</v>
      </c>
      <c r="J14" s="472">
        <f t="shared" si="1"/>
        <v>3245.3367195779169</v>
      </c>
      <c r="K14" s="472">
        <f t="shared" si="1"/>
        <v>0</v>
      </c>
      <c r="L14" s="472">
        <f t="shared" ca="1" si="1"/>
        <v>0</v>
      </c>
      <c r="M14" s="472">
        <f t="shared" si="1"/>
        <v>11384.351304644622</v>
      </c>
      <c r="N14" s="472">
        <f t="shared" ca="1" si="1"/>
        <v>16905.690243306897</v>
      </c>
      <c r="O14" s="472">
        <f t="shared" si="1"/>
        <v>123.50333333333333</v>
      </c>
      <c r="P14" s="473">
        <f t="shared" si="1"/>
        <v>381.33333333333337</v>
      </c>
      <c r="Q14" s="473">
        <f t="shared" ca="1" si="1"/>
        <v>473818.76976956014</v>
      </c>
    </row>
    <row r="16" spans="1:17">
      <c r="A16" s="475" t="s">
        <v>574</v>
      </c>
      <c r="B16" s="829">
        <f ca="1">huishoudens!B10</f>
        <v>0.21538196314449465</v>
      </c>
      <c r="C16" s="829">
        <f ca="1">huishoudens!C10</f>
        <v>0.23764705882352949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2" t="s">
        <v>576</v>
      </c>
      <c r="B18" s="1083" t="s">
        <v>575</v>
      </c>
      <c r="C18" s="1083"/>
      <c r="D18" s="1083"/>
      <c r="E18" s="1083"/>
      <c r="F18" s="1083"/>
      <c r="G18" s="1083"/>
      <c r="H18" s="1083"/>
      <c r="I18" s="1083"/>
      <c r="J18" s="1083"/>
      <c r="K18" s="1083"/>
      <c r="L18" s="1083"/>
      <c r="M18" s="1083"/>
      <c r="N18" s="1083"/>
      <c r="O18" s="1083"/>
      <c r="P18" s="1084"/>
      <c r="Q18" s="459"/>
    </row>
    <row r="19" spans="1:17" ht="15" customHeight="1">
      <c r="A19" s="1082"/>
      <c r="B19" s="1085" t="s">
        <v>21</v>
      </c>
      <c r="C19" s="1087" t="s">
        <v>196</v>
      </c>
      <c r="D19" s="1089" t="s">
        <v>197</v>
      </c>
      <c r="E19" s="1090"/>
      <c r="F19" s="1090"/>
      <c r="G19" s="1090"/>
      <c r="H19" s="1090"/>
      <c r="I19" s="1090"/>
      <c r="J19" s="1090"/>
      <c r="K19" s="1086"/>
      <c r="L19" s="1089" t="s">
        <v>198</v>
      </c>
      <c r="M19" s="1090"/>
      <c r="N19" s="1090"/>
      <c r="O19" s="1090"/>
      <c r="P19" s="1086"/>
      <c r="Q19" s="459"/>
    </row>
    <row r="20" spans="1:17" ht="45">
      <c r="A20" s="1082"/>
      <c r="B20" s="1086"/>
      <c r="C20" s="1088"/>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5637.6333446038325</v>
      </c>
      <c r="C21" s="462">
        <f t="shared" ref="C21:C30" ca="1" si="3">C4*$C$16</f>
        <v>0</v>
      </c>
      <c r="D21" s="462">
        <f t="shared" ref="D21:D30" si="4">D4*$D$16</f>
        <v>5752.5321233959312</v>
      </c>
      <c r="E21" s="462">
        <f t="shared" ref="E21:E30" si="5">E4*$E$16</f>
        <v>1641.6952771679389</v>
      </c>
      <c r="F21" s="462">
        <f t="shared" ref="F21:F30" si="6">F4*$F$16</f>
        <v>6507.0199254442468</v>
      </c>
      <c r="G21" s="462">
        <f t="shared" ref="G21:G30" si="7">G4*$G$16</f>
        <v>0</v>
      </c>
      <c r="H21" s="462">
        <f t="shared" ref="H21:H30" si="8">H4*$H$16</f>
        <v>0</v>
      </c>
      <c r="I21" s="462">
        <f t="shared" ref="I21:I30" si="9">I4*$I$16</f>
        <v>0</v>
      </c>
      <c r="J21" s="462">
        <f t="shared" ref="J21:J30" si="10">J4*$J$16</f>
        <v>954.0191702043644</v>
      </c>
      <c r="K21" s="462">
        <f t="shared" ref="K21:K30" si="11">K4*$K$16</f>
        <v>0</v>
      </c>
      <c r="L21" s="462">
        <f t="shared" ref="L21:L30" si="12">L4*$L$16</f>
        <v>0</v>
      </c>
      <c r="M21" s="462">
        <f t="shared" ref="M21:M30" si="13">M4*$M$16</f>
        <v>0</v>
      </c>
      <c r="N21" s="462">
        <f t="shared" ref="N21:N30" si="14">N4*$N$16</f>
        <v>0</v>
      </c>
      <c r="O21" s="462">
        <f t="shared" ref="O21:O30" si="15">O4*$O$16</f>
        <v>0</v>
      </c>
      <c r="P21" s="476">
        <f t="shared" ref="P21:P30" si="16">P4*$P$16</f>
        <v>0</v>
      </c>
      <c r="Q21" s="464">
        <f ca="1">SUM(B21:P21)</f>
        <v>20492.899840816313</v>
      </c>
    </row>
    <row r="22" spans="1:17">
      <c r="A22" s="461" t="s">
        <v>156</v>
      </c>
      <c r="B22" s="462">
        <f t="shared" ca="1" si="2"/>
        <v>2661.4276897036752</v>
      </c>
      <c r="C22" s="462">
        <f t="shared" ca="1" si="3"/>
        <v>0</v>
      </c>
      <c r="D22" s="462">
        <f t="shared" ca="1" si="4"/>
        <v>3758.1766333721785</v>
      </c>
      <c r="E22" s="462">
        <f t="shared" si="5"/>
        <v>19.712202854508202</v>
      </c>
      <c r="F22" s="462">
        <f t="shared" ca="1" si="6"/>
        <v>609.74481578831364</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7049.0613417186751</v>
      </c>
    </row>
    <row r="23" spans="1:17">
      <c r="A23" s="461" t="s">
        <v>194</v>
      </c>
      <c r="B23" s="462">
        <f t="shared" ca="1" si="2"/>
        <v>255.67583619152984</v>
      </c>
      <c r="C23" s="462">
        <f t="shared" ca="1" si="3"/>
        <v>0</v>
      </c>
      <c r="D23" s="462">
        <f t="shared" si="4"/>
        <v>0</v>
      </c>
      <c r="E23" s="462">
        <f t="shared" si="5"/>
        <v>0</v>
      </c>
      <c r="F23" s="462">
        <f t="shared" si="6"/>
        <v>0</v>
      </c>
      <c r="G23" s="462">
        <f t="shared" si="7"/>
        <v>0</v>
      </c>
      <c r="H23" s="462">
        <f t="shared" si="8"/>
        <v>0</v>
      </c>
      <c r="I23" s="462">
        <f t="shared" si="9"/>
        <v>0</v>
      </c>
      <c r="J23" s="462">
        <f t="shared" si="10"/>
        <v>0</v>
      </c>
      <c r="K23" s="462">
        <f t="shared" si="11"/>
        <v>0</v>
      </c>
      <c r="L23" s="462">
        <f t="shared" si="12"/>
        <v>0</v>
      </c>
      <c r="M23" s="462">
        <f t="shared" si="13"/>
        <v>0</v>
      </c>
      <c r="N23" s="462">
        <f t="shared" si="14"/>
        <v>0</v>
      </c>
      <c r="O23" s="462">
        <f t="shared" si="15"/>
        <v>0</v>
      </c>
      <c r="P23" s="463">
        <f t="shared" si="16"/>
        <v>0</v>
      </c>
      <c r="Q23" s="461">
        <f t="shared" ca="1" si="17"/>
        <v>255.67583619152984</v>
      </c>
    </row>
    <row r="24" spans="1:17">
      <c r="A24" s="461" t="s">
        <v>112</v>
      </c>
      <c r="B24" s="462">
        <f t="shared" ca="1" si="2"/>
        <v>942.6259744824755</v>
      </c>
      <c r="C24" s="462">
        <f t="shared" ca="1" si="3"/>
        <v>7333.1092436974805</v>
      </c>
      <c r="D24" s="462">
        <f t="shared" si="4"/>
        <v>1646.7489297560071</v>
      </c>
      <c r="E24" s="462">
        <f t="shared" si="5"/>
        <v>9.3591782966984187</v>
      </c>
      <c r="F24" s="462">
        <f t="shared" si="6"/>
        <v>3813.3140665862916</v>
      </c>
      <c r="G24" s="462">
        <f t="shared" si="7"/>
        <v>0</v>
      </c>
      <c r="H24" s="462">
        <f t="shared" si="8"/>
        <v>0</v>
      </c>
      <c r="I24" s="462">
        <f t="shared" si="9"/>
        <v>0</v>
      </c>
      <c r="J24" s="462">
        <f t="shared" si="10"/>
        <v>191.65498057781991</v>
      </c>
      <c r="K24" s="462">
        <f t="shared" si="11"/>
        <v>0</v>
      </c>
      <c r="L24" s="462">
        <f t="shared" si="12"/>
        <v>0</v>
      </c>
      <c r="M24" s="462">
        <f t="shared" si="13"/>
        <v>0</v>
      </c>
      <c r="N24" s="462">
        <f t="shared" si="14"/>
        <v>0</v>
      </c>
      <c r="O24" s="462">
        <f t="shared" si="15"/>
        <v>0</v>
      </c>
      <c r="P24" s="463">
        <f t="shared" si="16"/>
        <v>0</v>
      </c>
      <c r="Q24" s="461">
        <f t="shared" ca="1" si="17"/>
        <v>13936.812373396773</v>
      </c>
    </row>
    <row r="25" spans="1:17">
      <c r="A25" s="461" t="s">
        <v>685</v>
      </c>
      <c r="B25" s="462">
        <f t="shared" ca="1" si="2"/>
        <v>762.08650115624994</v>
      </c>
      <c r="C25" s="462">
        <f t="shared" ca="1" si="3"/>
        <v>0</v>
      </c>
      <c r="D25" s="462">
        <f t="shared" si="4"/>
        <v>544.2066463569297</v>
      </c>
      <c r="E25" s="462">
        <f t="shared" si="5"/>
        <v>6.577663051041843</v>
      </c>
      <c r="F25" s="462">
        <f t="shared" si="6"/>
        <v>341.93238732846572</v>
      </c>
      <c r="G25" s="462">
        <f t="shared" si="7"/>
        <v>0</v>
      </c>
      <c r="H25" s="462">
        <f t="shared" si="8"/>
        <v>0</v>
      </c>
      <c r="I25" s="462">
        <f t="shared" si="9"/>
        <v>0</v>
      </c>
      <c r="J25" s="462">
        <f t="shared" si="10"/>
        <v>3.1750479483981304</v>
      </c>
      <c r="K25" s="462">
        <f t="shared" si="11"/>
        <v>0</v>
      </c>
      <c r="L25" s="462">
        <f t="shared" si="12"/>
        <v>0</v>
      </c>
      <c r="M25" s="462">
        <f t="shared" si="13"/>
        <v>0</v>
      </c>
      <c r="N25" s="462">
        <f t="shared" si="14"/>
        <v>0</v>
      </c>
      <c r="O25" s="462">
        <f t="shared" si="15"/>
        <v>0</v>
      </c>
      <c r="P25" s="463">
        <f t="shared" si="16"/>
        <v>0</v>
      </c>
      <c r="Q25" s="461">
        <f t="shared" ca="1" si="17"/>
        <v>1657.978245841085</v>
      </c>
    </row>
    <row r="26" spans="1:17" s="467" customFormat="1">
      <c r="A26" s="465" t="s">
        <v>579</v>
      </c>
      <c r="B26" s="823">
        <f t="shared" ca="1" si="2"/>
        <v>1.0999649704280123</v>
      </c>
      <c r="C26" s="466">
        <f t="shared" ca="1" si="3"/>
        <v>0</v>
      </c>
      <c r="D26" s="466">
        <f t="shared" si="4"/>
        <v>2.8893306636200329</v>
      </c>
      <c r="E26" s="466">
        <f t="shared" si="5"/>
        <v>221.33511215229836</v>
      </c>
      <c r="F26" s="466">
        <f t="shared" si="6"/>
        <v>0</v>
      </c>
      <c r="G26" s="466">
        <f t="shared" si="7"/>
        <v>59097.404618194349</v>
      </c>
      <c r="H26" s="466">
        <f t="shared" si="8"/>
        <v>8231.7401996239496</v>
      </c>
      <c r="I26" s="466">
        <f t="shared" si="9"/>
        <v>0</v>
      </c>
      <c r="J26" s="466">
        <f t="shared" si="10"/>
        <v>0</v>
      </c>
      <c r="K26" s="466">
        <f t="shared" si="11"/>
        <v>0</v>
      </c>
      <c r="L26" s="466">
        <f t="shared" si="12"/>
        <v>0</v>
      </c>
      <c r="M26" s="466">
        <f t="shared" si="13"/>
        <v>0</v>
      </c>
      <c r="N26" s="466">
        <f t="shared" si="14"/>
        <v>0</v>
      </c>
      <c r="O26" s="466">
        <f t="shared" si="15"/>
        <v>0</v>
      </c>
      <c r="P26" s="477">
        <f t="shared" si="16"/>
        <v>0</v>
      </c>
      <c r="Q26" s="465">
        <f t="shared" ca="1" si="17"/>
        <v>67554.46922560464</v>
      </c>
    </row>
    <row r="27" spans="1:17">
      <c r="A27" s="461" t="s">
        <v>569</v>
      </c>
      <c r="B27" s="462">
        <f t="shared" ca="1" si="2"/>
        <v>0</v>
      </c>
      <c r="C27" s="462">
        <f t="shared" ca="1" si="3"/>
        <v>0</v>
      </c>
      <c r="D27" s="462">
        <f t="shared" si="4"/>
        <v>0</v>
      </c>
      <c r="E27" s="462">
        <f t="shared" si="5"/>
        <v>0</v>
      </c>
      <c r="F27" s="462">
        <f t="shared" si="6"/>
        <v>0</v>
      </c>
      <c r="G27" s="462">
        <f t="shared" si="7"/>
        <v>96.103203107838212</v>
      </c>
      <c r="H27" s="462">
        <f t="shared" si="8"/>
        <v>0</v>
      </c>
      <c r="I27" s="462">
        <f t="shared" si="9"/>
        <v>0</v>
      </c>
      <c r="J27" s="462">
        <f t="shared" si="10"/>
        <v>0</v>
      </c>
      <c r="K27" s="462">
        <f t="shared" si="11"/>
        <v>0</v>
      </c>
      <c r="L27" s="462">
        <f t="shared" si="12"/>
        <v>0</v>
      </c>
      <c r="M27" s="462">
        <f t="shared" si="13"/>
        <v>0</v>
      </c>
      <c r="N27" s="462">
        <f t="shared" si="14"/>
        <v>0</v>
      </c>
      <c r="O27" s="462">
        <f t="shared" si="15"/>
        <v>0</v>
      </c>
      <c r="P27" s="463">
        <f t="shared" si="16"/>
        <v>0</v>
      </c>
      <c r="Q27" s="461">
        <f t="shared" ca="1" si="17"/>
        <v>96.103203107838212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8" t="s">
        <v>572</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s="474" customFormat="1">
      <c r="A31" s="471" t="s">
        <v>573</v>
      </c>
      <c r="B31" s="472">
        <f t="shared" ref="B31:Q31" ca="1" si="18">SUM(B21:B30)</f>
        <v>10260.549311108189</v>
      </c>
      <c r="C31" s="472">
        <f t="shared" ca="1" si="18"/>
        <v>7333.1092436974805</v>
      </c>
      <c r="D31" s="472">
        <f t="shared" ca="1" si="18"/>
        <v>11704.553663544668</v>
      </c>
      <c r="E31" s="472">
        <f t="shared" si="18"/>
        <v>1898.6794335224856</v>
      </c>
      <c r="F31" s="472">
        <f t="shared" ca="1" si="18"/>
        <v>11272.011195147319</v>
      </c>
      <c r="G31" s="472">
        <f t="shared" si="18"/>
        <v>59193.507821302184</v>
      </c>
      <c r="H31" s="472">
        <f t="shared" si="18"/>
        <v>8231.7401996239496</v>
      </c>
      <c r="I31" s="472">
        <f t="shared" si="18"/>
        <v>0</v>
      </c>
      <c r="J31" s="472">
        <f t="shared" si="18"/>
        <v>1148.8491987305824</v>
      </c>
      <c r="K31" s="472">
        <f t="shared" si="18"/>
        <v>0</v>
      </c>
      <c r="L31" s="472">
        <f t="shared" ca="1" si="18"/>
        <v>0</v>
      </c>
      <c r="M31" s="472">
        <f t="shared" si="18"/>
        <v>0</v>
      </c>
      <c r="N31" s="472">
        <f t="shared" ca="1" si="18"/>
        <v>0</v>
      </c>
      <c r="O31" s="472">
        <f t="shared" si="18"/>
        <v>0</v>
      </c>
      <c r="P31" s="473">
        <f t="shared" si="18"/>
        <v>0</v>
      </c>
      <c r="Q31" s="473">
        <f t="shared" ca="1" si="18"/>
        <v>111043.00006667685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0.21538196314449465</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082" t="s">
        <v>388</v>
      </c>
      <c r="B1" s="1091" t="s">
        <v>195</v>
      </c>
      <c r="C1" s="1092"/>
      <c r="D1" s="1092"/>
      <c r="E1" s="1092"/>
      <c r="F1" s="1092"/>
      <c r="G1" s="1092"/>
      <c r="H1" s="1092"/>
      <c r="I1" s="1092"/>
      <c r="J1" s="1092"/>
      <c r="K1" s="1092"/>
      <c r="L1" s="1092"/>
      <c r="M1" s="1092"/>
      <c r="N1" s="1092"/>
      <c r="O1" s="1092"/>
      <c r="P1" s="1092"/>
    </row>
    <row r="2" spans="1:16" ht="15" customHeight="1" outlineLevel="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outlineLevel="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097"/>
      <c r="P13" s="1097"/>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0.21538196314449465</v>
      </c>
      <c r="C17" s="512">
        <f ca="1">'EF ele_warmte'!B22</f>
        <v>0.23764705882352949</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082" t="s">
        <v>328</v>
      </c>
      <c r="B1" s="1091" t="s">
        <v>195</v>
      </c>
      <c r="C1" s="1092"/>
      <c r="D1" s="1092"/>
      <c r="E1" s="1092"/>
      <c r="F1" s="1092"/>
      <c r="G1" s="1092"/>
      <c r="H1" s="1092"/>
      <c r="I1" s="1092"/>
      <c r="J1" s="1092"/>
      <c r="K1" s="1092"/>
      <c r="L1" s="1092"/>
      <c r="M1" s="1092"/>
      <c r="N1" s="1092"/>
      <c r="O1" s="1092"/>
      <c r="P1" s="1092"/>
    </row>
    <row r="2" spans="1:16" ht="15" customHeight="1" thickTop="1">
      <c r="A2" s="1082"/>
      <c r="B2" s="1093" t="s">
        <v>21</v>
      </c>
      <c r="C2" s="1093" t="s">
        <v>196</v>
      </c>
      <c r="D2" s="1094" t="s">
        <v>197</v>
      </c>
      <c r="E2" s="1095"/>
      <c r="F2" s="1095"/>
      <c r="G2" s="1095"/>
      <c r="H2" s="1095"/>
      <c r="I2" s="1095"/>
      <c r="J2" s="1095"/>
      <c r="K2" s="1096"/>
      <c r="L2" s="1094" t="s">
        <v>198</v>
      </c>
      <c r="M2" s="1095"/>
      <c r="N2" s="1095"/>
      <c r="O2" s="1095"/>
      <c r="P2" s="1096"/>
    </row>
    <row r="3" spans="1:16" ht="56.25" customHeight="1">
      <c r="A3" s="1082"/>
      <c r="B3" s="1088"/>
      <c r="C3" s="1088"/>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0.21538196314449465</v>
      </c>
      <c r="C29" s="513">
        <f ca="1">'EF ele_warmte'!B22</f>
        <v>0.23764705882352949</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098"/>
      <c r="K10" s="59"/>
    </row>
    <row r="11" spans="1:11" s="44" customFormat="1">
      <c r="A11" s="45" t="s">
        <v>583</v>
      </c>
      <c r="B11" s="48"/>
      <c r="D11" s="144" t="s">
        <v>394</v>
      </c>
      <c r="I11" s="1098"/>
      <c r="K11" s="59"/>
    </row>
    <row r="12" spans="1:11" s="44" customFormat="1">
      <c r="A12" s="45" t="s">
        <v>584</v>
      </c>
      <c r="B12" s="48"/>
      <c r="D12" s="144" t="s">
        <v>394</v>
      </c>
      <c r="I12" s="1098"/>
      <c r="K12" s="59"/>
    </row>
    <row r="13" spans="1:11" s="44" customFormat="1">
      <c r="A13" s="45"/>
      <c r="B13" s="462"/>
      <c r="D13" s="97"/>
      <c r="I13" s="1098"/>
    </row>
    <row r="14" spans="1:11" s="44" customFormat="1">
      <c r="A14" s="306" t="s">
        <v>581</v>
      </c>
      <c r="B14" s="515"/>
      <c r="C14" s="143" t="s">
        <v>182</v>
      </c>
      <c r="D14" s="146" t="s">
        <v>393</v>
      </c>
      <c r="I14" s="1098"/>
    </row>
    <row r="15" spans="1:11" s="44" customFormat="1">
      <c r="A15" s="45" t="s">
        <v>71</v>
      </c>
      <c r="B15" s="48"/>
      <c r="D15" s="144" t="s">
        <v>394</v>
      </c>
      <c r="I15" s="1098"/>
      <c r="J15" s="1098"/>
    </row>
    <row r="16" spans="1:11" s="44" customFormat="1">
      <c r="A16" s="45" t="s">
        <v>545</v>
      </c>
      <c r="B16" s="48"/>
      <c r="D16" s="144" t="s">
        <v>394</v>
      </c>
      <c r="I16" s="1098"/>
      <c r="J16" s="1098"/>
    </row>
    <row r="17" spans="1:11" s="44" customFormat="1">
      <c r="A17" s="45" t="s">
        <v>78</v>
      </c>
      <c r="B17" s="48"/>
      <c r="D17" s="144" t="s">
        <v>394</v>
      </c>
      <c r="I17" s="1098"/>
      <c r="J17" s="1098"/>
    </row>
    <row r="18" spans="1:11" s="44" customFormat="1">
      <c r="A18" s="45" t="s">
        <v>546</v>
      </c>
      <c r="B18" s="48"/>
      <c r="D18" s="144" t="s">
        <v>394</v>
      </c>
      <c r="I18" s="1098"/>
      <c r="J18" s="1098"/>
      <c r="K18" s="59"/>
    </row>
    <row r="19" spans="1:11" s="44" customFormat="1">
      <c r="A19" s="45" t="s">
        <v>77</v>
      </c>
      <c r="B19" s="48"/>
      <c r="D19" s="144" t="s">
        <v>394</v>
      </c>
      <c r="I19" s="1098"/>
      <c r="J19" s="1099"/>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098"/>
      <c r="J35" s="1098"/>
    </row>
    <row r="36" spans="1:11" s="44" customFormat="1">
      <c r="A36" s="450" t="s">
        <v>545</v>
      </c>
      <c r="B36" s="48"/>
      <c r="D36" s="144" t="s">
        <v>394</v>
      </c>
      <c r="I36" s="1098"/>
      <c r="J36" s="1098"/>
    </row>
    <row r="37" spans="1:11" s="44" customFormat="1">
      <c r="A37" s="450" t="s">
        <v>78</v>
      </c>
      <c r="B37" s="48"/>
      <c r="D37" s="144" t="s">
        <v>394</v>
      </c>
      <c r="I37" s="1098"/>
      <c r="J37" s="1098"/>
    </row>
    <row r="38" spans="1:11" s="44" customFormat="1">
      <c r="A38" s="450" t="s">
        <v>546</v>
      </c>
      <c r="B38" s="48"/>
      <c r="D38" s="144" t="s">
        <v>394</v>
      </c>
      <c r="I38" s="1098"/>
      <c r="J38" s="1098"/>
      <c r="K38" s="59"/>
    </row>
    <row r="39" spans="1:11" s="44" customFormat="1">
      <c r="A39" s="450" t="s">
        <v>77</v>
      </c>
      <c r="B39" s="48"/>
      <c r="D39" s="144" t="s">
        <v>394</v>
      </c>
      <c r="I39" s="1098"/>
      <c r="J39" s="1099"/>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215</vt:i4>
      </vt:variant>
    </vt:vector>
  </HeadingPairs>
  <TitlesOfParts>
    <vt:vector size="244" baseType="lpstr">
      <vt:lpstr>LEGENDE</vt:lpstr>
      <vt:lpstr>OUTPUT--&gt;</vt:lpstr>
      <vt:lpstr>SEAP template</vt:lpstr>
      <vt:lpstr>Inventaris 2012</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2018-06-27T09:20:07Z</dcterms:modified>
</cp:coreProperties>
</file>