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E30" s="1"/>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E68"/>
  <c r="E69" s="1"/>
  <c r="I68"/>
  <c r="M68"/>
  <c r="M69" s="1"/>
  <c r="D19" i="18"/>
  <c r="H19"/>
  <c r="L19"/>
  <c r="B68" i="14"/>
  <c r="G68"/>
  <c r="G69" s="1"/>
  <c r="K68"/>
  <c r="E81"/>
  <c r="M81"/>
  <c r="F19" i="18"/>
  <c r="D11" i="14"/>
  <c r="C4" i="48"/>
  <c r="M8" i="18"/>
  <c r="M17"/>
  <c r="M18"/>
  <c r="D13" i="14"/>
  <c r="F7" i="48" l="1"/>
  <c r="F24" s="1"/>
  <c r="C19" i="18"/>
  <c r="B19"/>
  <c r="F12" i="17"/>
  <c r="G48" i="14" s="1"/>
  <c r="I19" i="18"/>
  <c r="C68" i="14"/>
  <c r="L8" i="17"/>
  <c r="L5"/>
  <c r="J81"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M22" i="14"/>
  <c r="L7" i="48"/>
  <c r="L24" s="1"/>
  <c r="L12" i="17"/>
  <c r="M48" i="14" s="1"/>
  <c r="M13" i="48"/>
  <c r="M51" i="22"/>
  <c r="M50" s="1"/>
  <c r="M54" s="1"/>
  <c r="M10" i="48" s="1"/>
  <c r="M27" s="1"/>
  <c r="H31" i="20"/>
  <c r="I43" i="14" s="1"/>
  <c r="H13" i="48"/>
  <c r="H30" s="1"/>
  <c r="M31" i="20"/>
  <c r="N43" i="14" s="1"/>
  <c r="G50" i="22"/>
  <c r="G54" s="1"/>
  <c r="H18" i="14" s="1"/>
  <c r="G13" i="48"/>
  <c r="G30" s="1"/>
  <c r="H17" i="14"/>
  <c r="R17" s="1"/>
  <c r="M5" i="22"/>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7" l="1"/>
  <c r="E24" s="1"/>
  <c r="E12" i="17"/>
  <c r="F48" i="14" s="1"/>
  <c r="M14" i="22"/>
  <c r="M18" s="1"/>
  <c r="N45" i="14" s="1"/>
  <c r="N46" s="1"/>
  <c r="N53" s="1"/>
  <c r="I7" i="18"/>
  <c r="I9" s="1"/>
  <c r="E13" i="14"/>
  <c r="J7" i="18"/>
  <c r="J9" s="1"/>
  <c r="E10" i="14"/>
  <c r="D5" i="48"/>
  <c r="D22" s="1"/>
  <c r="D31" s="1"/>
  <c r="J16" i="15"/>
  <c r="K10" i="14" s="1"/>
  <c r="C9" i="18"/>
  <c r="D67" i="14"/>
  <c r="N7" i="48"/>
  <c r="N24" s="1"/>
  <c r="N12" i="17"/>
  <c r="O48" i="14" s="1"/>
  <c r="K78"/>
  <c r="M16" i="18"/>
  <c r="M19" s="1"/>
  <c r="J19"/>
  <c r="O22" i="14"/>
  <c r="R22" s="1"/>
  <c r="P15"/>
  <c r="P23" s="1"/>
  <c r="O8" i="48"/>
  <c r="O25" s="1"/>
  <c r="P13" i="14"/>
  <c r="F67"/>
  <c r="F69" s="1"/>
  <c r="E9" i="18"/>
  <c r="E16" i="15"/>
  <c r="F10" i="14" s="1"/>
  <c r="O22" i="16"/>
  <c r="P39" i="14" s="1"/>
  <c r="P41" s="1"/>
  <c r="P53" s="1"/>
  <c r="P55" s="1"/>
  <c r="I67"/>
  <c r="I69" s="1"/>
  <c r="H9" i="18"/>
  <c r="Q13" i="48"/>
  <c r="G18" i="22"/>
  <c r="H45" i="14" s="1"/>
  <c r="G58" i="22"/>
  <c r="H44" i="14" s="1"/>
  <c r="M58" i="22"/>
  <c r="N44" i="14" s="1"/>
  <c r="G10" i="48"/>
  <c r="G27" s="1"/>
  <c r="N18" i="14"/>
  <c r="R18"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M7" i="18" l="1"/>
  <c r="M9" s="1"/>
  <c r="J67" i="14"/>
  <c r="C67" s="1"/>
  <c r="C69" s="1"/>
  <c r="Q7" i="48"/>
  <c r="J20" i="15"/>
  <c r="K36" i="14" s="1"/>
  <c r="K67"/>
  <c r="K69" s="1"/>
  <c r="E15"/>
  <c r="E23" s="1"/>
  <c r="J5" i="48"/>
  <c r="J22" s="1"/>
  <c r="D14"/>
  <c r="N18" i="16"/>
  <c r="N8" i="48" s="1"/>
  <c r="J18" i="16"/>
  <c r="J8" i="48" s="1"/>
  <c r="J25" s="1"/>
  <c r="D69" i="14"/>
  <c r="O67"/>
  <c r="F18" i="16"/>
  <c r="G13" i="14" s="1"/>
  <c r="G15" s="1"/>
  <c r="G23" s="1"/>
  <c r="E18" i="16"/>
  <c r="E8" i="48" s="1"/>
  <c r="E20" i="15"/>
  <c r="F36" i="14" s="1"/>
  <c r="C78"/>
  <c r="C81" s="1"/>
  <c r="K81"/>
  <c r="O14" i="48"/>
  <c r="G9"/>
  <c r="G26" s="1"/>
  <c r="G31" s="1"/>
  <c r="H19" i="14"/>
  <c r="H20" s="1"/>
  <c r="H23" s="1"/>
  <c r="Q10" i="48"/>
  <c r="H46" i="14"/>
  <c r="H53" s="1"/>
  <c r="N19"/>
  <c r="N20" s="1"/>
  <c r="N23" s="1"/>
  <c r="N55" s="1"/>
  <c r="M9" i="48"/>
  <c r="Q9" s="1"/>
  <c r="I55" i="14"/>
  <c r="H26" i="48"/>
  <c r="H31" s="1"/>
  <c r="H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K13" l="1"/>
  <c r="K15" s="1"/>
  <c r="K23" s="1"/>
  <c r="K55" s="1"/>
  <c r="J69"/>
  <c r="J31" i="48"/>
  <c r="J14"/>
  <c r="O13" i="14"/>
  <c r="O15" s="1"/>
  <c r="N22" i="16"/>
  <c r="O39" i="14" s="1"/>
  <c r="O41" s="1"/>
  <c r="O53" s="1"/>
  <c r="E55"/>
  <c r="E25" i="48"/>
  <c r="E31" s="1"/>
  <c r="E14"/>
  <c r="N25"/>
  <c r="N31" s="1"/>
  <c r="N14"/>
  <c r="E22" i="16"/>
  <c r="F39" i="14" s="1"/>
  <c r="F41" s="1"/>
  <c r="F53" s="1"/>
  <c r="F55" s="1"/>
  <c r="J22" i="16"/>
  <c r="K39" i="14" s="1"/>
  <c r="K41" s="1"/>
  <c r="K53" s="1"/>
  <c r="Q8" i="48"/>
  <c r="Q14" s="1"/>
  <c r="F13" i="14"/>
  <c r="F15" s="1"/>
  <c r="F23" s="1"/>
  <c r="G14" i="48"/>
  <c r="H55" i="14"/>
  <c r="M14" i="48"/>
  <c r="R19" i="14"/>
  <c r="R20" s="1"/>
  <c r="M26" i="48"/>
  <c r="M31" s="1"/>
  <c r="G53" i="14"/>
  <c r="G55" s="1"/>
  <c r="O69" s="1"/>
  <c r="B9" i="6" s="1"/>
  <c r="B12" s="1"/>
  <c r="M53" i="14"/>
  <c r="M55" s="1"/>
  <c r="C12" i="13"/>
  <c r="D37" i="14" s="1"/>
  <c r="D41" s="1"/>
  <c r="C23" i="48"/>
  <c r="C24"/>
  <c r="C27"/>
  <c r="C28"/>
  <c r="C22"/>
  <c r="C25"/>
  <c r="C29"/>
  <c r="C21"/>
  <c r="C26"/>
  <c r="F25"/>
  <c r="F31" s="1"/>
  <c r="F14"/>
  <c r="R13" i="14" l="1"/>
  <c r="R15" s="1"/>
  <c r="R23"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<sst xmlns="http://schemas.openxmlformats.org/spreadsheetml/2006/main" count="2045" uniqueCount="890">
  <si>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</si>
  <si>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</si>
  <si>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</si>
  <si>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</si>
  <si>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</si>
  <si>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</si>
  <si>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</si>
  <si>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</si>
  <si>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</si>
  <si>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</si>
  <si>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</si>
  <si>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</si>
  <si>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</si>
  <si>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</si>
  <si>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</si>
  <si>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</si>
  <si>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</si>
  <si>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</si>
  <si>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</si>
  <si>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</si>
  <si>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</si>
  <si>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</si>
  <si>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</si>
  <si>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</si>
  <si>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</si>
  <si>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</si>
  <si>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</si>
  <si>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</si>
  <si>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</si>
  <si>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</si>
  <si>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</si>
  <si>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</si>
  <si>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</si>
  <si>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</si>
  <si>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</si>
  <si>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</si>
  <si>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</si>
  <si>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</si>
  <si>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</si>
  <si>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</si>
  <si>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</si>
  <si>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</si>
  <si>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</si>
  <si>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</si>
  <si>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</si>
  <si>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</si>
  <si>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</si>
  <si>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</si>
  <si>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</si>
  <si>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</si>
  <si>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</si>
  <si>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</si>
  <si>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</si>
  <si>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</si>
  <si>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</si>
  <si>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</si>
  <si>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</si>
  <si>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</si>
  <si>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</si>
  <si>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</si>
  <si>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</si>
  <si>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</si>
  <si>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</si>
  <si>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</si>
  <si>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</si>
  <si>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</si>
  <si>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</si>
  <si>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</si>
  <si>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</si>
  <si>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</si>
  <si>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</si>
  <si>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</si>
  <si>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</si>
  <si>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</si>
  <si>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</si>
  <si>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</si>
  <si>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</si>
  <si>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</si>
  <si>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</si>
  <si>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</si>
  <si>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</si>
  <si>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</si>
  <si>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</si>
  <si>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</si>
  <si>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</si>
  <si>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</si>
  <si>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</si>
  <si>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</si>
  <si>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</si>
  <si>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</si>
  <si>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</si>
  <si>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</si>
  <si>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</si>
  <si>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</si>
  <si>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</si>
  <si>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</si>
  <si>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</si>
  <si>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</si>
  <si>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</si>
  <si>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</si>
  <si>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</si>
  <si>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</si>
  <si>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</si>
  <si>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</si>
  <si>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</si>
  <si>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</si>
  <si>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</si>
  <si>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</si>
  <si>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</si>
  <si>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</si>
  <si>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</si>
  <si>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</si>
  <si>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</si>
  <si>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</si>
  <si>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</si>
  <si>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</si>
  <si>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</si>
  <si>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</si>
  <si>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</si>
  <si>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</si>
  <si>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</si>
  <si>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</si>
  <si>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</si>
  <si>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</si>
  <si>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</si>
  <si>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</si>
  <si>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</si>
  <si>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</si>
  <si>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</si>
  <si>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</si>
  <si>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</si>
  <si>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</si>
  <si>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</si>
  <si>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</si>
  <si>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</si>
  <si>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</si>
  <si>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</si>
  <si>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</si>
  <si>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</si>
  <si>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</si>
  <si>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</si>
  <si>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</si>
  <si>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</si>
  <si>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</si>
  <si>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</si>
  <si>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</si>
  <si>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</si>
  <si>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</si>
  <si>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</si>
  <si>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</si>
  <si>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</si>
  <si>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</si>
  <si>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</si>
  <si>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</si>
  <si>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</si>
  <si>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</si>
  <si>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</si>
  <si>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</si>
  <si>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</si>
  <si>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</si>
  <si>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</si>
  <si>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</si>
  <si>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</si>
  <si>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</si>
  <si>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</si>
  <si>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</si>
  <si>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</si>
  <si>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</si>
  <si>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</si>
  <si>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</si>
  <si>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</si>
  <si>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</si>
  <si>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</si>
  <si>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</si>
  <si>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</si>
  <si>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</si>
  <si>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</si>
  <si>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</si>
  <si>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</si>
  <si>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</si>
  <si>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</si>
  <si>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</si>
  <si>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</si>
  <si>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</si>
  <si>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</si>
  <si>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</si>
  <si>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</si>
  <si>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</si>
  <si>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</si>
  <si>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</si>
  <si>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</si>
  <si>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</si>
  <si>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</si>
  <si>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</si>
  <si>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</si>
  <si>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</si>
  <si>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</si>
  <si>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</si>
  <si>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</si>
  <si>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</si>
  <si>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</si>
  <si>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</si>
  <si>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</si>
  <si>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</si>
  <si>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</si>
  <si>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</si>
  <si>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</si>
  <si>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</si>
  <si>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</si>
  <si>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</si>
  <si>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</si>
  <si>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</si>
  <si>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</si>
  <si>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</si>
  <si>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</si>
  <si>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</si>
  <si>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</si>
  <si>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</si>
  <si>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</si>
  <si>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</si>
  <si>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</si>
  <si>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</si>
  <si>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</si>
  <si>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</si>
  <si>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</si>
  <si>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</si>
  <si>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</si>
  <si>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</si>
  <si>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</si>
  <si>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</si>
  <si>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</si>
  <si>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</si>
  <si>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</si>
  <si>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</si>
  <si>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</si>
  <si>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</si>
  <si>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</si>
  <si>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</si>
  <si>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</si>
  <si>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</si>
  <si>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</si>
  <si>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</si>
  <si>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</si>
  <si>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</si>
  <si>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</si>
  <si>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</si>
  <si>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</si>
  <si>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</si>
  <si>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</si>
  <si>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</si>
  <si>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</si>
  <si>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</si>
  <si>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</si>
  <si>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</si>
  <si>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</si>
  <si>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</si>
  <si>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</si>
  <si>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</si>
  <si>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</si>
  <si>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</si>
  <si>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</si>
  <si>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</si>
  <si>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</si>
  <si>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</si>
  <si>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</si>
  <si>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</si>
  <si>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</si>
  <si>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</si>
  <si>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</si>
  <si>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</si>
  <si>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</si>
  <si>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</si>
  <si>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</si>
  <si>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</si>
  <si>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</si>
  <si>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</si>
  <si>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</si>
  <si>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</si>
  <si>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</si>
  <si>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</si>
  <si>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</si>
  <si>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</si>
  <si>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</si>
  <si>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</si>
  <si>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</si>
  <si>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</si>
  <si>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</si>
  <si>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</si>
  <si>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</si>
  <si>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</si>
  <si>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</si>
  <si>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</si>
  <si>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</si>
  <si>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</si>
  <si>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</si>
  <si>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</si>
  <si>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</si>
  <si>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</si>
  <si>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</si>
  <si>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</si>
  <si>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</si>
  <si>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</si>
  <si>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</si>
  <si>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</si>
  <si>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</si>
  <si>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</si>
  <si>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</si>
  <si>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</si>
  <si>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</si>
  <si>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</si>
  <si>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</si>
  <si>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</si>
  <si>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</si>
  <si>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</si>
  <si>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</si>
  <si>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</si>
  <si>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</si>
  <si>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</si>
  <si>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</si>
  <si>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</si>
  <si>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</si>
  <si>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</si>
  <si>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</si>
  <si>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</si>
  <si>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</si>
  <si>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</si>
  <si>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</si>
  <si>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</si>
  <si>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</si>
  <si>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</si>
  <si>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</si>
  <si>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</si>
  <si>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</si>
  <si>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</si>
  <si>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</si>
  <si>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</si>
  <si>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</si>
  <si>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</si>
  <si>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</si>
  <si>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</si>
  <si>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</si>
  <si>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</si>
  <si>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</si>
  <si>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</si>
  <si>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</si>
  <si>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</si>
  <si>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</si>
  <si>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</si>
  <si>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</si>
  <si>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</si>
  <si>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</si>
  <si>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</si>
  <si>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</si>
  <si>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</si>
  <si>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</si>
  <si>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</si>
  <si>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</si>
  <si>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</si>
  <si>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</si>
  <si>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</si>
  <si>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</si>
  <si>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</si>
  <si>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</si>
  <si>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</si>
  <si>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</si>
  <si>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</si>
  <si>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</si>
  <si>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</si>
  <si>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</si>
  <si>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</si>
  <si>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</si>
  <si>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</si>
  <si>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</si>
  <si>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</si>
  <si>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</si>
  <si>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</si>
  <si>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</si>
  <si>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</si>
  <si>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</si>
  <si>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</si>
  <si>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</si>
  <si>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</si>
  <si>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</si>
  <si>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</si>
  <si>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</si>
  <si>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</si>
  <si>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</si>
  <si>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</si>
  <si>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</si>
  <si>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</si>
  <si>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</si>
  <si>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</si>
  <si>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</si>
  <si>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</si>
  <si>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</si>
  <si>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</si>
  <si>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</si>
  <si>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</si>
  <si>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</si>
  <si>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</si>
  <si>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</si>
  <si>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</si>
  <si>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</si>
  <si>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</si>
  <si>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</si>
  <si>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</si>
  <si>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</si>
  <si>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</si>
  <si>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</si>
  <si>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</si>
  <si>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</si>
  <si>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</si>
  <si>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</si>
  <si>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</si>
  <si>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</si>
  <si>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</si>
  <si>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</si>
  <si>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</si>
  <si>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</si>
  <si>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</si>
  <si>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</si>
  <si>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</si>
  <si>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</si>
  <si>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</si>
  <si>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</si>
  <si>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</si>
  <si>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</si>
  <si>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</si>
  <si>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</si>
  <si>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</si>
  <si>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</si>
  <si>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</si>
  <si>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</si>
  <si>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</si>
  <si>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</si>
  <si>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</si>
  <si>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</si>
  <si>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</si>
  <si>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</si>
  <si>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</si>
  <si>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</si>
  <si>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</si>
  <si>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</si>
  <si>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</si>
  <si>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</si>
  <si>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</si>
  <si>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</si>
  <si>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</si>
  <si>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</si>
  <si>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</si>
  <si>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</si>
  <si>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</si>
  <si>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</si>
  <si>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</si>
  <si>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</si>
  <si>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</si>
  <si>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</si>
  <si>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</si>
  <si>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</si>
  <si>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</si>
  <si>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</si>
  <si>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</si>
  <si>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</si>
  <si>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</si>
  <si>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</si>
  <si>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</si>
  <si>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</si>
  <si>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</si>
  <si>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</si>
  <si>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</si>
  <si>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</si>
  <si>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</si>
  <si>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</si>
  <si>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</si>
  <si>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</si>
  <si>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</si>
  <si>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</si>
  <si>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</si>
  <si>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</si>
  <si>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</si>
  <si>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</si>
  <si>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</si>
  <si>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</si>
  <si>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</si>
  <si>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</si>
  <si>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</si>
  <si>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</si>
  <si>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</si>
  <si>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</si>
  <si>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</si>
  <si>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</si>
  <si>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</si>
  <si>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</si>
  <si>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</si>
  <si>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</si>
  <si>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</si>
  <si>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</si>
  <si>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</si>
  <si>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</si>
  <si>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</si>
  <si>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</si>
  <si>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</si>
  <si>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</si>
  <si>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</si>
  <si>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</si>
  <si>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</si>
  <si>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</si>
  <si>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</si>
  <si>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</si>
  <si>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</si>
  <si>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</si>
  <si>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</si>
  <si>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</si>
  <si>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</si>
  <si>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</si>
  <si>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</si>
  <si>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</si>
  <si>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</si>
  <si>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</si>
  <si>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</si>
  <si>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</si>
  <si>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</si>
  <si>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</si>
  <si>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</si>
  <si>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</si>
  <si>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</si>
  <si>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</si>
  <si>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</si>
  <si>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</si>
  <si>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</si>
  <si>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</si>
  <si>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</si>
  <si>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</si>
  <si>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</si>
  <si>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</si>
  <si>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</si>
  <si>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</si>
  <si>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</si>
  <si>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</si>
  <si>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</si>
  <si>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</si>
  <si>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</si>
  <si>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</si>
  <si>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</si>
  <si>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</si>
  <si>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</si>
  <si>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</si>
  <si>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</si>
  <si>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</si>
  <si>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</si>
  <si>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</si>
  <si>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</si>
  <si>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</si>
  <si>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</si>
  <si>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</si>
  <si>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</si>
  <si>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</si>
  <si>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</si>
  <si>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</si>
  <si>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</si>
  <si>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</si>
  <si>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</si>
  <si>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</si>
  <si>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</si>
  <si>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</si>
  <si>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</si>
  <si>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</si>
  <si>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</si>
  <si>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</si>
  <si>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</si>
  <si>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</si>
  <si>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</si>
  <si>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</si>
  <si>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</si>
  <si>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</si>
  <si>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</si>
  <si>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</si>
  <si>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</si>
  <si>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</si>
  <si>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</si>
  <si>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</si>
  <si>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</si>
  <si>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</si>
  <si>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</si>
  <si>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</si>
  <si>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</si>
  <si>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</si>
  <si>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</si>
  <si>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</si>
  <si>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</si>
  <si>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</si>
  <si>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</si>
  <si>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</si>
  <si>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</si>
  <si>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</si>
  <si>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</si>
  <si>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</si>
  <si>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</si>
  <si>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</si>
  <si>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</si>
  <si>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</si>
  <si>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</si>
  <si>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</si>
  <si>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</si>
  <si>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</si>
  <si>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</si>
  <si>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</si>
  <si>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</si>
  <si>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</si>
  <si>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</si>
  <si>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</si>
  <si>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</si>
  <si>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</si>
  <si>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</si>
  <si>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</si>
  <si>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</si>
  <si>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</si>
  <si>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</si>
  <si>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</si>
  <si>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</si>
  <si>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</si>
  <si>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</si>
  <si>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</si>
  <si>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</si>
  <si>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</si>
  <si>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</si>
  <si>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</si>
  <si>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</si>
  <si>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</si>
  <si>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</si>
  <si>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</si>
  <si>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</si>
  <si>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</si>
  <si>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</si>
  <si>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</si>
  <si>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</si>
  <si>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</si>
  <si>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</si>
  <si>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</si>
  <si>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</si>
  <si>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</si>
  <si>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</si>
  <si>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</si>
  <si>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</si>
  <si>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</si>
  <si>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</si>
  <si>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</si>
  <si>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</si>
  <si>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</si>
  <si>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</si>
  <si>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</si>
  <si>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</si>
  <si>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</si>
  <si>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</si>
  <si>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</si>
  <si>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</si>
  <si>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</si>
  <si>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</si>
  <si>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</si>
  <si>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</si>
  <si>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</si>
  <si>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</si>
  <si>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</si>
  <si>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</si>
  <si>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</si>
  <si>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</si>
  <si>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</si>
  <si>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</si>
  <si>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</si>
  <si>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</si>
  <si>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</si>
  <si>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</si>
  <si>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</si>
  <si>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</si>
  <si>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</si>
  <si>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</si>
  <si>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</si>
  <si>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</si>
  <si>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</si>
  <si>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</si>
  <si>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</si>
  <si>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</si>
  <si>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</si>
  <si>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</si>
  <si>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</si>
  <si>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</si>
  <si>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</si>
  <si>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</si>
  <si>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</si>
  <si>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</si>
  <si>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</si>
  <si>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</si>
  <si>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</si>
  <si>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</si>
  <si>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</si>
  <si>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</si>
  <si>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</si>
  <si>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</si>
  <si>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</si>
  <si>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</si>
  <si>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</si>
  <si>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</si>
  <si>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</si>
  <si>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</si>
  <si>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</si>
  <si>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</si>
  <si>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</si>
  <si>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</si>
  <si>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</si>
  <si>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</si>
  <si>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</si>
  <si>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</si>
  <si>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</si>
  <si>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</si>
  <si>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</si>
  <si>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</si>
  <si>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</si>
  <si>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</si>
  <si>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</si>
  <si>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</si>
  <si>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</si>
  <si>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</si>
  <si>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</si>
  <si>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</si>
  <si>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</si>
  <si>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</si>
  <si>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</si>
  <si>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</si>
  <si>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</si>
  <si>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</si>
  <si>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</si>
  <si>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</si>
  <si>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</si>
  <si>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</si>
  <si>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</si>
  <si>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</si>
  <si>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</si>
  <si>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</si>
  <si>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</si>
  <si>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</si>
  <si>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</si>
  <si>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</si>
  <si>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</si>
  <si>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</si>
  <si>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</si>
  <si>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</si>
  <si>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</si>
  <si>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</si>
  <si>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</si>
  <si>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</si>
  <si>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</si>
  <si>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</si>
  <si>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</si>
  <si>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</si>
  <si>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</si>
  <si>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</si>
  <si>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</si>
  <si>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</si>
  <si>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</si>
  <si>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</si>
  <si>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</si>
  <si>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</si>
  <si>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</si>
  <si>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</si>
  <si>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</si>
  <si>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</si>
  <si>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</si>
  <si>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</si>
  <si>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</si>
  <si>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</si>
  <si>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</si>
  <si>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</si>
  <si>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</si>
  <si>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</si>
  <si>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</si>
  <si>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</si>
  <si>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</si>
  <si>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</si>
  <si>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</si>
  <si>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</si>
  <si>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</si>
  <si>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</si>
  <si>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</si>
  <si>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</si>
  <si>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</si>
  <si>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</si>
  <si>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</si>
  <si>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</si>
  <si>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</si>
  <si>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</si>
  <si>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</si>
  <si>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</si>
  <si>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</si>
  <si>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</si>
  <si>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</si>
  <si>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</si>
  <si>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</si>
  <si>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</si>
  <si>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</si>
  <si>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</si>
  <si>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</si>
  <si>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</si>
  <si>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</si>
  <si>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</si>
  <si>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</si>
  <si>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</si>
  <si>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</si>
  <si>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</si>
  <si>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</si>
  <si>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</si>
  <si>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</si>
  <si>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</si>
  <si>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</si>
  <si>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</si>
  <si>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</si>
  <si>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</si>
  <si>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</si>
  <si>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</si>
  <si>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</si>
  <si>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</si>
  <si>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</si>
  <si>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</si>
  <si>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</si>
  <si>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</si>
  <si>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</si>
  <si>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</si>
  <si>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</si>
  <si>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</si>
  <si>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</si>
  <si>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</si>
  <si>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</si>
  <si>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</si>
  <si>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</si>
  <si>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</si>
  <si>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</si>
  <si>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</si>
  <si>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</si>
  <si>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</si>
  <si>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</si>
  <si>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</si>
  <si>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</si>
  <si>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</si>
  <si>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</si>
  <si>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</si>
  <si>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</si>
  <si>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</si>
  <si>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</si>
  <si>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</si>
  <si>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</si>
  <si>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</si>
  <si>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</si>
  <si>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</si>
  <si>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</si>
  <si>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</si>
  <si>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</si>
  <si>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</si>
  <si>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</si>
  <si>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</si>
  <si>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</si>
  <si>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</si>
  <si>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</si>
  <si>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</si>
  <si>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</si>
  <si>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</si>
  <si>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</si>
  <si>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</si>
  <si>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</si>
  <si>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</si>
  <si>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</si>
  <si>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</si>
  <si>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</si>
  <si>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44019</t>
  </si>
  <si>
    <t>EVERGEM</t>
  </si>
  <si>
    <t>Paarden&amp;pony's 200 - 600 kg</t>
  </si>
  <si>
    <t>Paarden&amp;pony's &lt; 200 kg</t>
  </si>
  <si>
    <t>op basis van VEA (maart 2018) en Inventaris Hernieuwbare Energiebronnen (juni 2018)</t>
  </si>
  <si>
    <t>VEA (juni 2018)</t>
  </si>
  <si>
    <t>E. Van Wingen nv</t>
  </si>
  <si>
    <t>Industrieterrein Durmakker 27 , 9940 Evergem</t>
  </si>
  <si>
    <t>WKK-0260 Van Wingen Evergem</t>
  </si>
  <si>
    <t>interne verbrandingsmotor</t>
  </si>
  <si>
    <t>WKK interne verbrandinsgmotor (gas)</t>
  </si>
  <si>
    <t>IMEWO</t>
  </si>
  <si>
    <t>Biolectric nv</t>
  </si>
  <si>
    <t>Jan de Malschelaan 4 B, 9140 Temse</t>
  </si>
  <si>
    <t>WKK-0482 Philip Vereecke</t>
  </si>
  <si>
    <t>Volpenswege 19 , 9940 Sleidinge</t>
  </si>
  <si>
    <t>TWZ nv</t>
  </si>
  <si>
    <t>Durmakker 4 , 9940 Evergem</t>
  </si>
  <si>
    <t>WKK-0455 TWZ</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</si>
</sst>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44019</v>
      </c>
      <c r="B6" s="397"/>
      <c r="C6" s="398"/>
    </row>
    <row r="7" spans="1:7" s="395" customFormat="1" ht="15.75" customHeight="1">
      <c r="A7" s="399" t="str">
        <f>txtMunicipality</f>
        <v>EVERGEM</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44019</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13614</v>
      </c>
      <c r="C9" s="338">
        <v>14365</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4280</v>
      </c>
    </row>
    <row r="15" spans="1:6">
      <c r="A15" s="1205" t="s">
        <v>184</v>
      </c>
      <c r="B15" s="335">
        <v>56</v>
      </c>
    </row>
    <row r="16" spans="1:6">
      <c r="A16" s="1205" t="s">
        <v>6</v>
      </c>
      <c r="B16" s="335">
        <v>2504</v>
      </c>
    </row>
    <row r="17" spans="1:6">
      <c r="A17" s="1205" t="s">
        <v>7</v>
      </c>
      <c r="B17" s="335">
        <v>1450</v>
      </c>
    </row>
    <row r="18" spans="1:6">
      <c r="A18" s="1205" t="s">
        <v>8</v>
      </c>
      <c r="B18" s="335">
        <v>2790</v>
      </c>
    </row>
    <row r="19" spans="1:6">
      <c r="A19" s="1205" t="s">
        <v>9</v>
      </c>
      <c r="B19" s="335">
        <v>2900</v>
      </c>
    </row>
    <row r="20" spans="1:6">
      <c r="A20" s="1205" t="s">
        <v>10</v>
      </c>
      <c r="B20" s="335">
        <v>1538</v>
      </c>
    </row>
    <row r="21" spans="1:6">
      <c r="A21" s="1205" t="s">
        <v>11</v>
      </c>
      <c r="B21" s="335">
        <v>10448</v>
      </c>
    </row>
    <row r="22" spans="1:6">
      <c r="A22" s="1205" t="s">
        <v>12</v>
      </c>
      <c r="B22" s="335">
        <v>20433</v>
      </c>
    </row>
    <row r="23" spans="1:6">
      <c r="A23" s="1205" t="s">
        <v>13</v>
      </c>
      <c r="B23" s="335">
        <v>539</v>
      </c>
    </row>
    <row r="24" spans="1:6">
      <c r="A24" s="1205" t="s">
        <v>14</v>
      </c>
      <c r="B24" s="335">
        <v>57</v>
      </c>
    </row>
    <row r="25" spans="1:6">
      <c r="A25" s="1205" t="s">
        <v>15</v>
      </c>
      <c r="B25" s="335">
        <v>2723</v>
      </c>
    </row>
    <row r="26" spans="1:6">
      <c r="A26" s="1205" t="s">
        <v>16</v>
      </c>
      <c r="B26" s="335">
        <v>267</v>
      </c>
    </row>
    <row r="27" spans="1:6">
      <c r="A27" s="1205" t="s">
        <v>17</v>
      </c>
      <c r="B27" s="335">
        <v>2</v>
      </c>
    </row>
    <row r="28" spans="1:6" s="341" customFormat="1">
      <c r="A28" s="1206" t="s">
        <v>18</v>
      </c>
      <c r="B28" s="1206">
        <v>53197</v>
      </c>
    </row>
    <row r="29" spans="1:6">
      <c r="A29" s="1206" t="s">
        <v>873</v>
      </c>
      <c r="B29" s="1206">
        <v>344</v>
      </c>
      <c r="C29" s="341"/>
      <c r="D29" s="341"/>
      <c r="E29" s="341"/>
      <c r="F29" s="341"/>
    </row>
    <row r="30" spans="1:6">
      <c r="A30" s="1201" t="s">
        <v>874</v>
      </c>
      <c r="B30" s="1201">
        <v>69</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6</v>
      </c>
      <c r="F35" s="335">
        <v>76968.717419490698</v>
      </c>
    </row>
    <row r="36" spans="1:6">
      <c r="A36" s="1205" t="s">
        <v>25</v>
      </c>
      <c r="B36" s="1205" t="s">
        <v>27</v>
      </c>
      <c r="C36" s="335">
        <v>3</v>
      </c>
      <c r="D36" s="335">
        <v>225476.29503995201</v>
      </c>
      <c r="E36" s="335">
        <v>0</v>
      </c>
      <c r="F36" s="335">
        <v>0</v>
      </c>
    </row>
    <row r="37" spans="1:6">
      <c r="A37" s="1205" t="s">
        <v>25</v>
      </c>
      <c r="B37" s="1205" t="s">
        <v>28</v>
      </c>
      <c r="C37" s="335">
        <v>0</v>
      </c>
      <c r="D37" s="335">
        <v>0</v>
      </c>
      <c r="E37" s="335">
        <v>0</v>
      </c>
      <c r="F37" s="335">
        <v>0</v>
      </c>
    </row>
    <row r="38" spans="1:6">
      <c r="A38" s="1205" t="s">
        <v>25</v>
      </c>
      <c r="B38" s="1205" t="s">
        <v>29</v>
      </c>
      <c r="C38" s="335">
        <v>0</v>
      </c>
      <c r="D38" s="335">
        <v>0</v>
      </c>
      <c r="E38" s="335">
        <v>4</v>
      </c>
      <c r="F38" s="335">
        <v>275282.68099340098</v>
      </c>
    </row>
    <row r="39" spans="1:6">
      <c r="A39" s="1205" t="s">
        <v>30</v>
      </c>
      <c r="B39" s="1205" t="s">
        <v>31</v>
      </c>
      <c r="C39" s="335">
        <v>6947</v>
      </c>
      <c r="D39" s="335">
        <v>118249670.61403701</v>
      </c>
      <c r="E39" s="335">
        <v>13307</v>
      </c>
      <c r="F39" s="335">
        <v>66369390.364831299</v>
      </c>
    </row>
    <row r="40" spans="1:6">
      <c r="A40" s="1205" t="s">
        <v>30</v>
      </c>
      <c r="B40" s="1205" t="s">
        <v>29</v>
      </c>
      <c r="C40" s="335">
        <v>0</v>
      </c>
      <c r="D40" s="335">
        <v>0</v>
      </c>
      <c r="E40" s="335">
        <v>1</v>
      </c>
      <c r="F40" s="335">
        <v>16380.7484174368</v>
      </c>
    </row>
    <row r="41" spans="1:6">
      <c r="A41" s="1205" t="s">
        <v>32</v>
      </c>
      <c r="B41" s="1205" t="s">
        <v>33</v>
      </c>
      <c r="C41" s="335">
        <v>78</v>
      </c>
      <c r="D41" s="335">
        <v>35433946.410011202</v>
      </c>
      <c r="E41" s="335">
        <v>274</v>
      </c>
      <c r="F41" s="335">
        <v>2288617.5591566102</v>
      </c>
    </row>
    <row r="42" spans="1:6">
      <c r="A42" s="1205" t="s">
        <v>32</v>
      </c>
      <c r="B42" s="1205" t="s">
        <v>34</v>
      </c>
      <c r="C42" s="335">
        <v>0</v>
      </c>
      <c r="D42" s="335">
        <v>0</v>
      </c>
      <c r="E42" s="335">
        <v>5</v>
      </c>
      <c r="F42" s="335">
        <v>45080399.785203896</v>
      </c>
    </row>
    <row r="43" spans="1:6">
      <c r="A43" s="1205" t="s">
        <v>32</v>
      </c>
      <c r="B43" s="1205" t="s">
        <v>35</v>
      </c>
      <c r="C43" s="335">
        <v>0</v>
      </c>
      <c r="D43" s="335">
        <v>0</v>
      </c>
      <c r="E43" s="335">
        <v>0</v>
      </c>
      <c r="F43" s="335">
        <v>0</v>
      </c>
    </row>
    <row r="44" spans="1:6">
      <c r="A44" s="1205" t="s">
        <v>32</v>
      </c>
      <c r="B44" s="1205" t="s">
        <v>36</v>
      </c>
      <c r="C44" s="335">
        <v>5</v>
      </c>
      <c r="D44" s="335">
        <v>74852.233968312095</v>
      </c>
      <c r="E44" s="335">
        <v>37</v>
      </c>
      <c r="F44" s="335">
        <v>478110.87773032603</v>
      </c>
    </row>
    <row r="45" spans="1:6">
      <c r="A45" s="1205" t="s">
        <v>32</v>
      </c>
      <c r="B45" s="1205" t="s">
        <v>37</v>
      </c>
      <c r="C45" s="335">
        <v>0</v>
      </c>
      <c r="D45" s="335">
        <v>0</v>
      </c>
      <c r="E45" s="335">
        <v>3</v>
      </c>
      <c r="F45" s="335">
        <v>135306.60426271099</v>
      </c>
    </row>
    <row r="46" spans="1:6">
      <c r="A46" s="1205" t="s">
        <v>32</v>
      </c>
      <c r="B46" s="1205" t="s">
        <v>38</v>
      </c>
      <c r="C46" s="335">
        <v>0</v>
      </c>
      <c r="D46" s="335">
        <v>0</v>
      </c>
      <c r="E46" s="335">
        <v>0</v>
      </c>
      <c r="F46" s="335">
        <v>0</v>
      </c>
    </row>
    <row r="47" spans="1:6">
      <c r="A47" s="1205" t="s">
        <v>32</v>
      </c>
      <c r="B47" s="1205" t="s">
        <v>39</v>
      </c>
      <c r="C47" s="335">
        <v>12</v>
      </c>
      <c r="D47" s="335">
        <v>414721.14727236697</v>
      </c>
      <c r="E47" s="335">
        <v>15</v>
      </c>
      <c r="F47" s="335">
        <v>279900.23196678999</v>
      </c>
    </row>
    <row r="48" spans="1:6">
      <c r="A48" s="1205" t="s">
        <v>32</v>
      </c>
      <c r="B48" s="1205" t="s">
        <v>29</v>
      </c>
      <c r="C48" s="335">
        <v>35</v>
      </c>
      <c r="D48" s="335">
        <v>37978399.6791225</v>
      </c>
      <c r="E48" s="335">
        <v>44</v>
      </c>
      <c r="F48" s="335">
        <v>35191296.089521803</v>
      </c>
    </row>
    <row r="49" spans="1:6">
      <c r="A49" s="1205" t="s">
        <v>32</v>
      </c>
      <c r="B49" s="1205" t="s">
        <v>40</v>
      </c>
      <c r="C49" s="335">
        <v>0</v>
      </c>
      <c r="D49" s="335">
        <v>0</v>
      </c>
      <c r="E49" s="335">
        <v>0</v>
      </c>
      <c r="F49" s="335">
        <v>0</v>
      </c>
    </row>
    <row r="50" spans="1:6">
      <c r="A50" s="1205" t="s">
        <v>32</v>
      </c>
      <c r="B50" s="1205" t="s">
        <v>41</v>
      </c>
      <c r="C50" s="335">
        <v>19</v>
      </c>
      <c r="D50" s="335">
        <v>5033730.5863710903</v>
      </c>
      <c r="E50" s="335">
        <v>43</v>
      </c>
      <c r="F50" s="335">
        <v>4190172.1744813002</v>
      </c>
    </row>
    <row r="51" spans="1:6">
      <c r="A51" s="1205" t="s">
        <v>42</v>
      </c>
      <c r="B51" s="1205" t="s">
        <v>43</v>
      </c>
      <c r="C51" s="335">
        <v>19</v>
      </c>
      <c r="D51" s="335">
        <v>4531153.9123974303</v>
      </c>
      <c r="E51" s="335">
        <v>232</v>
      </c>
      <c r="F51" s="335">
        <v>4565123.9814221896</v>
      </c>
    </row>
    <row r="52" spans="1:6">
      <c r="A52" s="1205" t="s">
        <v>42</v>
      </c>
      <c r="B52" s="1205" t="s">
        <v>29</v>
      </c>
      <c r="C52" s="335">
        <v>5</v>
      </c>
      <c r="D52" s="335">
        <v>3804794.9631110602</v>
      </c>
      <c r="E52" s="335">
        <v>9</v>
      </c>
      <c r="F52" s="335">
        <v>396795.22352770099</v>
      </c>
    </row>
    <row r="53" spans="1:6">
      <c r="A53" s="1205" t="s">
        <v>44</v>
      </c>
      <c r="B53" s="1205" t="s">
        <v>45</v>
      </c>
      <c r="C53" s="335">
        <v>124</v>
      </c>
      <c r="D53" s="335">
        <v>6631085.3073564498</v>
      </c>
      <c r="E53" s="335">
        <v>307</v>
      </c>
      <c r="F53" s="335">
        <v>2017221.2812029701</v>
      </c>
    </row>
    <row r="54" spans="1:6">
      <c r="A54" s="1205" t="s">
        <v>46</v>
      </c>
      <c r="B54" s="1205" t="s">
        <v>47</v>
      </c>
      <c r="C54" s="335">
        <v>0</v>
      </c>
      <c r="D54" s="335">
        <v>0</v>
      </c>
      <c r="E54" s="335">
        <v>3</v>
      </c>
      <c r="F54" s="335">
        <v>2410805</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54</v>
      </c>
      <c r="D57" s="335">
        <v>3282197.6421940099</v>
      </c>
      <c r="E57" s="335">
        <v>143</v>
      </c>
      <c r="F57" s="335">
        <v>5361627.9617361398</v>
      </c>
    </row>
    <row r="58" spans="1:6">
      <c r="A58" s="1205" t="s">
        <v>49</v>
      </c>
      <c r="B58" s="1205" t="s">
        <v>51</v>
      </c>
      <c r="C58" s="335">
        <v>34</v>
      </c>
      <c r="D58" s="335">
        <v>5345893.71757132</v>
      </c>
      <c r="E58" s="335">
        <v>69</v>
      </c>
      <c r="F58" s="335">
        <v>2812357.63343069</v>
      </c>
    </row>
    <row r="59" spans="1:6">
      <c r="A59" s="1205" t="s">
        <v>49</v>
      </c>
      <c r="B59" s="1205" t="s">
        <v>52</v>
      </c>
      <c r="C59" s="335">
        <v>102</v>
      </c>
      <c r="D59" s="335">
        <v>8206737.7423733696</v>
      </c>
      <c r="E59" s="335">
        <v>337</v>
      </c>
      <c r="F59" s="335">
        <v>12922136.174158899</v>
      </c>
    </row>
    <row r="60" spans="1:6">
      <c r="A60" s="1205" t="s">
        <v>49</v>
      </c>
      <c r="B60" s="1205" t="s">
        <v>53</v>
      </c>
      <c r="C60" s="335">
        <v>63</v>
      </c>
      <c r="D60" s="335">
        <v>2738849.1298265201</v>
      </c>
      <c r="E60" s="335">
        <v>116</v>
      </c>
      <c r="F60" s="335">
        <v>1960454.02849817</v>
      </c>
    </row>
    <row r="61" spans="1:6">
      <c r="A61" s="1205" t="s">
        <v>49</v>
      </c>
      <c r="B61" s="1205" t="s">
        <v>54</v>
      </c>
      <c r="C61" s="335">
        <v>153</v>
      </c>
      <c r="D61" s="335">
        <v>8916416.6224332806</v>
      </c>
      <c r="E61" s="335">
        <v>430</v>
      </c>
      <c r="F61" s="335">
        <v>7263581.87118869</v>
      </c>
    </row>
    <row r="62" spans="1:6">
      <c r="A62" s="1205" t="s">
        <v>49</v>
      </c>
      <c r="B62" s="1205" t="s">
        <v>55</v>
      </c>
      <c r="C62" s="335">
        <v>8</v>
      </c>
      <c r="D62" s="335">
        <v>522741.336656245</v>
      </c>
      <c r="E62" s="335">
        <v>22</v>
      </c>
      <c r="F62" s="335">
        <v>857199.35407789901</v>
      </c>
    </row>
    <row r="63" spans="1:6">
      <c r="A63" s="1205" t="s">
        <v>49</v>
      </c>
      <c r="B63" s="1205" t="s">
        <v>29</v>
      </c>
      <c r="C63" s="335">
        <v>93</v>
      </c>
      <c r="D63" s="335">
        <v>20728118.270795699</v>
      </c>
      <c r="E63" s="335">
        <v>85</v>
      </c>
      <c r="F63" s="335">
        <v>9752832.90182418</v>
      </c>
    </row>
    <row r="64" spans="1:6">
      <c r="A64" s="1205" t="s">
        <v>56</v>
      </c>
      <c r="B64" s="1205" t="s">
        <v>57</v>
      </c>
      <c r="C64" s="335">
        <v>0</v>
      </c>
      <c r="D64" s="335">
        <v>0</v>
      </c>
      <c r="E64" s="335">
        <v>0</v>
      </c>
      <c r="F64" s="335">
        <v>0</v>
      </c>
    </row>
    <row r="65" spans="1:6">
      <c r="A65" s="1205" t="s">
        <v>56</v>
      </c>
      <c r="B65" s="1205" t="s">
        <v>29</v>
      </c>
      <c r="C65" s="335">
        <v>4</v>
      </c>
      <c r="D65" s="335">
        <v>65100.102703001998</v>
      </c>
      <c r="E65" s="335">
        <v>6</v>
      </c>
      <c r="F65" s="335">
        <v>20942.579019394099</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6</v>
      </c>
      <c r="D68" s="335">
        <v>264475.377684351</v>
      </c>
      <c r="E68" s="335">
        <v>26</v>
      </c>
      <c r="F68" s="335">
        <v>924931.73450668098</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121106974</v>
      </c>
      <c r="E73" s="335">
        <v>129667949.27726625</v>
      </c>
    </row>
    <row r="74" spans="1:6">
      <c r="A74" s="1205" t="s">
        <v>64</v>
      </c>
      <c r="B74" s="1205" t="s">
        <v>772</v>
      </c>
      <c r="C74" s="1216" t="s">
        <v>766</v>
      </c>
      <c r="D74" s="335">
        <v>12885268.133705964</v>
      </c>
      <c r="E74" s="335">
        <v>13482704.783658285</v>
      </c>
    </row>
    <row r="75" spans="1:6">
      <c r="A75" s="1205" t="s">
        <v>65</v>
      </c>
      <c r="B75" s="1205" t="s">
        <v>771</v>
      </c>
      <c r="C75" s="1216" t="s">
        <v>767</v>
      </c>
      <c r="D75" s="335">
        <v>53535066</v>
      </c>
      <c r="E75" s="335">
        <v>56001290.622625507</v>
      </c>
    </row>
    <row r="76" spans="1:6">
      <c r="A76" s="1205" t="s">
        <v>65</v>
      </c>
      <c r="B76" s="1205" t="s">
        <v>772</v>
      </c>
      <c r="C76" s="1216" t="s">
        <v>768</v>
      </c>
      <c r="D76" s="335">
        <v>2162723.1337059643</v>
      </c>
      <c r="E76" s="335">
        <v>2241978.148002103</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817033.73258807161</v>
      </c>
      <c r="C83" s="335">
        <v>784739.82750206406</v>
      </c>
    </row>
    <row r="84" spans="1:6">
      <c r="A84" s="1201" t="s">
        <v>337</v>
      </c>
      <c r="B84" s="338">
        <v>284090.79190994648</v>
      </c>
      <c r="C84" s="338">
        <v>313994.66016921768</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5966.8706325932699</v>
      </c>
    </row>
    <row r="92" spans="1:6">
      <c r="A92" s="1201" t="s">
        <v>69</v>
      </c>
      <c r="B92" s="338">
        <v>5232.1781869217803</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2815</v>
      </c>
    </row>
    <row r="98" spans="1:6">
      <c r="A98" s="1205" t="s">
        <v>72</v>
      </c>
      <c r="B98" s="335">
        <v>1</v>
      </c>
    </row>
    <row r="99" spans="1:6">
      <c r="A99" s="1205" t="s">
        <v>73</v>
      </c>
      <c r="B99" s="335">
        <v>245</v>
      </c>
    </row>
    <row r="100" spans="1:6">
      <c r="A100" s="1205" t="s">
        <v>74</v>
      </c>
      <c r="B100" s="335">
        <v>1781</v>
      </c>
    </row>
    <row r="101" spans="1:6">
      <c r="A101" s="1205" t="s">
        <v>75</v>
      </c>
      <c r="B101" s="335">
        <v>249</v>
      </c>
    </row>
    <row r="102" spans="1:6">
      <c r="A102" s="1205" t="s">
        <v>76</v>
      </c>
      <c r="B102" s="335">
        <v>206</v>
      </c>
    </row>
    <row r="103" spans="1:6">
      <c r="A103" s="1205" t="s">
        <v>77</v>
      </c>
      <c r="B103" s="335">
        <v>399</v>
      </c>
    </row>
    <row r="104" spans="1:6">
      <c r="A104" s="1205" t="s">
        <v>78</v>
      </c>
      <c r="B104" s="335">
        <v>6177</v>
      </c>
    </row>
    <row r="105" spans="1:6">
      <c r="A105" s="1201" t="s">
        <v>79</v>
      </c>
      <c r="B105" s="1201">
        <v>16</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1</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33</v>
      </c>
      <c r="C123" s="335">
        <v>37</v>
      </c>
    </row>
    <row r="124" spans="1:6">
      <c r="A124" s="1201" t="s">
        <v>89</v>
      </c>
      <c r="B124" s="335">
        <v>2</v>
      </c>
      <c r="C124" s="335">
        <v>4</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127</v>
      </c>
    </row>
    <row r="130" spans="1:6">
      <c r="A130" s="1205" t="s">
        <v>295</v>
      </c>
      <c r="B130" s="335">
        <v>4</v>
      </c>
    </row>
    <row r="131" spans="1:6">
      <c r="A131" s="1205" t="s">
        <v>296</v>
      </c>
      <c r="B131" s="335">
        <v>0</v>
      </c>
    </row>
    <row r="132" spans="1:6">
      <c r="A132" s="1201" t="s">
        <v>297</v>
      </c>
      <c r="B132" s="338">
        <v>11</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209361.15371304084</v>
      </c>
      <c r="C3" s="44" t="s">
        <v>170</v>
      </c>
      <c r="D3" s="44"/>
      <c r="E3" s="157"/>
      <c r="F3" s="44"/>
      <c r="G3" s="44"/>
      <c r="H3" s="44"/>
      <c r="I3" s="44"/>
      <c r="J3" s="44"/>
      <c r="K3" s="97"/>
    </row>
    <row r="4" spans="1:11">
      <c r="A4" s="365" t="s">
        <v>171</v>
      </c>
      <c r="B4" s="50">
        <f>IF(ISERROR('SEAP template'!B69),0,'SEAP template'!B69)</f>
        <v>11454.444274060505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50.320684491978618</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0.20914913150757605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71.886692131398007</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364.85064935064935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0.1970304623531296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2410.8049999999998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2410.8049999999998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0.20914913150757605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504.21777198412184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66385.771113248731</v>
      </c>
      <c r="C5" s="18">
        <f>IF(ISERROR('Eigen informatie GS &amp; warmtenet'!B57),0,'Eigen informatie GS &amp; warmtenet'!B57)</f>
        <v>0</v>
      </c>
      <c r="D5" s="31">
        <f>(SUM(HH_hh_gas_kWh,HH_rest_gas_kWh)/1000)*0.902</f>
        <v>106661.20289386138</v>
      </c>
      <c r="E5" s="18">
        <f>B46*B57</f>
        <v>9878.9654739158796</v>
      </c>
      <c r="F5" s="18">
        <f>B51*B62</f>
        <v>48524.583560785875</v>
      </c>
      <c r="G5" s="19"/>
      <c r="H5" s="18"/>
      <c r="I5" s="18"/>
      <c r="J5" s="18">
        <f>B50*B61+C50*C61</f>
        <v>0</v>
      </c>
      <c r="K5" s="18"/>
      <c r="L5" s="18"/>
      <c r="M5" s="18"/>
      <c r="N5" s="18">
        <f>B48*B59+C48*C59</f>
        <v>32606.153207399359</v>
      </c>
      <c r="O5" s="18">
        <f>B69*B70*B71</f>
        <v>262.64000000000004</v>
      </c>
      <c r="P5" s="18">
        <f>B77*B78*B79/1000-B77*B78*B79/1000/B80</f>
        <v>877.06666666666661</v>
      </c>
    </row>
    <row r="6" spans="1:16">
      <c r="A6" s="17" t="s">
        <v>639</v>
      </c>
      <c r="B6" s="831">
        <f>kWh_PV_kleiner_dan_10kW</f>
        <v>5966.8706325932699</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72352.641745842004</v>
      </c>
      <c r="C8" s="22">
        <f>C5</f>
        <v>0</v>
      </c>
      <c r="D8" s="22">
        <f>D5</f>
        <v>106661.20289386138</v>
      </c>
      <c r="E8" s="22">
        <f>E5</f>
        <v>9878.9654739158796</v>
      </c>
      <c r="F8" s="22">
        <f>F5</f>
        <v>48524.583560785875</v>
      </c>
      <c r="G8" s="22"/>
      <c r="H8" s="22"/>
      <c r="I8" s="22"/>
      <c r="J8" s="22">
        <f>J5</f>
        <v>0</v>
      </c>
      <c r="K8" s="22"/>
      <c r="L8" s="22">
        <f>L5</f>
        <v>0</v>
      </c>
      <c r="M8" s="22">
        <f>M5</f>
        <v>0</v>
      </c>
      <c r="N8" s="22">
        <f>N5</f>
        <v>32606.153207399359</v>
      </c>
      <c r="O8" s="22">
        <f>O5</f>
        <v>262.64000000000004</v>
      </c>
      <c r="P8" s="22">
        <f>P5</f>
        <v>877.06666666666661</v>
      </c>
    </row>
    <row r="9" spans="1:16">
      <c r="B9" s="20"/>
      <c r="C9" s="20"/>
      <c r="D9" s="262"/>
      <c r="E9" s="20"/>
      <c r="F9" s="20"/>
      <c r="G9" s="20"/>
      <c r="H9" s="20"/>
      <c r="I9" s="20"/>
      <c r="J9" s="20"/>
      <c r="K9" s="20"/>
      <c r="L9" s="20"/>
      <c r="M9" s="20"/>
      <c r="N9" s="20"/>
      <c r="O9" s="20"/>
      <c r="P9" s="20"/>
    </row>
    <row r="10" spans="1:16">
      <c r="A10" s="25" t="s">
        <v>214</v>
      </c>
      <c r="B10" s="26">
        <f ca="1">'EF ele_warmte'!B12</f>
        <v>0.20914913150757605</v>
      </c>
      <c r="C10" s="26">
        <f ca="1">'EF ele_warmte'!B22</f>
        <v>0.1970304623531296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15132.492183421646</v>
      </c>
      <c r="C12" s="24">
        <f ca="1">C10*C8</f>
        <v>0</v>
      </c>
      <c r="D12" s="24">
        <f>D8*D10</f>
        <v>21545.562984560001</v>
      </c>
      <c r="E12" s="24">
        <f>E10*E8</f>
        <v>2242.5251625789047</v>
      </c>
      <c r="F12" s="24">
        <f>F10*F8</f>
        <v>12956.063810729829</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2815</v>
      </c>
      <c r="C18" s="169" t="s">
        <v>111</v>
      </c>
      <c r="D18" s="231"/>
      <c r="E18" s="16"/>
    </row>
    <row r="19" spans="1:7">
      <c r="A19" s="174" t="s">
        <v>72</v>
      </c>
      <c r="B19" s="38">
        <f>aantalw2001_ander</f>
        <v>1</v>
      </c>
      <c r="C19" s="169" t="s">
        <v>111</v>
      </c>
      <c r="D19" s="232"/>
      <c r="E19" s="16"/>
    </row>
    <row r="20" spans="1:7">
      <c r="A20" s="174" t="s">
        <v>73</v>
      </c>
      <c r="B20" s="38">
        <f>aantalw2001_propaan</f>
        <v>245</v>
      </c>
      <c r="C20" s="170">
        <f>IF(ISERROR(B20/SUM($B$20,$B$21,$B$22)*100),0,B20/SUM($B$20,$B$21,$B$22)*100)</f>
        <v>10.76923076923077</v>
      </c>
      <c r="D20" s="232"/>
      <c r="E20" s="16"/>
    </row>
    <row r="21" spans="1:7">
      <c r="A21" s="174" t="s">
        <v>74</v>
      </c>
      <c r="B21" s="38">
        <f>aantalw2001_elektriciteit</f>
        <v>1781</v>
      </c>
      <c r="C21" s="170">
        <f>IF(ISERROR(B21/SUM($B$20,$B$21,$B$22)*100),0,B21/SUM($B$20,$B$21,$B$22)*100)</f>
        <v>78.285714285714278</v>
      </c>
      <c r="D21" s="232"/>
      <c r="E21" s="16"/>
    </row>
    <row r="22" spans="1:7">
      <c r="A22" s="174" t="s">
        <v>75</v>
      </c>
      <c r="B22" s="38">
        <f>aantalw2001_hout</f>
        <v>249</v>
      </c>
      <c r="C22" s="170">
        <f>IF(ISERROR(B22/SUM($B$20,$B$21,$B$22)*100),0,B22/SUM($B$20,$B$21,$B$22)*100)</f>
        <v>10.945054945054945</v>
      </c>
      <c r="D22" s="232"/>
      <c r="E22" s="16"/>
    </row>
    <row r="23" spans="1:7">
      <c r="A23" s="174" t="s">
        <v>76</v>
      </c>
      <c r="B23" s="38">
        <f>aantalw2001_niet_gespec</f>
        <v>206</v>
      </c>
      <c r="C23" s="169" t="s">
        <v>111</v>
      </c>
      <c r="D23" s="231"/>
      <c r="E23" s="16"/>
    </row>
    <row r="24" spans="1:7">
      <c r="A24" s="174" t="s">
        <v>77</v>
      </c>
      <c r="B24" s="38">
        <f>aantalw2001_steenkool</f>
        <v>399</v>
      </c>
      <c r="C24" s="169" t="s">
        <v>111</v>
      </c>
      <c r="D24" s="232"/>
      <c r="E24" s="16"/>
    </row>
    <row r="25" spans="1:7">
      <c r="A25" s="174" t="s">
        <v>78</v>
      </c>
      <c r="B25" s="38">
        <f>aantalw2001_stookolie</f>
        <v>6177</v>
      </c>
      <c r="C25" s="169" t="s">
        <v>111</v>
      </c>
      <c r="D25" s="231"/>
      <c r="E25" s="53"/>
    </row>
    <row r="26" spans="1:7">
      <c r="A26" s="174" t="s">
        <v>79</v>
      </c>
      <c r="B26" s="38">
        <f>aantalw2001_WP</f>
        <v>16</v>
      </c>
      <c r="C26" s="169" t="s">
        <v>111</v>
      </c>
      <c r="D26" s="231"/>
      <c r="E26" s="16"/>
    </row>
    <row r="27" spans="1:7" s="16" customFormat="1">
      <c r="A27" s="174"/>
      <c r="B27" s="30"/>
      <c r="C27" s="37"/>
      <c r="D27" s="231"/>
    </row>
    <row r="28" spans="1:7" s="16" customFormat="1">
      <c r="A28" s="233" t="s">
        <v>665</v>
      </c>
      <c r="B28" s="38">
        <f>aantalHuishoudens2011</f>
        <v>13614</v>
      </c>
      <c r="C28" s="37"/>
      <c r="D28" s="231"/>
    </row>
    <row r="29" spans="1:7" s="16" customFormat="1">
      <c r="A29" s="233" t="s">
        <v>666</v>
      </c>
      <c r="B29" s="38">
        <f>SUM(HH_hh_gas_aantal,HH_rest_gas_aantal)</f>
        <v>6947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6947</v>
      </c>
      <c r="C32" s="170">
        <f>IF(ISERROR(B32/SUM($B$32,$B$34,$B$35,$B$36,$B$38,$B$39)*100),0,B32/SUM($B$32,$B$34,$B$35,$B$36,$B$38,$B$39)*100)</f>
        <v>51.201356132075468</v>
      </c>
      <c r="D32" s="236"/>
      <c r="G32" s="16"/>
    </row>
    <row r="33" spans="1:7">
      <c r="A33" s="174" t="s">
        <v>72</v>
      </c>
      <c r="B33" s="35" t="s">
        <v>111</v>
      </c>
      <c r="C33" s="170"/>
      <c r="D33" s="236"/>
      <c r="G33" s="16"/>
    </row>
    <row r="34" spans="1:7">
      <c r="A34" s="174" t="s">
        <v>73</v>
      </c>
      <c r="B34" s="34">
        <f>IF((($B$28-$B$32-$B$39-$B$77-$B$38)*C20/100)&lt;0,0,($B$28-$B$32-$B$39-$B$77-$B$38)*C20/100)</f>
        <v>448.30153846153848</v>
      </c>
      <c r="C34" s="170">
        <f>IF(ISERROR(B34/SUM($B$32,$B$34,$B$35,$B$36,$B$38,$B$39)*100),0,B34/SUM($B$32,$B$34,$B$35,$B$36,$B$38,$B$39)*100)</f>
        <v>3.3041092162554428</v>
      </c>
      <c r="D34" s="236"/>
      <c r="G34" s="16"/>
    </row>
    <row r="35" spans="1:7">
      <c r="A35" s="174" t="s">
        <v>74</v>
      </c>
      <c r="B35" s="34">
        <f>IF((($B$28-$B$32-$B$39-$B$77-$B$38)*C21/100)&lt;0,0,($B$28-$B$32-$B$39-$B$77-$B$38)*C21/100)</f>
        <v>3258.8777142857143</v>
      </c>
      <c r="C35" s="170">
        <f>IF(ISERROR(B35/SUM($B$32,$B$34,$B$35,$B$36,$B$38,$B$39)*100),0,B35/SUM($B$32,$B$34,$B$35,$B$36,$B$38,$B$39)*100)</f>
        <v>24.018851078167117</v>
      </c>
      <c r="D35" s="236"/>
      <c r="G35" s="16"/>
    </row>
    <row r="36" spans="1:7">
      <c r="A36" s="174" t="s">
        <v>75</v>
      </c>
      <c r="B36" s="34">
        <f>IF((($B$28-$B$32-$B$39-$B$77-$B$38)*C22/100)&lt;0,0,($B$28-$B$32-$B$39-$B$77-$B$38)*C22/100)</f>
        <v>455.62074725274732</v>
      </c>
      <c r="C36" s="170">
        <f>IF(ISERROR(B36/SUM($B$32,$B$34,$B$35,$B$36,$B$38,$B$39)*100),0,B36/SUM($B$32,$B$34,$B$35,$B$36,$B$38,$B$39)*100)</f>
        <v>3.3580538565208382</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2458.1999999999998</v>
      </c>
      <c r="C39" s="170">
        <f>IF(ISERROR(B39/SUM($B$32,$B$34,$B$35,$B$36,$B$38,$B$39)*100),0,B39/SUM($B$32,$B$34,$B$35,$B$36,$B$38,$B$39)*100)</f>
        <v>18.117629716981131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6947</v>
      </c>
      <c r="C44" s="35" t="s">
        <v>111</v>
      </c>
      <c r="D44" s="177"/>
    </row>
    <row r="45" spans="1:7">
      <c r="A45" s="174" t="s">
        <v>72</v>
      </c>
      <c r="B45" s="34" t="str">
        <f t="shared" si="0"/>
        <v>-</v>
      </c>
      <c r="C45" s="35" t="s">
        <v>111</v>
      </c>
      <c r="D45" s="177"/>
    </row>
    <row r="46" spans="1:7">
      <c r="A46" s="174" t="s">
        <v>73</v>
      </c>
      <c r="B46" s="34">
        <f t="shared" si="0"/>
        <v>448.30153846153848</v>
      </c>
      <c r="C46" s="35" t="s">
        <v>111</v>
      </c>
      <c r="D46" s="177"/>
    </row>
    <row r="47" spans="1:7">
      <c r="A47" s="174" t="s">
        <v>74</v>
      </c>
      <c r="B47" s="34">
        <f t="shared" si="0"/>
        <v>3258.8777142857143</v>
      </c>
      <c r="C47" s="35" t="s">
        <v>111</v>
      </c>
      <c r="D47" s="177"/>
    </row>
    <row r="48" spans="1:7">
      <c r="A48" s="174" t="s">
        <v>75</v>
      </c>
      <c r="B48" s="34">
        <f t="shared" si="0"/>
        <v>455.62074725274732</v>
      </c>
      <c r="C48" s="34">
        <f>B48*10</f>
        <v>4556.2074725274733</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2458.1999999999998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168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46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40930.189924914666</v>
      </c>
      <c r="C5" s="18">
        <f>IF(ISERROR('Eigen informatie GS &amp; warmtenet'!B58),0,'Eigen informatie GS &amp; warmtenet'!B58)</f>
        <v>0</v>
      </c>
      <c r="D5" s="31">
        <f>SUM(D6:D12)</f>
        <v>44866.340924589102</v>
      </c>
      <c r="E5" s="18">
        <f>SUM(E6:E12)</f>
        <v>314.68837333377513</v>
      </c>
      <c r="F5" s="18">
        <f>SUM(F6:F12)</f>
        <v>8756.1670246491631</v>
      </c>
      <c r="G5" s="19"/>
      <c r="H5" s="18"/>
      <c r="I5" s="18"/>
      <c r="J5" s="18">
        <f>SUM(J6:J12)</f>
        <v>0</v>
      </c>
      <c r="K5" s="18"/>
      <c r="L5" s="18"/>
      <c r="M5" s="18"/>
      <c r="N5" s="18">
        <f>SUM(N6:N12)</f>
        <v>3827.3795742577336</v>
      </c>
      <c r="O5" s="18">
        <f>B38*B39*B40</f>
        <v>6.2533333333333339</v>
      </c>
      <c r="P5" s="18">
        <f>B46*B47*B48/1000-B46*B47*B48/1000/B49</f>
        <v>0</v>
      </c>
      <c r="R5" s="33"/>
    </row>
    <row r="6" spans="1:18">
      <c r="A6" s="33" t="s">
        <v>54</v>
      </c>
      <c r="B6" s="38">
        <f>B26</f>
        <v>7263.5818711886895</v>
      </c>
      <c r="C6" s="34"/>
      <c r="D6" s="38">
        <f>IF(ISERROR(TER_kantoor_gas_kWh/1000),0,TER_kantoor_gas_kWh/1000)*0.902</f>
        <v>8042.6077934348186</v>
      </c>
      <c r="E6" s="34">
        <f>$C$26*'E Balans VL '!I12/100/3.6*1000000</f>
        <v>11.921010003243016</v>
      </c>
      <c r="F6" s="34">
        <f>$C$26*('E Balans VL '!L12+'E Balans VL '!N12)/100/3.6*1000000</f>
        <v>856.20539981251602</v>
      </c>
      <c r="G6" s="35"/>
      <c r="H6" s="34"/>
      <c r="I6" s="34"/>
      <c r="J6" s="34">
        <f>$C$26*('E Balans VL '!D12+'E Balans VL '!E12)/100/3.6*1000000</f>
        <v>0</v>
      </c>
      <c r="K6" s="34"/>
      <c r="L6" s="34"/>
      <c r="M6" s="34"/>
      <c r="N6" s="34">
        <f>$C$26*'E Balans VL '!Y12/100/3.6*1000000</f>
        <v>1.4675723211976142</v>
      </c>
      <c r="O6" s="34"/>
      <c r="P6" s="34"/>
      <c r="R6" s="33"/>
    </row>
    <row r="7" spans="1:18">
      <c r="A7" s="33" t="s">
        <v>53</v>
      </c>
      <c r="B7" s="38">
        <f t="shared" ref="B7:B12" si="0">B27</f>
        <v>1960.4540284981699</v>
      </c>
      <c r="C7" s="34"/>
      <c r="D7" s="38">
        <f>IF(ISERROR(TER_horeca_gas_kWh/1000),0,TER_horeca_gas_kWh/1000)*0.902</f>
        <v>2470.4419151035213</v>
      </c>
      <c r="E7" s="34">
        <f>$C$27*'E Balans VL '!I9/100/3.6*1000000</f>
        <v>101.73337793013252</v>
      </c>
      <c r="F7" s="34">
        <f>$C$27*('E Balans VL '!L9+'E Balans VL '!N9)/100/3.6*1000000</f>
        <v>447.37703181577575</v>
      </c>
      <c r="G7" s="35"/>
      <c r="H7" s="34"/>
      <c r="I7" s="34"/>
      <c r="J7" s="34">
        <f>$C$27*('E Balans VL '!D9+'E Balans VL '!E9)/100/3.6*1000000</f>
        <v>0</v>
      </c>
      <c r="K7" s="34"/>
      <c r="L7" s="34"/>
      <c r="M7" s="34"/>
      <c r="N7" s="34">
        <f>$C$27*'E Balans VL '!Y9/100/3.6*1000000</f>
        <v>0.20702304699215257</v>
      </c>
      <c r="O7" s="34"/>
      <c r="P7" s="34"/>
      <c r="R7" s="33"/>
    </row>
    <row r="8" spans="1:18">
      <c r="A8" s="6" t="s">
        <v>52</v>
      </c>
      <c r="B8" s="38">
        <f t="shared" si="0"/>
        <v>12922.136174158899</v>
      </c>
      <c r="C8" s="34"/>
      <c r="D8" s="38">
        <f>IF(ISERROR(TER_handel_gas_kWh/1000),0,TER_handel_gas_kWh/1000)*0.902</f>
        <v>7402.477443620779</v>
      </c>
      <c r="E8" s="34">
        <f>$C$28*'E Balans VL '!I13/100/3.6*1000000</f>
        <v>69.587291217329906</v>
      </c>
      <c r="F8" s="34">
        <f>$C$28*('E Balans VL '!L13+'E Balans VL '!N13)/100/3.6*1000000</f>
        <v>2635.2075772114413</v>
      </c>
      <c r="G8" s="35"/>
      <c r="H8" s="34"/>
      <c r="I8" s="34"/>
      <c r="J8" s="34">
        <f>$C$28*('E Balans VL '!D13+'E Balans VL '!E13)/100/3.6*1000000</f>
        <v>0</v>
      </c>
      <c r="K8" s="34"/>
      <c r="L8" s="34"/>
      <c r="M8" s="34"/>
      <c r="N8" s="34">
        <f>$C$28*'E Balans VL '!Y13/100/3.6*1000000</f>
        <v>64.254959209489769</v>
      </c>
      <c r="O8" s="34"/>
      <c r="P8" s="34"/>
      <c r="R8" s="33"/>
    </row>
    <row r="9" spans="1:18">
      <c r="A9" s="33" t="s">
        <v>51</v>
      </c>
      <c r="B9" s="38">
        <f t="shared" si="0"/>
        <v>2812.3576334306899</v>
      </c>
      <c r="C9" s="34"/>
      <c r="D9" s="38">
        <f>IF(ISERROR(TER_gezond_gas_kWh/1000),0,TER_gezond_gas_kWh/1000)*0.902</f>
        <v>4821.9961332493303</v>
      </c>
      <c r="E9" s="34">
        <f>$C$29*'E Balans VL '!I10/100/3.6*1000000</f>
        <v>2.78707839672846</v>
      </c>
      <c r="F9" s="34">
        <f>$C$29*('E Balans VL '!L10+'E Balans VL '!N10)/100/3.6*1000000</f>
        <v>975.80703570159949</v>
      </c>
      <c r="G9" s="35"/>
      <c r="H9" s="34"/>
      <c r="I9" s="34"/>
      <c r="J9" s="34">
        <f>$C$29*('E Balans VL '!D10+'E Balans VL '!E10)/100/3.6*1000000</f>
        <v>0</v>
      </c>
      <c r="K9" s="34"/>
      <c r="L9" s="34"/>
      <c r="M9" s="34"/>
      <c r="N9" s="34">
        <f>$C$29*'E Balans VL '!Y10/100/3.6*1000000</f>
        <v>24.233842093898527</v>
      </c>
      <c r="O9" s="34"/>
      <c r="P9" s="34"/>
      <c r="R9" s="33"/>
    </row>
    <row r="10" spans="1:18">
      <c r="A10" s="33" t="s">
        <v>50</v>
      </c>
      <c r="B10" s="38">
        <f t="shared" si="0"/>
        <v>5361.6279617361397</v>
      </c>
      <c r="C10" s="34"/>
      <c r="D10" s="38">
        <f>IF(ISERROR(TER_ander_gas_kWh/1000),0,TER_ander_gas_kWh/1000)*0.902</f>
        <v>2960.5422732589968</v>
      </c>
      <c r="E10" s="34">
        <f>$C$30*'E Balans VL '!I14/100/3.6*1000000</f>
        <v>43.86347529252393</v>
      </c>
      <c r="F10" s="34">
        <f>$C$30*('E Balans VL '!L14+'E Balans VL '!N14)/100/3.6*1000000</f>
        <v>1567.5217350968935</v>
      </c>
      <c r="G10" s="35"/>
      <c r="H10" s="34"/>
      <c r="I10" s="34"/>
      <c r="J10" s="34">
        <f>$C$30*('E Balans VL '!D14+'E Balans VL '!E14)/100/3.6*1000000</f>
        <v>0</v>
      </c>
      <c r="K10" s="34"/>
      <c r="L10" s="34"/>
      <c r="M10" s="34"/>
      <c r="N10" s="34">
        <f>$C$30*'E Balans VL '!Y14/100/3.6*1000000</f>
        <v>3092.9558288909166</v>
      </c>
      <c r="O10" s="34"/>
      <c r="P10" s="34"/>
      <c r="R10" s="33"/>
    </row>
    <row r="11" spans="1:18">
      <c r="A11" s="33" t="s">
        <v>55</v>
      </c>
      <c r="B11" s="38">
        <f t="shared" si="0"/>
        <v>857.19935407789899</v>
      </c>
      <c r="C11" s="34"/>
      <c r="D11" s="38">
        <f>IF(ISERROR(TER_onderwijs_gas_kWh/1000),0,TER_onderwijs_gas_kWh/1000)*0.902</f>
        <v>471.51268566393304</v>
      </c>
      <c r="E11" s="34">
        <f>$C$31*'E Balans VL '!I11/100/3.6*1000000</f>
        <v>0.52834151302196108</v>
      </c>
      <c r="F11" s="34">
        <f>$C$31*('E Balans VL '!L11+'E Balans VL '!N11)/100/3.6*1000000</f>
        <v>331.40715234659194</v>
      </c>
      <c r="G11" s="35"/>
      <c r="H11" s="34"/>
      <c r="I11" s="34"/>
      <c r="J11" s="34">
        <f>$C$31*('E Balans VL '!D11+'E Balans VL '!E11)/100/3.6*1000000</f>
        <v>0</v>
      </c>
      <c r="K11" s="34"/>
      <c r="L11" s="34"/>
      <c r="M11" s="34"/>
      <c r="N11" s="34">
        <f>$C$31*'E Balans VL '!Y11/100/3.6*1000000</f>
        <v>2.7882858049159567</v>
      </c>
      <c r="O11" s="34"/>
      <c r="P11" s="34"/>
      <c r="R11" s="33"/>
    </row>
    <row r="12" spans="1:18">
      <c r="A12" s="33" t="s">
        <v>260</v>
      </c>
      <c r="B12" s="38">
        <f t="shared" si="0"/>
        <v>9752.8329018241802</v>
      </c>
      <c r="C12" s="34"/>
      <c r="D12" s="38">
        <f>IF(ISERROR(TER_rest_gas_kWh/1000),0,TER_rest_gas_kWh/1000)*0.902</f>
        <v>18696.762680257722</v>
      </c>
      <c r="E12" s="34">
        <f>$C$32*'E Balans VL '!I8/100/3.6*1000000</f>
        <v>84.267798980795348</v>
      </c>
      <c r="F12" s="34">
        <f>$C$32*('E Balans VL '!L8+'E Balans VL '!N8)/100/3.6*1000000</f>
        <v>1942.6410926643466</v>
      </c>
      <c r="G12" s="35"/>
      <c r="H12" s="34"/>
      <c r="I12" s="34"/>
      <c r="J12" s="34">
        <f>$C$32*('E Balans VL '!D8+'E Balans VL '!E8)/100/3.6*1000000</f>
        <v>0</v>
      </c>
      <c r="K12" s="34"/>
      <c r="L12" s="34"/>
      <c r="M12" s="34"/>
      <c r="N12" s="34">
        <f>$C$32*'E Balans VL '!Y8/100/3.6*1000000</f>
        <v>641.47206289032283</v>
      </c>
      <c r="O12" s="34"/>
      <c r="P12" s="34"/>
      <c r="R12" s="33"/>
    </row>
    <row r="13" spans="1:18">
      <c r="A13" s="17" t="s">
        <v>502</v>
      </c>
      <c r="B13" s="250">
        <f ca="1">'lokale energieproductie'!N90+'lokale energieproductie'!N59</f>
        <v>56.7</v>
      </c>
      <c r="C13" s="250">
        <f ca="1">'lokale energieproductie'!O90+'lokale energieproductie'!O59</f>
        <v>81</v>
      </c>
      <c r="D13" s="312">
        <f ca="1">('lokale energieproductie'!P59+'lokale energieproductie'!P90)*(-1)</f>
        <v>-162.00000000000003</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40986.889924914663</v>
      </c>
      <c r="C16" s="22">
        <f t="shared" ca="1" si="1"/>
        <v>81</v>
      </c>
      <c r="D16" s="22">
        <f t="shared" ca="1" si="1"/>
        <v>44704.340924589102</v>
      </c>
      <c r="E16" s="22">
        <f t="shared" si="1"/>
        <v>314.68837333377513</v>
      </c>
      <c r="F16" s="22">
        <f t="shared" ca="1" si="1"/>
        <v>8756.1670246491631</v>
      </c>
      <c r="G16" s="22">
        <f t="shared" si="1"/>
        <v>0</v>
      </c>
      <c r="H16" s="22">
        <f t="shared" si="1"/>
        <v>0</v>
      </c>
      <c r="I16" s="22">
        <f t="shared" si="1"/>
        <v>0</v>
      </c>
      <c r="J16" s="22">
        <f t="shared" si="1"/>
        <v>0</v>
      </c>
      <c r="K16" s="22">
        <f t="shared" si="1"/>
        <v>0</v>
      </c>
      <c r="L16" s="22">
        <f t="shared" ca="1" si="1"/>
        <v>0</v>
      </c>
      <c r="M16" s="22">
        <f t="shared" si="1"/>
        <v>0</v>
      </c>
      <c r="N16" s="22">
        <f t="shared" ca="1" si="1"/>
        <v>3827.3795742577336</v>
      </c>
      <c r="O16" s="22">
        <f>O5</f>
        <v>6.2533333333333339</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0.20914913150757605</v>
      </c>
      <c r="C18" s="26">
        <f ca="1">'EF ele_warmte'!B22</f>
        <v>0.1970304623531296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8572.3724309925201</v>
      </c>
      <c r="C20" s="24">
        <f t="shared" ref="C20:P20" ca="1" si="2">C16*C18</f>
        <v>15.959467450603498</v>
      </c>
      <c r="D20" s="24">
        <f t="shared" ca="1" si="2"/>
        <v>9030.2768667669989</v>
      </c>
      <c r="E20" s="24">
        <f t="shared" si="2"/>
        <v>71.434260746766952</v>
      </c>
      <c r="F20" s="24">
        <f t="shared" ca="1" si="2"/>
        <v>2337.8965955813269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7263.5818711886895</v>
      </c>
      <c r="C26" s="40">
        <f>IF(ISERROR(B26*3.6/1000000/'E Balans VL '!Z12*100),0,B26*3.6/1000000/'E Balans VL '!Z12*100)</f>
        <v>0.15434590582271138</v>
      </c>
      <c r="D26" s="240" t="s">
        <v>707</v>
      </c>
      <c r="F26" s="6"/>
    </row>
    <row r="27" spans="1:18">
      <c r="A27" s="234" t="s">
        <v>53</v>
      </c>
      <c r="B27" s="34">
        <f>IF(ISERROR(TER_horeca_ele_kWh/1000),0,TER_horeca_ele_kWh/1000)</f>
        <v>1960.4540284981699</v>
      </c>
      <c r="C27" s="40">
        <f>IF(ISERROR(B27*3.6/1000000/'E Balans VL '!Z9*100),0,B27*3.6/1000000/'E Balans VL '!Z9*100)</f>
        <v>0.15430289216806406</v>
      </c>
      <c r="D27" s="240" t="s">
        <v>707</v>
      </c>
      <c r="F27" s="6"/>
    </row>
    <row r="28" spans="1:18">
      <c r="A28" s="174" t="s">
        <v>52</v>
      </c>
      <c r="B28" s="34">
        <f>IF(ISERROR(TER_handel_ele_kWh/1000),0,TER_handel_ele_kWh/1000)</f>
        <v>12922.136174158899</v>
      </c>
      <c r="C28" s="40">
        <f>IF(ISERROR(B28*3.6/1000000/'E Balans VL '!Z13*100),0,B28*3.6/1000000/'E Balans VL '!Z13*100)</f>
        <v>0.36195594989244317</v>
      </c>
      <c r="D28" s="240" t="s">
        <v>707</v>
      </c>
      <c r="F28" s="6"/>
    </row>
    <row r="29" spans="1:18">
      <c r="A29" s="234" t="s">
        <v>51</v>
      </c>
      <c r="B29" s="34">
        <f>IF(ISERROR(TER_gezond_ele_kWh/1000),0,TER_gezond_ele_kWh/1000)</f>
        <v>2812.3576334306899</v>
      </c>
      <c r="C29" s="40">
        <f>IF(ISERROR(B29*3.6/1000000/'E Balans VL '!Z10*100),0,B29*3.6/1000000/'E Balans VL '!Z10*100)</f>
        <v>0.35978558358559454</v>
      </c>
      <c r="D29" s="240" t="s">
        <v>707</v>
      </c>
      <c r="F29" s="6"/>
    </row>
    <row r="30" spans="1:18">
      <c r="A30" s="234" t="s">
        <v>50</v>
      </c>
      <c r="B30" s="34">
        <f>IF(ISERROR(TER_ander_ele_kWh/1000),0,TER_ander_ele_kWh/1000)</f>
        <v>5361.6279617361397</v>
      </c>
      <c r="C30" s="40">
        <f>IF(ISERROR(B30*3.6/1000000/'E Balans VL '!Z14*100),0,B30*3.6/1000000/'E Balans VL '!Z14*100)</f>
        <v>0.40100459367144997</v>
      </c>
      <c r="D30" s="240" t="s">
        <v>707</v>
      </c>
      <c r="F30" s="6"/>
    </row>
    <row r="31" spans="1:18">
      <c r="A31" s="234" t="s">
        <v>55</v>
      </c>
      <c r="B31" s="34">
        <f>IF(ISERROR(TER_onderwijs_ele_kWh/1000),0,TER_onderwijs_ele_kWh/1000)</f>
        <v>857.19935407789899</v>
      </c>
      <c r="C31" s="40">
        <f>IF(ISERROR(B31*3.6/1000000/'E Balans VL '!Z11*100),0,B31*3.6/1000000/'E Balans VL '!Z11*100)</f>
        <v>0.18099875397052623</v>
      </c>
      <c r="D31" s="240" t="s">
        <v>707</v>
      </c>
    </row>
    <row r="32" spans="1:18">
      <c r="A32" s="234" t="s">
        <v>260</v>
      </c>
      <c r="B32" s="34">
        <f>IF(ISERROR(TER_rest_ele_kWh/1000),0,TER_rest_ele_kWh/1000)</f>
        <v>9752.8329018241802</v>
      </c>
      <c r="C32" s="40">
        <f>IF(ISERROR(B32*3.6/1000000/'E Balans VL '!Z8*100),0,B32*3.6/1000000/'E Balans VL '!Z8*100)</f>
        <v>8.0343174890812399E-2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4</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87643.803322323438</v>
      </c>
      <c r="C5" s="18">
        <f>IF(ISERROR('Eigen informatie GS &amp; warmtenet'!B59),0,'Eigen informatie GS &amp; warmtenet'!B59)</f>
        <v>0</v>
      </c>
      <c r="D5" s="31">
        <f>SUM(D6:D15)</f>
        <v>71199.956351184417</v>
      </c>
      <c r="E5" s="18">
        <f>SUM(E6:E15)</f>
        <v>728.79708444030894</v>
      </c>
      <c r="F5" s="18">
        <f>SUM(F6:F15)</f>
        <v>10196.809273491222</v>
      </c>
      <c r="G5" s="19"/>
      <c r="H5" s="18"/>
      <c r="I5" s="18"/>
      <c r="J5" s="18">
        <f>SUM(J6:J15)</f>
        <v>185.9358575998827</v>
      </c>
      <c r="K5" s="18"/>
      <c r="L5" s="18"/>
      <c r="M5" s="18"/>
      <c r="N5" s="18">
        <f>SUM(N6:N15)</f>
        <v>1433.435097531278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478.11087773032602</v>
      </c>
      <c r="C8" s="34"/>
      <c r="D8" s="38">
        <f>IF( ISERROR(IND_metaal_Gas_kWH/1000),0,IND_metaal_Gas_kWH/1000)*0.902</f>
        <v>67.516715039417505</v>
      </c>
      <c r="E8" s="34">
        <f>C30*'E Balans VL '!I18/100/3.6*1000000</f>
        <v>4.3540696020031229</v>
      </c>
      <c r="F8" s="34">
        <f>C30*'E Balans VL '!L18/100/3.6*1000000+C30*'E Balans VL '!N18/100/3.6*1000000</f>
        <v>63.059193936262943</v>
      </c>
      <c r="G8" s="35"/>
      <c r="H8" s="34"/>
      <c r="I8" s="34"/>
      <c r="J8" s="41">
        <f>C30*'E Balans VL '!D18/100/3.6*1000000+C30*'E Balans VL '!E18/100/3.6*1000000</f>
        <v>7.8403242027799864</v>
      </c>
      <c r="K8" s="34"/>
      <c r="L8" s="34"/>
      <c r="M8" s="34"/>
      <c r="N8" s="34">
        <f>C30*'E Balans VL '!Y18/100/3.6*1000000</f>
        <v>1.6430771577001566</v>
      </c>
      <c r="O8" s="34"/>
      <c r="P8" s="34"/>
      <c r="R8" s="33"/>
    </row>
    <row r="9" spans="1:18">
      <c r="A9" s="6" t="s">
        <v>33</v>
      </c>
      <c r="B9" s="38">
        <f t="shared" si="0"/>
        <v>2288.6175591566102</v>
      </c>
      <c r="C9" s="34"/>
      <c r="D9" s="38">
        <f>IF( ISERROR(IND_andere_gas_kWh/1000),0,IND_andere_gas_kWh/1000)*0.902</f>
        <v>31961.419661830107</v>
      </c>
      <c r="E9" s="34">
        <f>C31*'E Balans VL '!I19/100/3.6*1000000</f>
        <v>13.22855149753112</v>
      </c>
      <c r="F9" s="34">
        <f>C31*'E Balans VL '!L19/100/3.6*1000000+C31*'E Balans VL '!N19/100/3.6*1000000</f>
        <v>1820.7053922282664</v>
      </c>
      <c r="G9" s="35"/>
      <c r="H9" s="34"/>
      <c r="I9" s="34"/>
      <c r="J9" s="41">
        <f>C31*'E Balans VL '!D19/100/3.6*1000000+C31*'E Balans VL '!E19/100/3.6*1000000</f>
        <v>0.21647779985239438</v>
      </c>
      <c r="K9" s="34"/>
      <c r="L9" s="34"/>
      <c r="M9" s="34"/>
      <c r="N9" s="34">
        <f>C31*'E Balans VL '!Y19/100/3.6*1000000</f>
        <v>173.39741445881481</v>
      </c>
      <c r="O9" s="34"/>
      <c r="P9" s="34"/>
      <c r="R9" s="33"/>
    </row>
    <row r="10" spans="1:18">
      <c r="A10" s="6" t="s">
        <v>41</v>
      </c>
      <c r="B10" s="38">
        <f t="shared" si="0"/>
        <v>4190.1721744813003</v>
      </c>
      <c r="C10" s="34"/>
      <c r="D10" s="38">
        <f>IF( ISERROR(IND_voed_gas_kWh/1000),0,IND_voed_gas_kWh/1000)*0.902</f>
        <v>4540.4249889067232</v>
      </c>
      <c r="E10" s="34">
        <f>C32*'E Balans VL '!I20/100/3.6*1000000</f>
        <v>41.200354599594306</v>
      </c>
      <c r="F10" s="34">
        <f>C32*'E Balans VL '!L20/100/3.6*1000000+C32*'E Balans VL '!N20/100/3.6*1000000</f>
        <v>465.37331280348133</v>
      </c>
      <c r="G10" s="35"/>
      <c r="H10" s="34"/>
      <c r="I10" s="34"/>
      <c r="J10" s="41">
        <f>C32*'E Balans VL '!D20/100/3.6*1000000+C32*'E Balans VL '!E20/100/3.6*1000000</f>
        <v>1.6515370763336836E-2</v>
      </c>
      <c r="K10" s="34"/>
      <c r="L10" s="34"/>
      <c r="M10" s="34"/>
      <c r="N10" s="34">
        <f>C32*'E Balans VL '!Y20/100/3.6*1000000</f>
        <v>62.046593580180975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135.30660426271098</v>
      </c>
      <c r="C12" s="34"/>
      <c r="D12" s="38">
        <f>IF( ISERROR(IND_min_gas_kWh/1000),0,IND_min_gas_kWh/1000)*0.902</f>
        <v>0</v>
      </c>
      <c r="E12" s="34">
        <f>C34*'E Balans VL '!I22/100/3.6*1000000</f>
        <v>3.4302631954960119</v>
      </c>
      <c r="F12" s="34">
        <f>C34*'E Balans VL '!L22/100/3.6*1000000+C34*'E Balans VL '!N22/100/3.6*1000000</f>
        <v>37.439809022876318</v>
      </c>
      <c r="G12" s="35"/>
      <c r="H12" s="34"/>
      <c r="I12" s="34"/>
      <c r="J12" s="41">
        <f>C34*'E Balans VL '!D22/100/3.6*1000000+C34*'E Balans VL '!E22/100/3.6*1000000</f>
        <v>0.89359200453861176</v>
      </c>
      <c r="K12" s="34"/>
      <c r="L12" s="34"/>
      <c r="M12" s="34"/>
      <c r="N12" s="34">
        <f>C34*'E Balans VL '!Y22/100/3.6*1000000</f>
        <v>0</v>
      </c>
      <c r="O12" s="34"/>
      <c r="P12" s="34"/>
      <c r="R12" s="33"/>
    </row>
    <row r="13" spans="1:18">
      <c r="A13" s="6" t="s">
        <v>39</v>
      </c>
      <c r="B13" s="38">
        <f t="shared" si="0"/>
        <v>279.90023196678999</v>
      </c>
      <c r="C13" s="34"/>
      <c r="D13" s="38">
        <f>IF( ISERROR(IND_papier_gas_kWh/1000),0,IND_papier_gas_kWh/1000)*0.902</f>
        <v>374.07847483967504</v>
      </c>
      <c r="E13" s="34">
        <f>C35*'E Balans VL '!I23/100/3.6*1000000</f>
        <v>9.5338077298873536</v>
      </c>
      <c r="F13" s="34">
        <f>C35*'E Balans VL '!L23/100/3.6*1000000+C35*'E Balans VL '!N23/100/3.6*1000000</f>
        <v>46.232949203873432</v>
      </c>
      <c r="G13" s="35"/>
      <c r="H13" s="34"/>
      <c r="I13" s="34"/>
      <c r="J13" s="41">
        <f>C35*'E Balans VL '!D23/100/3.6*1000000+C35*'E Balans VL '!E23/100/3.6*1000000</f>
        <v>0</v>
      </c>
      <c r="K13" s="34"/>
      <c r="L13" s="34"/>
      <c r="M13" s="34"/>
      <c r="N13" s="34">
        <f>C35*'E Balans VL '!Y23/100/3.6*1000000</f>
        <v>102.99577902144942</v>
      </c>
      <c r="O13" s="34"/>
      <c r="P13" s="34"/>
      <c r="R13" s="33"/>
    </row>
    <row r="14" spans="1:18">
      <c r="A14" s="6" t="s">
        <v>34</v>
      </c>
      <c r="B14" s="38">
        <f t="shared" si="0"/>
        <v>45080.399785203896</v>
      </c>
      <c r="C14" s="34"/>
      <c r="D14" s="38">
        <f>IF( ISERROR(IND_chemie_gas_kWh/1000),0,IND_chemie_gas_kWh/1000)*0.902</f>
        <v>0</v>
      </c>
      <c r="E14" s="34">
        <f>C36*'E Balans VL '!I24/100/3.6*1000000</f>
        <v>340.8319271745853</v>
      </c>
      <c r="F14" s="34">
        <f>C36*'E Balans VL '!L24/100/3.6*1000000+C36*'E Balans VL '!N24/100/3.6*1000000</f>
        <v>834.11203493552762</v>
      </c>
      <c r="G14" s="35"/>
      <c r="H14" s="34"/>
      <c r="I14" s="34"/>
      <c r="J14" s="41">
        <f>C36*'E Balans VL '!D24/100/3.6*1000000+C36*'E Balans VL '!E24/100/3.6*1000000</f>
        <v>0</v>
      </c>
      <c r="K14" s="34"/>
      <c r="L14" s="34"/>
      <c r="M14" s="34"/>
      <c r="N14" s="34">
        <f>C36*'E Balans VL '!Y24/100/3.6*1000000</f>
        <v>13.072153488278136</v>
      </c>
      <c r="O14" s="34"/>
      <c r="P14" s="34"/>
      <c r="R14" s="33"/>
    </row>
    <row r="15" spans="1:18">
      <c r="A15" s="6" t="s">
        <v>270</v>
      </c>
      <c r="B15" s="38">
        <f t="shared" si="0"/>
        <v>35191.296089521806</v>
      </c>
      <c r="C15" s="34"/>
      <c r="D15" s="38">
        <f>IF( ISERROR(IND_rest_gas_kWh/1000),0,IND_rest_gas_kWh/1000)*0.902</f>
        <v>34256.516510568494</v>
      </c>
      <c r="E15" s="34">
        <f>C37*'E Balans VL '!I15/100/3.6*1000000</f>
        <v>316.21811064121175</v>
      </c>
      <c r="F15" s="34">
        <f>C37*'E Balans VL '!L15/100/3.6*1000000+C37*'E Balans VL '!N15/100/3.6*1000000</f>
        <v>6929.8865813609345</v>
      </c>
      <c r="G15" s="35"/>
      <c r="H15" s="34"/>
      <c r="I15" s="34"/>
      <c r="J15" s="41">
        <f>C37*'E Balans VL '!D15/100/3.6*1000000+C37*'E Balans VL '!E15/100/3.6*1000000</f>
        <v>176.96894822194835</v>
      </c>
      <c r="K15" s="34"/>
      <c r="L15" s="34"/>
      <c r="M15" s="34"/>
      <c r="N15" s="34">
        <f>C37*'E Balans VL '!Y15/100/3.6*1000000</f>
        <v>1080.2800798248545</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87643.803322323438</v>
      </c>
      <c r="C18" s="22">
        <f>C5+C16</f>
        <v>0</v>
      </c>
      <c r="D18" s="22">
        <f>MAX((D5+D16),0)</f>
        <v>71199.956351184417</v>
      </c>
      <c r="E18" s="22">
        <f>MAX((E5+E16),0)</f>
        <v>728.79708444030894</v>
      </c>
      <c r="F18" s="22">
        <f>MAX((F5+F16),0)</f>
        <v>10196.809273491222</v>
      </c>
      <c r="G18" s="22"/>
      <c r="H18" s="22"/>
      <c r="I18" s="22"/>
      <c r="J18" s="22">
        <f>MAX((J5+J16),0)</f>
        <v>185.9358575998827</v>
      </c>
      <c r="K18" s="22"/>
      <c r="L18" s="22">
        <f>MAX((L5+L16),0)</f>
        <v>0</v>
      </c>
      <c r="M18" s="22"/>
      <c r="N18" s="22">
        <f>MAX((N5+N16),0)</f>
        <v>1433.435097531278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0.20914913150757605</v>
      </c>
      <c r="C20" s="26">
        <f ca="1">'EF ele_warmte'!B22</f>
        <v>0.1970304623531296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18330.625346884757</v>
      </c>
      <c r="C22" s="24">
        <f ca="1">C18*C20</f>
        <v>0</v>
      </c>
      <c r="D22" s="24">
        <f>D18*D20</f>
        <v>14382.391182939253</v>
      </c>
      <c r="E22" s="24">
        <f>E18*E20</f>
        <v>165.43693816795013</v>
      </c>
      <c r="F22" s="24">
        <f>F18*F20</f>
        <v>2722.5480760221567</v>
      </c>
      <c r="G22" s="24"/>
      <c r="H22" s="24"/>
      <c r="I22" s="24"/>
      <c r="J22" s="24">
        <f>J18*J20</f>
        <v>65.821293590358465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478.11087773032602</v>
      </c>
      <c r="C30" s="40">
        <f>IF(ISERROR(B30*3.6/1000000/'E Balans VL '!Z18*100),0,B30*3.6/1000000/'E Balans VL '!Z18*100)</f>
        <v>2.6603673245683544E-2</v>
      </c>
      <c r="D30" s="240" t="s">
        <v>707</v>
      </c>
    </row>
    <row r="31" spans="1:18">
      <c r="A31" s="6" t="s">
        <v>33</v>
      </c>
      <c r="B31" s="38">
        <f>IF( ISERROR(IND_ander_ele_kWh/1000),0,IND_ander_ele_kWh/1000)</f>
        <v>2288.6175591566102</v>
      </c>
      <c r="C31" s="40">
        <f>IF(ISERROR(B31*3.6/1000000/'E Balans VL '!Z19*100),0,B31*3.6/1000000/'E Balans VL '!Z19*100)</f>
        <v>0.10639181972267849</v>
      </c>
      <c r="D31" s="240" t="s">
        <v>707</v>
      </c>
    </row>
    <row r="32" spans="1:18">
      <c r="A32" s="174" t="s">
        <v>41</v>
      </c>
      <c r="B32" s="38">
        <f>IF( ISERROR(IND_voed_ele_kWh/1000),0,IND_voed_ele_kWh/1000)</f>
        <v>4190.1721744813003</v>
      </c>
      <c r="C32" s="40">
        <f>IF(ISERROR(B32*3.6/1000000/'E Balans VL '!Z20*100),0,B32*3.6/1000000/'E Balans VL '!Z20*100)</f>
        <v>0.14811412395682078</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135.30660426271098</v>
      </c>
      <c r="C34" s="40">
        <f>IF(ISERROR(B34*3.6/1000000/'E Balans VL '!Z22*100),0,B34*3.6/1000000/'E Balans VL '!Z22*100)</f>
        <v>2.7192811939468518E-2</v>
      </c>
      <c r="D34" s="240" t="s">
        <v>707</v>
      </c>
    </row>
    <row r="35" spans="1:5">
      <c r="A35" s="174" t="s">
        <v>39</v>
      </c>
      <c r="B35" s="38">
        <f>IF( ISERROR(IND_papier_ele_kWh/1000),0,IND_papier_ele_kWh/1000)</f>
        <v>279.90023196678999</v>
      </c>
      <c r="C35" s="40">
        <f>IF(ISERROR(B35*3.6/1000000/'E Balans VL '!Z22*100),0,B35*3.6/1000000/'E Balans VL '!Z22*100)</f>
        <v>5.625205370543853E-2</v>
      </c>
      <c r="D35" s="240" t="s">
        <v>707</v>
      </c>
    </row>
    <row r="36" spans="1:5">
      <c r="A36" s="174" t="s">
        <v>34</v>
      </c>
      <c r="B36" s="38">
        <f>IF( ISERROR(IND_chemie_ele_kWh/1000),0,IND_chemie_ele_kWh/1000)</f>
        <v>45080.399785203896</v>
      </c>
      <c r="C36" s="40">
        <f>IF(ISERROR(B36*3.6/1000000/'E Balans VL '!Z24*100),0,B36*3.6/1000000/'E Balans VL '!Z24*100)</f>
        <v>1.1101149354271402</v>
      </c>
      <c r="D36" s="240" t="s">
        <v>707</v>
      </c>
    </row>
    <row r="37" spans="1:5">
      <c r="A37" s="174" t="s">
        <v>270</v>
      </c>
      <c r="B37" s="38">
        <f>IF( ISERROR(IND_rest_ele_kWh/1000),0,IND_rest_ele_kWh/1000)</f>
        <v>35191.296089521806</v>
      </c>
      <c r="C37" s="40">
        <f>IF(ISERROR(B37*3.6/1000000/'E Balans VL '!Z15*100),0,B37*3.6/1000000/'E Balans VL '!Z15*100)</f>
        <v>0.2657462708811853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4961.9192049498906</v>
      </c>
      <c r="C5" s="18">
        <f>'Eigen informatie GS &amp; warmtenet'!B60</f>
        <v>0</v>
      </c>
      <c r="D5" s="31">
        <f>IF(ISERROR(SUM(LB_lb_gas_kWh,LB_rest_gas_kWh,onbekend_gas_kWh)/1000),0,SUM(LB_lb_gas_kWh,LB_rest_gas_kWh,onbekend_gas_kWh)/1000)*0.902</f>
        <v>13500.264832944178</v>
      </c>
      <c r="E5" s="18">
        <f>B17*'E Balans VL '!I25/3.6*1000000/100</f>
        <v>46.744603505552284</v>
      </c>
      <c r="F5" s="18">
        <f>B17*('E Balans VL '!L25/3.6*1000000+'E Balans VL '!N25/3.6*1000000)/100</f>
        <v>16192.389082115611</v>
      </c>
      <c r="G5" s="19"/>
      <c r="H5" s="18"/>
      <c r="I5" s="18"/>
      <c r="J5" s="18">
        <f>('E Balans VL '!D25+'E Balans VL '!E25)/3.6*1000000*landbouw!B17/100</f>
        <v>613.81354042267822</v>
      </c>
      <c r="K5" s="18"/>
      <c r="L5" s="18">
        <f>L6*(-1)</f>
        <v>0</v>
      </c>
      <c r="M5" s="18"/>
      <c r="N5" s="18">
        <f>N6*(-1)</f>
        <v>124.71428571428569</v>
      </c>
      <c r="O5" s="18"/>
      <c r="P5" s="18"/>
      <c r="R5" s="33"/>
    </row>
    <row r="6" spans="1:18">
      <c r="A6" s="17" t="s">
        <v>502</v>
      </c>
      <c r="B6" s="18" t="s">
        <v>211</v>
      </c>
      <c r="C6" s="18">
        <f>'lokale energieproductie'!O91+'lokale energieproductie'!O60</f>
        <v>283.85064935064935</v>
      </c>
      <c r="D6" s="312">
        <f>('lokale energieproductie'!P60+'lokale energieproductie'!P91)*(-1)</f>
        <v>-442.98701298701303</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-124.71428571428569</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4961.9192049498906</v>
      </c>
      <c r="C8" s="22">
        <f>C5+C6</f>
        <v>283.85064935064935</v>
      </c>
      <c r="D8" s="22">
        <f>MAX((D5+D6),0)</f>
        <v>13057.277819957166</v>
      </c>
      <c r="E8" s="22">
        <f>MAX((E5+E6),0)</f>
        <v>46.744603505552284</v>
      </c>
      <c r="F8" s="22">
        <f>MAX((F5+F6),0)</f>
        <v>16192.389082115611</v>
      </c>
      <c r="G8" s="22"/>
      <c r="H8" s="22"/>
      <c r="I8" s="22"/>
      <c r="J8" s="22">
        <f>MAX((J5+J6),0)</f>
        <v>613.81354042267822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0.20914913150757605</v>
      </c>
      <c r="C10" s="32">
        <f ca="1">'EF ele_warmte'!B22</f>
        <v>0.1970304623531296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1037.781092326032</v>
      </c>
      <c r="C12" s="24">
        <f ca="1">C8*C10</f>
        <v>55.927224680794509</v>
      </c>
      <c r="D12" s="24">
        <f>D8*D10</f>
        <v>2637.5701196313476</v>
      </c>
      <c r="E12" s="24">
        <f>E8*E10</f>
        <v>10.611024995760369</v>
      </c>
      <c r="F12" s="24">
        <f>F8*F10</f>
        <v>4323.3678849248681</v>
      </c>
      <c r="G12" s="24"/>
      <c r="H12" s="24"/>
      <c r="I12" s="24"/>
      <c r="J12" s="24">
        <f>J8*J10</f>
        <v>217.28999330962807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0.67176457141594703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854.60086684918031</v>
      </c>
      <c r="C26" s="250">
        <f>B26*'GWP N2O_CH4'!B5</f>
        <v>17946.618203832786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287.17902163839796</v>
      </c>
      <c r="C27" s="250">
        <f>B27*'GWP N2O_CH4'!B5</f>
        <v>6030.7594544063568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11.513461583137683</v>
      </c>
      <c r="C28" s="250">
        <f>B28*'GWP N2O_CH4'!B4</f>
        <v>3569.1730907726819</v>
      </c>
      <c r="D28" s="51"/>
    </row>
    <row r="29" spans="1:4">
      <c r="A29" s="42" t="s">
        <v>277</v>
      </c>
      <c r="B29" s="250">
        <f>B34*'ha_N2O bodem landbouw'!B4</f>
        <v>23.6057615757212</v>
      </c>
      <c r="C29" s="250">
        <f>B29*'GWP N2O_CH4'!B4</f>
        <v>7317.7860884735719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6.3728125097713981E-3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1.3228104701787963E-5</v>
      </c>
      <c r="C5" s="447" t="s">
        <v>211</v>
      </c>
      <c r="D5" s="432">
        <f>SUM(D6:D11)</f>
        <v>4.0167356915314493E-5</v>
      </c>
      <c r="E5" s="432">
        <f>SUM(E6:E11)</f>
        <v>2.2939269643136801E-3</v>
      </c>
      <c r="F5" s="445" t="s">
        <v>211</v>
      </c>
      <c r="G5" s="432">
        <f>SUM(G6:G11)</f>
        <v>0.4715674481690974</v>
      </c>
      <c r="H5" s="432">
        <f>SUM(H6:H11)</f>
        <v>8.8568429809637222E-2</v>
      </c>
      <c r="I5" s="447" t="s">
        <v>211</v>
      </c>
      <c r="J5" s="447" t="s">
        <v>211</v>
      </c>
      <c r="K5" s="447" t="s">
        <v>211</v>
      </c>
      <c r="L5" s="447" t="s">
        <v>211</v>
      </c>
      <c r="M5" s="432">
        <f>SUM(M6:M11)</f>
        <v>2.5050432410212601E-2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9.1731391375679799E-6</v>
      </c>
      <c r="C6" s="433"/>
      <c r="D6" s="433">
        <f>vkm_2011_GW_PW*SUMIFS(TableVerdeelsleutelVkm[CNG],TableVerdeelsleutelVkm[Voertuigtype],"Lichte voertuigen")*SUMIFS(TableECFTransport[EnergieConsumptieFactor (PJ per km)],TableECFTransport[Index],CONCATENATE($A6,"_CNG_CNG"))</f>
        <v>2.2400959397478609E-5</v>
      </c>
      <c r="E6" s="435">
        <f>vkm_2011_GW_PW*SUMIFS(TableVerdeelsleutelVkm[LPG],TableVerdeelsleutelVkm[Voertuigtype],"Lichte voertuigen")*SUMIFS(TableECFTransport[EnergieConsumptieFactor (PJ per km)],TableECFTransport[Index],CONCATENATE($A6,"_LPG_LPG"))</f>
        <v>1.3278131080376036E-3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0.19195100446497906</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5.0304843620065876E-2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1.0848663018756215E-2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0.11980130173853823</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4.8335154591333723E-5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5.337110926188657E-3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4.0549655642199839E-6</v>
      </c>
      <c r="C8" s="433"/>
      <c r="D8" s="435">
        <f>vkm_2011_NGW_PW*SUMIFS(TableVerdeelsleutelVkm[CNG],TableVerdeelsleutelVkm[Voertuigtype],"Lichte voertuigen")*SUMIFS(TableECFTransport[EnergieConsumptieFactor (PJ per km)],TableECFTransport[Index],CONCATENATE($A8,"_CNG_CNG"))</f>
        <v>1.7766397517835888E-5</v>
      </c>
      <c r="E8" s="435">
        <f>vkm_2011_NGW_PW*SUMIFS(TableVerdeelsleutelVkm[LPG],TableVerdeelsleutelVkm[Voertuigtype],"Lichte voertuigen")*SUMIFS(TableECFTransport[EnergieConsumptieFactor (PJ per km)],TableECFTransport[Index],CONCATENATE($A8,"_LPG_LPG"))</f>
        <v>9.6611385627607663E-4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0.13193765129384946</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3.8205457903108614E-2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7.6227914002081499E-3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2.7877490671730693E-2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9.7931318713986421E-6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1.2418670650595806E-3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3.6744735282744343</v>
      </c>
      <c r="C14" s="22"/>
      <c r="D14" s="22">
        <f t="shared" ref="D14:M14" si="0">((D5)*10^9/3600)+D12</f>
        <v>11.157599143142914</v>
      </c>
      <c r="E14" s="22">
        <f t="shared" si="0"/>
        <v>637.20193453157788</v>
      </c>
      <c r="F14" s="22"/>
      <c r="G14" s="22">
        <f t="shared" si="0"/>
        <v>130990.95782474929</v>
      </c>
      <c r="H14" s="22">
        <f t="shared" si="0"/>
        <v>24602.341613788118</v>
      </c>
      <c r="I14" s="22"/>
      <c r="J14" s="22"/>
      <c r="K14" s="22"/>
      <c r="L14" s="22"/>
      <c r="M14" s="22">
        <f t="shared" si="0"/>
        <v>6958.4534472812784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0.20914913150757605</v>
      </c>
      <c r="C16" s="57">
        <f ca="1">'EF ele_warmte'!B22</f>
        <v>0.1970304623531296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0.76851294718617669</v>
      </c>
      <c r="C18" s="24"/>
      <c r="D18" s="24">
        <f t="shared" ref="D18:M18" si="1">D14*D16</f>
        <v>2.2538350269148686</v>
      </c>
      <c r="E18" s="24">
        <f t="shared" si="1"/>
        <v>144.64483913866817</v>
      </c>
      <c r="F18" s="24"/>
      <c r="G18" s="24">
        <f t="shared" si="1"/>
        <v>34974.585739208065</v>
      </c>
      <c r="H18" s="24">
        <f t="shared" si="1"/>
        <v>6125.9830618332417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3.6051121493372207E-3</v>
      </c>
      <c r="C50" s="323">
        <f t="shared" ref="C50:P50" si="2">SUM(C51:C52)</f>
        <v>0</v>
      </c>
      <c r="D50" s="323">
        <f t="shared" si="2"/>
        <v>0</v>
      </c>
      <c r="E50" s="323">
        <f t="shared" si="2"/>
        <v>0</v>
      </c>
      <c r="F50" s="323">
        <f t="shared" si="2"/>
        <v>0</v>
      </c>
      <c r="G50" s="323">
        <f t="shared" si="2"/>
        <v>1.0709080417076191E-2</v>
      </c>
      <c r="H50" s="323">
        <f t="shared" si="2"/>
        <v>0</v>
      </c>
      <c r="I50" s="323">
        <f t="shared" si="2"/>
        <v>0</v>
      </c>
      <c r="J50" s="323">
        <f t="shared" si="2"/>
        <v>0</v>
      </c>
      <c r="K50" s="323">
        <f t="shared" si="2"/>
        <v>0</v>
      </c>
      <c r="L50" s="323">
        <f t="shared" si="2"/>
        <v>0</v>
      </c>
      <c r="M50" s="323">
        <f t="shared" si="2"/>
        <v>4.7025338684697439E-4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1.0709080417076191E-2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4.7025338684697439E-4</v>
      </c>
      <c r="N51" s="325"/>
      <c r="O51" s="325"/>
      <c r="P51" s="328"/>
    </row>
    <row r="52" spans="1:18">
      <c r="A52" s="4" t="s">
        <v>330</v>
      </c>
      <c r="B52" s="329">
        <f>vkm_2011_tram*SUMIFS(TableECFTransport[EnergieConsumptieFactor (PJ per km)],TableECFTransport[Index],"Tram_gemiddeld_Electric_Electric")</f>
        <v>3.6051121493372207E-3</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1001.4200414825613</v>
      </c>
      <c r="C54" s="22">
        <f t="shared" ref="C54:P54" si="3">(C50)*10^9/3600</f>
        <v>0</v>
      </c>
      <c r="D54" s="22">
        <f t="shared" si="3"/>
        <v>0</v>
      </c>
      <c r="E54" s="22">
        <f t="shared" si="3"/>
        <v>0</v>
      </c>
      <c r="F54" s="22">
        <f t="shared" si="3"/>
        <v>0</v>
      </c>
      <c r="G54" s="22">
        <f t="shared" si="3"/>
        <v>2974.7445602989419</v>
      </c>
      <c r="H54" s="22">
        <f t="shared" si="3"/>
        <v>0</v>
      </c>
      <c r="I54" s="22">
        <f t="shared" si="3"/>
        <v>0</v>
      </c>
      <c r="J54" s="22">
        <f t="shared" si="3"/>
        <v>0</v>
      </c>
      <c r="K54" s="22">
        <f t="shared" si="3"/>
        <v>0</v>
      </c>
      <c r="L54" s="22">
        <f t="shared" si="3"/>
        <v>0</v>
      </c>
      <c r="M54" s="22">
        <f t="shared" si="3"/>
        <v>130.62594079082621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0.20914913150757605</v>
      </c>
      <c r="C56" s="57">
        <f ca="1">'EF ele_warmte'!B22</f>
        <v>0.1970304623531296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209.44613195035848</v>
      </c>
      <c r="C58" s="24">
        <f t="shared" ref="C58:P58" ca="1" si="4">C54*C56</f>
        <v>0</v>
      </c>
      <c r="D58" s="24">
        <f t="shared" si="4"/>
        <v>0</v>
      </c>
      <c r="E58" s="24">
        <f t="shared" si="4"/>
        <v>0</v>
      </c>
      <c r="F58" s="24">
        <f t="shared" si="4"/>
        <v>0</v>
      </c>
      <c r="G58" s="24">
        <f t="shared" si="4"/>
        <v>794.25679759981756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11199.04881951505</v>
      </c>
      <c r="C6" s="1135"/>
      <c r="D6" s="1138"/>
      <c r="E6" s="1138"/>
      <c r="F6" s="1141"/>
      <c r="G6" s="1144"/>
      <c r="H6" s="1132"/>
      <c r="I6" s="1138"/>
      <c r="J6" s="1138"/>
      <c r="K6" s="1138"/>
      <c r="L6" s="1168"/>
      <c r="M6" s="560"/>
      <c r="N6" s="1180"/>
      <c r="O6" s="1181"/>
      <c r="Q6" s="558"/>
      <c r="R6" s="1165"/>
      <c r="S6" s="1165"/>
    </row>
    <row r="7" spans="1:19" s="548" customFormat="1">
      <c r="A7" s="561" t="s">
        <v>252</v>
      </c>
      <c r="B7" s="562">
        <f>N57</f>
        <v>255.39545454545456</v>
      </c>
      <c r="C7" s="563">
        <f>B100</f>
        <v>249.11229946524065</v>
      </c>
      <c r="D7" s="564"/>
      <c r="E7" s="564">
        <f>E100</f>
        <v>0</v>
      </c>
      <c r="F7" s="565"/>
      <c r="G7" s="566"/>
      <c r="H7" s="564">
        <f>I100</f>
        <v>0</v>
      </c>
      <c r="I7" s="564">
        <f>G100+F100</f>
        <v>0</v>
      </c>
      <c r="J7" s="564">
        <f>H100+D100+C100</f>
        <v>51.35294117647058</v>
      </c>
      <c r="K7" s="564"/>
      <c r="L7" s="567"/>
      <c r="M7" s="568">
        <f>C7*$C$11+D7*$D$11+E7*$E$11+F7*$F$11+G7*$G$11+H7*$H$11+I7*$I$11+J7*$J$11</f>
        <v>50.320684491978618</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11454.444274060505</v>
      </c>
      <c r="C9" s="579">
        <f t="shared" ref="C9:L9" si="0">SUM(C7:C8)</f>
        <v>249.11229946524065</v>
      </c>
      <c r="D9" s="579">
        <f t="shared" si="0"/>
        <v>0</v>
      </c>
      <c r="E9" s="579">
        <f t="shared" si="0"/>
        <v>0</v>
      </c>
      <c r="F9" s="579">
        <f t="shared" si="0"/>
        <v>0</v>
      </c>
      <c r="G9" s="579">
        <f t="shared" si="0"/>
        <v>0</v>
      </c>
      <c r="H9" s="579">
        <f t="shared" si="0"/>
        <v>0</v>
      </c>
      <c r="I9" s="579">
        <f t="shared" si="0"/>
        <v>0</v>
      </c>
      <c r="J9" s="579">
        <f t="shared" si="0"/>
        <v>51.35294117647058</v>
      </c>
      <c r="K9" s="579">
        <f t="shared" si="0"/>
        <v>0</v>
      </c>
      <c r="L9" s="579">
        <f t="shared" si="0"/>
        <v>0</v>
      </c>
      <c r="M9" s="580">
        <f>SUM(M4:M8)</f>
        <v>50.320684491978618</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364.85064935064935</v>
      </c>
      <c r="C16" s="595">
        <f>B101</f>
        <v>355.87471352177232</v>
      </c>
      <c r="D16" s="596"/>
      <c r="E16" s="596">
        <f>E101</f>
        <v>0</v>
      </c>
      <c r="F16" s="597"/>
      <c r="G16" s="598"/>
      <c r="H16" s="595">
        <f>I101</f>
        <v>0</v>
      </c>
      <c r="I16" s="596">
        <f>G101+F101</f>
        <v>0</v>
      </c>
      <c r="J16" s="596">
        <f>H101+D101+C101</f>
        <v>73.3613445378151</v>
      </c>
      <c r="K16" s="596"/>
      <c r="L16" s="599"/>
      <c r="M16" s="600">
        <f>C16*$C$21+E16*$E$21+H16*$H$21+I16*$I$21+J16*$J$21+D16*$D$21+F16*$F$21+G16*$G$21+K16*$K$21+L16*$L$21</f>
        <v>71.886692131398007</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364.85064935064935</v>
      </c>
      <c r="C19" s="578">
        <f>SUM(C16:C18)</f>
        <v>355.87471352177232</v>
      </c>
      <c r="D19" s="578">
        <f t="shared" ref="D19:M19" si="1">SUM(D16:D18)</f>
        <v>0</v>
      </c>
      <c r="E19" s="578">
        <f t="shared" si="1"/>
        <v>0</v>
      </c>
      <c r="F19" s="578">
        <f t="shared" si="1"/>
        <v>0</v>
      </c>
      <c r="G19" s="578">
        <f t="shared" si="1"/>
        <v>0</v>
      </c>
      <c r="H19" s="578">
        <f t="shared" si="1"/>
        <v>0</v>
      </c>
      <c r="I19" s="578">
        <f t="shared" si="1"/>
        <v>0</v>
      </c>
      <c r="J19" s="578">
        <f t="shared" si="1"/>
        <v>73.3613445378151</v>
      </c>
      <c r="K19" s="578">
        <f t="shared" si="1"/>
        <v>0</v>
      </c>
      <c r="L19" s="578">
        <f t="shared" si="1"/>
        <v>0</v>
      </c>
      <c r="M19" s="605">
        <f t="shared" si="1"/>
        <v>71.886692131398007</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63.75">
      <c r="A27" s="609"/>
      <c r="B27" s="840">
        <v>44019</v>
      </c>
      <c r="C27" s="840">
        <v>9940</v>
      </c>
      <c r="D27" s="657" t="s">
        <v>877</v>
      </c>
      <c r="E27" s="656" t="s">
        <v>878</v>
      </c>
      <c r="F27" s="656" t="s">
        <v>879</v>
      </c>
      <c r="G27" s="656" t="s">
        <v>880</v>
      </c>
      <c r="H27" s="656" t="s">
        <v>881</v>
      </c>
      <c r="I27" s="656" t="s">
        <v>878</v>
      </c>
      <c r="J27" s="839">
        <v>39861</v>
      </c>
      <c r="K27" s="839">
        <v>39861</v>
      </c>
      <c r="L27" s="656" t="s">
        <v>882</v>
      </c>
      <c r="M27" s="656">
        <v>12.6</v>
      </c>
      <c r="N27" s="656">
        <v>56.7</v>
      </c>
      <c r="O27" s="656">
        <v>81</v>
      </c>
      <c r="P27" s="656">
        <v>162.00000000000003</v>
      </c>
      <c r="Q27" s="656">
        <v>0</v>
      </c>
      <c r="R27" s="656">
        <v>0</v>
      </c>
      <c r="S27" s="656">
        <v>0</v>
      </c>
      <c r="T27" s="656">
        <v>0</v>
      </c>
      <c r="U27" s="656">
        <v>0</v>
      </c>
      <c r="V27" s="656">
        <v>0</v>
      </c>
      <c r="W27" s="656"/>
      <c r="X27" s="656">
        <v>1600</v>
      </c>
      <c r="Y27" s="656" t="s">
        <v>50</v>
      </c>
      <c r="Z27" s="658" t="s">
        <v>156</v>
      </c>
    </row>
    <row r="28" spans="1:26" s="610" customFormat="1" ht="25.5">
      <c r="A28" s="609"/>
      <c r="B28" s="840">
        <v>44019</v>
      </c>
      <c r="C28" s="840">
        <v>9940</v>
      </c>
      <c r="D28" s="657" t="s">
        <v>883</v>
      </c>
      <c r="E28" s="656" t="s">
        <v>884</v>
      </c>
      <c r="F28" s="656" t="s">
        <v>885</v>
      </c>
      <c r="G28" s="656" t="s">
        <v>880</v>
      </c>
      <c r="H28" s="656" t="s">
        <v>881</v>
      </c>
      <c r="I28" s="656" t="s">
        <v>886</v>
      </c>
      <c r="J28" s="839">
        <v>41151</v>
      </c>
      <c r="K28" s="839">
        <v>41275</v>
      </c>
      <c r="L28" s="656" t="s">
        <v>882</v>
      </c>
      <c r="M28" s="656">
        <v>9.6999999999999993</v>
      </c>
      <c r="N28" s="656">
        <v>43.649999999999991</v>
      </c>
      <c r="O28" s="656">
        <v>62.357142857142847</v>
      </c>
      <c r="P28" s="656">
        <v>0</v>
      </c>
      <c r="Q28" s="656">
        <v>124.71428571428569</v>
      </c>
      <c r="R28" s="656">
        <v>0</v>
      </c>
      <c r="S28" s="656">
        <v>0</v>
      </c>
      <c r="T28" s="656">
        <v>0</v>
      </c>
      <c r="U28" s="656">
        <v>0</v>
      </c>
      <c r="V28" s="656">
        <v>0</v>
      </c>
      <c r="W28" s="656"/>
      <c r="X28" s="656">
        <v>10</v>
      </c>
      <c r="Y28" s="656" t="s">
        <v>112</v>
      </c>
      <c r="Z28" s="658" t="s">
        <v>112</v>
      </c>
    </row>
    <row r="29" spans="1:26" s="610" customFormat="1" ht="25.5">
      <c r="A29" s="609"/>
      <c r="B29" s="840">
        <v>44019</v>
      </c>
      <c r="C29" s="840">
        <v>9940</v>
      </c>
      <c r="D29" s="657" t="s">
        <v>887</v>
      </c>
      <c r="E29" s="656" t="s">
        <v>888</v>
      </c>
      <c r="F29" s="656" t="s">
        <v>889</v>
      </c>
      <c r="G29" s="656" t="s">
        <v>880</v>
      </c>
      <c r="H29" s="656" t="s">
        <v>881</v>
      </c>
      <c r="I29" s="656" t="s">
        <v>888</v>
      </c>
      <c r="J29" s="839">
        <v>41185</v>
      </c>
      <c r="K29" s="839">
        <v>41214</v>
      </c>
      <c r="L29" s="656" t="s">
        <v>882</v>
      </c>
      <c r="M29" s="656">
        <v>379</v>
      </c>
      <c r="N29" s="656">
        <v>155.04545454545456</v>
      </c>
      <c r="O29" s="656">
        <v>221.49350649350652</v>
      </c>
      <c r="P29" s="656">
        <v>442.98701298701303</v>
      </c>
      <c r="Q29" s="656">
        <v>0</v>
      </c>
      <c r="R29" s="656">
        <v>0</v>
      </c>
      <c r="S29" s="656">
        <v>0</v>
      </c>
      <c r="T29" s="656">
        <v>0</v>
      </c>
      <c r="U29" s="656">
        <v>0</v>
      </c>
      <c r="V29" s="656">
        <v>0</v>
      </c>
      <c r="W29" s="656"/>
      <c r="X29" s="656">
        <v>10</v>
      </c>
      <c r="Y29" s="656" t="s">
        <v>112</v>
      </c>
      <c r="Z29" s="658" t="s">
        <v>112</v>
      </c>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401.3</v>
      </c>
      <c r="N57" s="614">
        <f>SUM(N27:N56)</f>
        <v>255.39545454545456</v>
      </c>
      <c r="O57" s="614">
        <f t="shared" ref="O57:W57" si="2">SUM(O27:O56)</f>
        <v>364.85064935064935</v>
      </c>
      <c r="P57" s="614">
        <f t="shared" si="2"/>
        <v>604.98701298701303</v>
      </c>
      <c r="Q57" s="614">
        <f t="shared" si="2"/>
        <v>124.71428571428569</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12.6</v>
      </c>
      <c r="N59" s="614">
        <f ca="1">SUMIF($Z$27:AB56,"tertiair",N27:N56)</f>
        <v>56.7</v>
      </c>
      <c r="O59" s="614">
        <f ca="1">SUMIF($Z$27:AC56,"tertiair",O27:O56)</f>
        <v>81</v>
      </c>
      <c r="P59" s="614">
        <f ca="1">SUMIF($Z$27:AD56,"tertiair",P27:P56)</f>
        <v>162.00000000000003</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388.7</v>
      </c>
      <c r="N60" s="619">
        <f t="shared" ref="N60:W60" si="4">SUMIF($Z$27:$Z$56,"landbouw",N27:N56)</f>
        <v>198.69545454545454</v>
      </c>
      <c r="O60" s="619">
        <f t="shared" si="4"/>
        <v>283.85064935064935</v>
      </c>
      <c r="P60" s="619">
        <f t="shared" si="4"/>
        <v>442.98701298701303</v>
      </c>
      <c r="Q60" s="619">
        <f t="shared" si="4"/>
        <v>124.71428571428569</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0.58823529411764697</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249.11229946524065</v>
      </c>
      <c r="C100" s="648">
        <f t="shared" si="9"/>
        <v>51.35294117647058</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355.87471352177232</v>
      </c>
      <c r="C101" s="651">
        <f t="shared" ref="C101:H101" si="10">$B$97*Q57</f>
        <v>73.3613445378151</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43397.694924914664</v>
      </c>
      <c r="D10" s="703">
        <f ca="1">tertiair!C16</f>
        <v>81</v>
      </c>
      <c r="E10" s="703">
        <f ca="1">tertiair!D16</f>
        <v>44704.340924589102</v>
      </c>
      <c r="F10" s="703">
        <f>tertiair!E16</f>
        <v>314.68837333377513</v>
      </c>
      <c r="G10" s="703">
        <f ca="1">tertiair!F16</f>
        <v>8756.1670246491631</v>
      </c>
      <c r="H10" s="703">
        <f>tertiair!G16</f>
        <v>0</v>
      </c>
      <c r="I10" s="703">
        <f>tertiair!H16</f>
        <v>0</v>
      </c>
      <c r="J10" s="703">
        <f>tertiair!I16</f>
        <v>0</v>
      </c>
      <c r="K10" s="703">
        <f>tertiair!J16</f>
        <v>0</v>
      </c>
      <c r="L10" s="703">
        <f>tertiair!K16</f>
        <v>0</v>
      </c>
      <c r="M10" s="703">
        <f ca="1">tertiair!L16</f>
        <v>0</v>
      </c>
      <c r="N10" s="703">
        <f>tertiair!M16</f>
        <v>0</v>
      </c>
      <c r="O10" s="703">
        <f ca="1">tertiair!N16</f>
        <v>3827.3795742577336</v>
      </c>
      <c r="P10" s="703">
        <f>tertiair!O16</f>
        <v>6.2533333333333339</v>
      </c>
      <c r="Q10" s="704">
        <f>tertiair!P16</f>
        <v>0</v>
      </c>
      <c r="R10" s="706">
        <f ca="1">SUM(C10:Q10)</f>
        <v>101087.52415507776</v>
      </c>
      <c r="S10" s="68"/>
    </row>
    <row r="11" spans="1:19" s="458" customFormat="1">
      <c r="A11" s="859" t="s">
        <v>225</v>
      </c>
      <c r="B11" s="864"/>
      <c r="C11" s="703">
        <f>huishoudens!B8</f>
        <v>72352.641745842004</v>
      </c>
      <c r="D11" s="703">
        <f>huishoudens!C8</f>
        <v>0</v>
      </c>
      <c r="E11" s="703">
        <f>huishoudens!D8</f>
        <v>106661.20289386138</v>
      </c>
      <c r="F11" s="703">
        <f>huishoudens!E8</f>
        <v>9878.9654739158796</v>
      </c>
      <c r="G11" s="703">
        <f>huishoudens!F8</f>
        <v>48524.583560785875</v>
      </c>
      <c r="H11" s="703">
        <f>huishoudens!G8</f>
        <v>0</v>
      </c>
      <c r="I11" s="703">
        <f>huishoudens!H8</f>
        <v>0</v>
      </c>
      <c r="J11" s="703">
        <f>huishoudens!I8</f>
        <v>0</v>
      </c>
      <c r="K11" s="703">
        <f>huishoudens!J8</f>
        <v>0</v>
      </c>
      <c r="L11" s="703">
        <f>huishoudens!K8</f>
        <v>0</v>
      </c>
      <c r="M11" s="703">
        <f>huishoudens!L8</f>
        <v>0</v>
      </c>
      <c r="N11" s="703">
        <f>huishoudens!M8</f>
        <v>0</v>
      </c>
      <c r="O11" s="703">
        <f>huishoudens!N8</f>
        <v>32606.153207399359</v>
      </c>
      <c r="P11" s="703">
        <f>huishoudens!O8</f>
        <v>262.64000000000004</v>
      </c>
      <c r="Q11" s="704">
        <f>huishoudens!P8</f>
        <v>877.06666666666661</v>
      </c>
      <c r="R11" s="706">
        <f>SUM(C11:Q11)</f>
        <v>271163.2535484712</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87643.803322323438</v>
      </c>
      <c r="D13" s="703">
        <f>industrie!C18</f>
        <v>0</v>
      </c>
      <c r="E13" s="703">
        <f>industrie!D18</f>
        <v>71199.956351184417</v>
      </c>
      <c r="F13" s="703">
        <f>industrie!E18</f>
        <v>728.79708444030894</v>
      </c>
      <c r="G13" s="703">
        <f>industrie!F18</f>
        <v>10196.809273491222</v>
      </c>
      <c r="H13" s="703">
        <f>industrie!G18</f>
        <v>0</v>
      </c>
      <c r="I13" s="703">
        <f>industrie!H18</f>
        <v>0</v>
      </c>
      <c r="J13" s="703">
        <f>industrie!I18</f>
        <v>0</v>
      </c>
      <c r="K13" s="703">
        <f>industrie!J18</f>
        <v>185.9358575998827</v>
      </c>
      <c r="L13" s="703">
        <f>industrie!K18</f>
        <v>0</v>
      </c>
      <c r="M13" s="703">
        <f>industrie!L18</f>
        <v>0</v>
      </c>
      <c r="N13" s="703">
        <f>industrie!M18</f>
        <v>0</v>
      </c>
      <c r="O13" s="703">
        <f>industrie!N18</f>
        <v>1433.435097531278</v>
      </c>
      <c r="P13" s="703">
        <f>industrie!O18</f>
        <v>0</v>
      </c>
      <c r="Q13" s="704">
        <f>industrie!P18</f>
        <v>0</v>
      </c>
      <c r="R13" s="706">
        <f>SUM(C13:Q13)</f>
        <v>171388.73698657056</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203394.13999308011</v>
      </c>
      <c r="D15" s="708">
        <f t="shared" ref="D15:Q15" ca="1" si="0">SUM(D9:D14)</f>
        <v>81</v>
      </c>
      <c r="E15" s="708">
        <f t="shared" ca="1" si="0"/>
        <v>222565.50016963488</v>
      </c>
      <c r="F15" s="708">
        <f t="shared" si="0"/>
        <v>10922.450931689964</v>
      </c>
      <c r="G15" s="708">
        <f t="shared" ca="1" si="0"/>
        <v>67477.559858926266</v>
      </c>
      <c r="H15" s="708">
        <f t="shared" si="0"/>
        <v>0</v>
      </c>
      <c r="I15" s="708">
        <f t="shared" si="0"/>
        <v>0</v>
      </c>
      <c r="J15" s="708">
        <f t="shared" si="0"/>
        <v>0</v>
      </c>
      <c r="K15" s="708">
        <f t="shared" si="0"/>
        <v>185.9358575998827</v>
      </c>
      <c r="L15" s="708">
        <f t="shared" si="0"/>
        <v>0</v>
      </c>
      <c r="M15" s="708">
        <f t="shared" ca="1" si="0"/>
        <v>0</v>
      </c>
      <c r="N15" s="708">
        <f t="shared" si="0"/>
        <v>0</v>
      </c>
      <c r="O15" s="708">
        <f t="shared" ca="1" si="0"/>
        <v>37866.967879188371</v>
      </c>
      <c r="P15" s="708">
        <f t="shared" si="0"/>
        <v>268.89333333333337</v>
      </c>
      <c r="Q15" s="709">
        <f t="shared" si="0"/>
        <v>877.06666666666661</v>
      </c>
      <c r="R15" s="710">
        <f ca="1">SUM(R9:R14)</f>
        <v>543639.51469011954</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1001.4200414825613</v>
      </c>
      <c r="D18" s="703">
        <f>transport!C54</f>
        <v>0</v>
      </c>
      <c r="E18" s="703">
        <f>transport!D54</f>
        <v>0</v>
      </c>
      <c r="F18" s="703">
        <f>transport!E54</f>
        <v>0</v>
      </c>
      <c r="G18" s="703">
        <f>transport!F54</f>
        <v>0</v>
      </c>
      <c r="H18" s="703">
        <f>transport!G54</f>
        <v>2974.7445602989419</v>
      </c>
      <c r="I18" s="703">
        <f>transport!H54</f>
        <v>0</v>
      </c>
      <c r="J18" s="703">
        <f>transport!I54</f>
        <v>0</v>
      </c>
      <c r="K18" s="703">
        <f>transport!J54</f>
        <v>0</v>
      </c>
      <c r="L18" s="703">
        <f>transport!K54</f>
        <v>0</v>
      </c>
      <c r="M18" s="703">
        <f>transport!L54</f>
        <v>0</v>
      </c>
      <c r="N18" s="703">
        <f>transport!M54</f>
        <v>130.62594079082621</v>
      </c>
      <c r="O18" s="703">
        <f>transport!N54</f>
        <v>0</v>
      </c>
      <c r="P18" s="703">
        <f>transport!O54</f>
        <v>0</v>
      </c>
      <c r="Q18" s="704">
        <f>transport!P54</f>
        <v>0</v>
      </c>
      <c r="R18" s="706">
        <f>SUM(C18:Q18)</f>
        <v>4106.7905425723293</v>
      </c>
      <c r="S18" s="68"/>
    </row>
    <row r="19" spans="1:19" s="458" customFormat="1" ht="15" thickBot="1">
      <c r="A19" s="859" t="s">
        <v>307</v>
      </c>
      <c r="B19" s="864"/>
      <c r="C19" s="712">
        <f>transport!B14</f>
        <v>3.6744735282744343</v>
      </c>
      <c r="D19" s="712">
        <f>transport!C14</f>
        <v>0</v>
      </c>
      <c r="E19" s="712">
        <f>transport!D14</f>
        <v>11.157599143142914</v>
      </c>
      <c r="F19" s="712">
        <f>transport!E14</f>
        <v>637.20193453157788</v>
      </c>
      <c r="G19" s="712">
        <f>transport!F14</f>
        <v>0</v>
      </c>
      <c r="H19" s="712">
        <f>transport!G14</f>
        <v>130990.95782474929</v>
      </c>
      <c r="I19" s="712">
        <f>transport!H14</f>
        <v>24602.341613788118</v>
      </c>
      <c r="J19" s="712">
        <f>transport!I14</f>
        <v>0</v>
      </c>
      <c r="K19" s="712">
        <f>transport!J14</f>
        <v>0</v>
      </c>
      <c r="L19" s="712">
        <f>transport!K14</f>
        <v>0</v>
      </c>
      <c r="M19" s="712">
        <f>transport!L14</f>
        <v>0</v>
      </c>
      <c r="N19" s="712">
        <f>transport!M14</f>
        <v>6958.4534472812784</v>
      </c>
      <c r="O19" s="712">
        <f>transport!N14</f>
        <v>0</v>
      </c>
      <c r="P19" s="712">
        <f>transport!O14</f>
        <v>0</v>
      </c>
      <c r="Q19" s="713">
        <f>transport!P14</f>
        <v>0</v>
      </c>
      <c r="R19" s="714">
        <f>SUM(C19:Q19)</f>
        <v>163203.78689302169</v>
      </c>
      <c r="S19" s="68"/>
    </row>
    <row r="20" spans="1:19" s="458" customFormat="1" ht="15.75" thickBot="1">
      <c r="A20" s="715" t="s">
        <v>230</v>
      </c>
      <c r="B20" s="867"/>
      <c r="C20" s="862">
        <f>SUM(C17:C19)</f>
        <v>1005.0945150108357</v>
      </c>
      <c r="D20" s="716">
        <f t="shared" ref="D20:R20" si="1">SUM(D17:D19)</f>
        <v>0</v>
      </c>
      <c r="E20" s="716">
        <f t="shared" si="1"/>
        <v>11.157599143142914</v>
      </c>
      <c r="F20" s="716">
        <f t="shared" si="1"/>
        <v>637.20193453157788</v>
      </c>
      <c r="G20" s="716">
        <f t="shared" si="1"/>
        <v>0</v>
      </c>
      <c r="H20" s="716">
        <f t="shared" si="1"/>
        <v>133965.70238504824</v>
      </c>
      <c r="I20" s="716">
        <f t="shared" si="1"/>
        <v>24602.341613788118</v>
      </c>
      <c r="J20" s="716">
        <f t="shared" si="1"/>
        <v>0</v>
      </c>
      <c r="K20" s="716">
        <f t="shared" si="1"/>
        <v>0</v>
      </c>
      <c r="L20" s="716">
        <f t="shared" si="1"/>
        <v>0</v>
      </c>
      <c r="M20" s="716">
        <f t="shared" si="1"/>
        <v>0</v>
      </c>
      <c r="N20" s="716">
        <f t="shared" si="1"/>
        <v>7089.0793880721048</v>
      </c>
      <c r="O20" s="716">
        <f t="shared" si="1"/>
        <v>0</v>
      </c>
      <c r="P20" s="716">
        <f t="shared" si="1"/>
        <v>0</v>
      </c>
      <c r="Q20" s="717">
        <f t="shared" si="1"/>
        <v>0</v>
      </c>
      <c r="R20" s="718">
        <f t="shared" si="1"/>
        <v>167310.57743559402</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4961.9192049498906</v>
      </c>
      <c r="D22" s="712">
        <f>+landbouw!C8</f>
        <v>283.85064935064935</v>
      </c>
      <c r="E22" s="712">
        <f>+landbouw!D8</f>
        <v>13057.277819957166</v>
      </c>
      <c r="F22" s="712">
        <f>+landbouw!E8</f>
        <v>46.744603505552284</v>
      </c>
      <c r="G22" s="712">
        <f>+landbouw!F8</f>
        <v>16192.389082115611</v>
      </c>
      <c r="H22" s="712">
        <f>+landbouw!G8</f>
        <v>0</v>
      </c>
      <c r="I22" s="712">
        <f>+landbouw!H8</f>
        <v>0</v>
      </c>
      <c r="J22" s="712">
        <f>+landbouw!I8</f>
        <v>0</v>
      </c>
      <c r="K22" s="712">
        <f>+landbouw!J8</f>
        <v>613.81354042267822</v>
      </c>
      <c r="L22" s="712">
        <f>+landbouw!K8</f>
        <v>0</v>
      </c>
      <c r="M22" s="712">
        <f>+landbouw!L8</f>
        <v>0</v>
      </c>
      <c r="N22" s="712">
        <f>+landbouw!M8</f>
        <v>0</v>
      </c>
      <c r="O22" s="712">
        <f>+landbouw!N8</f>
        <v>0</v>
      </c>
      <c r="P22" s="712">
        <f>+landbouw!O8</f>
        <v>0</v>
      </c>
      <c r="Q22" s="713">
        <f>+landbouw!P8</f>
        <v>0</v>
      </c>
      <c r="R22" s="714">
        <f>SUM(C22:Q22)</f>
        <v>35155.994900301543</v>
      </c>
      <c r="S22" s="68"/>
    </row>
    <row r="23" spans="1:19" s="458" customFormat="1" ht="17.25" thickTop="1" thickBot="1">
      <c r="A23" s="719" t="s">
        <v>116</v>
      </c>
      <c r="B23" s="853"/>
      <c r="C23" s="720">
        <f ca="1">C20+C15+C22</f>
        <v>209361.15371304084</v>
      </c>
      <c r="D23" s="720">
        <f t="shared" ref="D23:Q23" ca="1" si="2">D20+D15+D22</f>
        <v>364.85064935064935</v>
      </c>
      <c r="E23" s="720">
        <f t="shared" ca="1" si="2"/>
        <v>235633.93558873518</v>
      </c>
      <c r="F23" s="720">
        <f t="shared" si="2"/>
        <v>11606.397469727095</v>
      </c>
      <c r="G23" s="720">
        <f t="shared" ca="1" si="2"/>
        <v>83669.948941041876</v>
      </c>
      <c r="H23" s="720">
        <f t="shared" si="2"/>
        <v>133965.70238504824</v>
      </c>
      <c r="I23" s="720">
        <f t="shared" si="2"/>
        <v>24602.341613788118</v>
      </c>
      <c r="J23" s="720">
        <f t="shared" si="2"/>
        <v>0</v>
      </c>
      <c r="K23" s="720">
        <f t="shared" si="2"/>
        <v>799.74939802256085</v>
      </c>
      <c r="L23" s="720">
        <f t="shared" si="2"/>
        <v>0</v>
      </c>
      <c r="M23" s="720">
        <f t="shared" ca="1" si="2"/>
        <v>0</v>
      </c>
      <c r="N23" s="720">
        <f t="shared" si="2"/>
        <v>7089.0793880721048</v>
      </c>
      <c r="O23" s="720">
        <f t="shared" ca="1" si="2"/>
        <v>37866.967879188371</v>
      </c>
      <c r="P23" s="720">
        <f t="shared" si="2"/>
        <v>268.89333333333337</v>
      </c>
      <c r="Q23" s="721">
        <f t="shared" si="2"/>
        <v>877.06666666666661</v>
      </c>
      <c r="R23" s="722">
        <f ca="1">R20+R15+R22</f>
        <v>746106.08702601516</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9076.5902029766421</v>
      </c>
      <c r="D36" s="703">
        <f ca="1">tertiair!C20</f>
        <v>15.959467450603498</v>
      </c>
      <c r="E36" s="703">
        <f ca="1">tertiair!D20</f>
        <v>9030.2768667669989</v>
      </c>
      <c r="F36" s="703">
        <f>tertiair!E20</f>
        <v>71.434260746766952</v>
      </c>
      <c r="G36" s="703">
        <f ca="1">tertiair!F20</f>
        <v>2337.8965955813269</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20532.157393522339</v>
      </c>
    </row>
    <row r="37" spans="1:18">
      <c r="A37" s="874" t="s">
        <v>225</v>
      </c>
      <c r="B37" s="881"/>
      <c r="C37" s="703">
        <f ca="1">huishoudens!B12</f>
        <v>15132.492183421646</v>
      </c>
      <c r="D37" s="703">
        <f ca="1">huishoudens!C12</f>
        <v>0</v>
      </c>
      <c r="E37" s="703">
        <f>huishoudens!D12</f>
        <v>21545.562984560001</v>
      </c>
      <c r="F37" s="703">
        <f>huishoudens!E12</f>
        <v>2242.5251625789047</v>
      </c>
      <c r="G37" s="703">
        <f>huishoudens!F12</f>
        <v>12956.063810729829</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51876.644141290381</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18330.625346884757</v>
      </c>
      <c r="D39" s="703">
        <f ca="1">industrie!C22</f>
        <v>0</v>
      </c>
      <c r="E39" s="703">
        <f>industrie!D22</f>
        <v>14382.391182939253</v>
      </c>
      <c r="F39" s="703">
        <f>industrie!E22</f>
        <v>165.43693816795013</v>
      </c>
      <c r="G39" s="703">
        <f>industrie!F22</f>
        <v>2722.5480760221567</v>
      </c>
      <c r="H39" s="703">
        <f>industrie!G22</f>
        <v>0</v>
      </c>
      <c r="I39" s="703">
        <f>industrie!H22</f>
        <v>0</v>
      </c>
      <c r="J39" s="703">
        <f>industrie!I22</f>
        <v>0</v>
      </c>
      <c r="K39" s="703">
        <f>industrie!J22</f>
        <v>65.821293590358465</v>
      </c>
      <c r="L39" s="703">
        <f>industrie!K22</f>
        <v>0</v>
      </c>
      <c r="M39" s="703">
        <f>industrie!L22</f>
        <v>0</v>
      </c>
      <c r="N39" s="703">
        <f>industrie!M22</f>
        <v>0</v>
      </c>
      <c r="O39" s="703">
        <f>industrie!N22</f>
        <v>0</v>
      </c>
      <c r="P39" s="703">
        <f>industrie!O22</f>
        <v>0</v>
      </c>
      <c r="Q39" s="813">
        <f>industrie!P22</f>
        <v>0</v>
      </c>
      <c r="R39" s="907">
        <f ca="1">SUM(C39:Q39)</f>
        <v>35666.822837604472</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42539.707733283045</v>
      </c>
      <c r="D41" s="748">
        <f t="shared" ref="D41:R41" ca="1" si="4">SUM(D35:D40)</f>
        <v>15.959467450603498</v>
      </c>
      <c r="E41" s="748">
        <f t="shared" ca="1" si="4"/>
        <v>44958.231034266253</v>
      </c>
      <c r="F41" s="748">
        <f t="shared" si="4"/>
        <v>2479.396361493622</v>
      </c>
      <c r="G41" s="748">
        <f t="shared" ca="1" si="4"/>
        <v>18016.508482333313</v>
      </c>
      <c r="H41" s="748">
        <f t="shared" si="4"/>
        <v>0</v>
      </c>
      <c r="I41" s="748">
        <f t="shared" si="4"/>
        <v>0</v>
      </c>
      <c r="J41" s="748">
        <f t="shared" si="4"/>
        <v>0</v>
      </c>
      <c r="K41" s="748">
        <f t="shared" si="4"/>
        <v>65.821293590358465</v>
      </c>
      <c r="L41" s="748">
        <f t="shared" si="4"/>
        <v>0</v>
      </c>
      <c r="M41" s="748">
        <f t="shared" ca="1" si="4"/>
        <v>0</v>
      </c>
      <c r="N41" s="748">
        <f t="shared" si="4"/>
        <v>0</v>
      </c>
      <c r="O41" s="748">
        <f t="shared" ca="1" si="4"/>
        <v>0</v>
      </c>
      <c r="P41" s="748">
        <f t="shared" si="4"/>
        <v>0</v>
      </c>
      <c r="Q41" s="749">
        <f t="shared" si="4"/>
        <v>0</v>
      </c>
      <c r="R41" s="750">
        <f t="shared" ca="1" si="4"/>
        <v>108075.62437241719</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209.44613195035848</v>
      </c>
      <c r="D44" s="703">
        <f ca="1">transport!C58</f>
        <v>0</v>
      </c>
      <c r="E44" s="703">
        <f>transport!D58</f>
        <v>0</v>
      </c>
      <c r="F44" s="703">
        <f>transport!E58</f>
        <v>0</v>
      </c>
      <c r="G44" s="703">
        <f>transport!F58</f>
        <v>0</v>
      </c>
      <c r="H44" s="703">
        <f>transport!G58</f>
        <v>794.25679759981756</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1003.702929550176</v>
      </c>
    </row>
    <row r="45" spans="1:18" ht="15" thickBot="1">
      <c r="A45" s="877" t="s">
        <v>307</v>
      </c>
      <c r="B45" s="887"/>
      <c r="C45" s="712">
        <f ca="1">transport!B18</f>
        <v>0.76851294718617669</v>
      </c>
      <c r="D45" s="712">
        <f>transport!C18</f>
        <v>0</v>
      </c>
      <c r="E45" s="712">
        <f>transport!D18</f>
        <v>2.2538350269148686</v>
      </c>
      <c r="F45" s="712">
        <f>transport!E18</f>
        <v>144.64483913866817</v>
      </c>
      <c r="G45" s="712">
        <f>transport!F18</f>
        <v>0</v>
      </c>
      <c r="H45" s="712">
        <f>transport!G18</f>
        <v>34974.585739208065</v>
      </c>
      <c r="I45" s="712">
        <f>transport!H18</f>
        <v>6125.9830618332417</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41248.235988154076</v>
      </c>
    </row>
    <row r="46" spans="1:18" ht="15.75" thickBot="1">
      <c r="A46" s="875" t="s">
        <v>230</v>
      </c>
      <c r="B46" s="888"/>
      <c r="C46" s="748">
        <f t="shared" ref="C46:R46" ca="1" si="5">SUM(C43:C45)</f>
        <v>210.21464489754464</v>
      </c>
      <c r="D46" s="748">
        <f t="shared" ca="1" si="5"/>
        <v>0</v>
      </c>
      <c r="E46" s="748">
        <f t="shared" si="5"/>
        <v>2.2538350269148686</v>
      </c>
      <c r="F46" s="748">
        <f t="shared" si="5"/>
        <v>144.64483913866817</v>
      </c>
      <c r="G46" s="748">
        <f t="shared" si="5"/>
        <v>0</v>
      </c>
      <c r="H46" s="748">
        <f t="shared" si="5"/>
        <v>35768.842536807882</v>
      </c>
      <c r="I46" s="748">
        <f t="shared" si="5"/>
        <v>6125.9830618332417</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42251.938917704254</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1037.781092326032</v>
      </c>
      <c r="D48" s="703">
        <f ca="1">+landbouw!C12</f>
        <v>55.927224680794509</v>
      </c>
      <c r="E48" s="703">
        <f>+landbouw!D12</f>
        <v>2637.5701196313476</v>
      </c>
      <c r="F48" s="703">
        <f>+landbouw!E12</f>
        <v>10.611024995760369</v>
      </c>
      <c r="G48" s="703">
        <f>+landbouw!F12</f>
        <v>4323.3678849248681</v>
      </c>
      <c r="H48" s="703">
        <f>+landbouw!G12</f>
        <v>0</v>
      </c>
      <c r="I48" s="703">
        <f>+landbouw!H12</f>
        <v>0</v>
      </c>
      <c r="J48" s="703">
        <f>+landbouw!I12</f>
        <v>0</v>
      </c>
      <c r="K48" s="703">
        <f>+landbouw!J12</f>
        <v>217.28999330962807</v>
      </c>
      <c r="L48" s="703">
        <f>+landbouw!K12</f>
        <v>0</v>
      </c>
      <c r="M48" s="703">
        <f>+landbouw!L12</f>
        <v>0</v>
      </c>
      <c r="N48" s="703">
        <f>+landbouw!M12</f>
        <v>0</v>
      </c>
      <c r="O48" s="703">
        <f>+landbouw!N12</f>
        <v>0</v>
      </c>
      <c r="P48" s="703">
        <f>+landbouw!O12</f>
        <v>0</v>
      </c>
      <c r="Q48" s="704">
        <f>+landbouw!P12</f>
        <v>0</v>
      </c>
      <c r="R48" s="746">
        <f ca="1">SUM(C48:Q48)</f>
        <v>8282.5473398684317</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43787.703470506625</v>
      </c>
      <c r="D53" s="758">
        <f t="shared" ref="D53:Q53" ca="1" si="6">D41+D46+D48</f>
        <v>71.886692131398007</v>
      </c>
      <c r="E53" s="758">
        <f t="shared" ca="1" si="6"/>
        <v>47598.054988924516</v>
      </c>
      <c r="F53" s="758">
        <f t="shared" si="6"/>
        <v>2634.6522256280505</v>
      </c>
      <c r="G53" s="758">
        <f t="shared" ca="1" si="6"/>
        <v>22339.876367258181</v>
      </c>
      <c r="H53" s="758">
        <f t="shared" si="6"/>
        <v>35768.842536807882</v>
      </c>
      <c r="I53" s="758">
        <f t="shared" si="6"/>
        <v>6125.9830618332417</v>
      </c>
      <c r="J53" s="758">
        <f t="shared" si="6"/>
        <v>0</v>
      </c>
      <c r="K53" s="758">
        <f t="shared" si="6"/>
        <v>283.11128689998657</v>
      </c>
      <c r="L53" s="758">
        <f t="shared" si="6"/>
        <v>0</v>
      </c>
      <c r="M53" s="758">
        <f t="shared" ca="1" si="6"/>
        <v>0</v>
      </c>
      <c r="N53" s="758">
        <f t="shared" si="6"/>
        <v>0</v>
      </c>
      <c r="O53" s="758">
        <f t="shared" ca="1" si="6"/>
        <v>0</v>
      </c>
      <c r="P53" s="758">
        <f>P41+P46+P48</f>
        <v>0</v>
      </c>
      <c r="Q53" s="759">
        <f t="shared" si="6"/>
        <v>0</v>
      </c>
      <c r="R53" s="760">
        <f ca="1">R41+R46+R48</f>
        <v>158610.11062998988</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0.20914913150757605</v>
      </c>
      <c r="D55" s="824">
        <f t="shared" ca="1" si="7"/>
        <v>0.1970304623531296</v>
      </c>
      <c r="E55" s="824">
        <f t="shared" ca="1" si="7"/>
        <v>0.20200000000000004</v>
      </c>
      <c r="F55" s="824">
        <f t="shared" si="7"/>
        <v>0.22699999999999998</v>
      </c>
      <c r="G55" s="824">
        <f t="shared" ca="1" si="7"/>
        <v>0.26700000000000002</v>
      </c>
      <c r="H55" s="824">
        <f t="shared" si="7"/>
        <v>0.26700000000000002</v>
      </c>
      <c r="I55" s="824">
        <f t="shared" si="7"/>
        <v>0.24900000000000003</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11199.04881951505</v>
      </c>
      <c r="C66" s="780">
        <f>'lokale energieproductie'!B6</f>
        <v>11199.04881951505</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255.39545454545456</v>
      </c>
      <c r="C67" s="779">
        <f>B67*IFERROR(SUM(J67:L67)/SUM(D67:M67),0)</f>
        <v>43.649999999999984</v>
      </c>
      <c r="D67" s="811">
        <f>'lokale energieproductie'!C7</f>
        <v>249.11229946524065</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51.35294117647058</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50.320684491978618</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11454.444274060505</v>
      </c>
      <c r="C69" s="788">
        <f>SUM(C64:C68)</f>
        <v>11242.69881951505</v>
      </c>
      <c r="D69" s="789">
        <f t="shared" ref="D69:M69" si="8">SUM(D67:D68)</f>
        <v>249.11229946524065</v>
      </c>
      <c r="E69" s="789">
        <f t="shared" si="8"/>
        <v>0</v>
      </c>
      <c r="F69" s="789">
        <f t="shared" si="8"/>
        <v>0</v>
      </c>
      <c r="G69" s="789">
        <f t="shared" si="8"/>
        <v>0</v>
      </c>
      <c r="H69" s="789">
        <f t="shared" si="8"/>
        <v>0</v>
      </c>
      <c r="I69" s="789">
        <f t="shared" si="8"/>
        <v>0</v>
      </c>
      <c r="J69" s="789">
        <f t="shared" si="8"/>
        <v>0</v>
      </c>
      <c r="K69" s="789">
        <f t="shared" si="8"/>
        <v>51.35294117647058</v>
      </c>
      <c r="L69" s="789">
        <f t="shared" si="8"/>
        <v>0</v>
      </c>
      <c r="M69" s="919">
        <f t="shared" si="8"/>
        <v>0</v>
      </c>
      <c r="N69" s="790">
        <v>0</v>
      </c>
      <c r="O69" s="790">
        <f>SUM(O67:O68)</f>
        <v>50.320684491978618</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364.85064935064935</v>
      </c>
      <c r="C78" s="802">
        <f>B78*IFERROR(SUM(I78:L78)/SUM(D78:M78),0)</f>
        <v>62.357142857142833</v>
      </c>
      <c r="D78" s="817">
        <f>'lokale energieproductie'!C16</f>
        <v>355.87471352177232</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73.3613445378151</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71.886692131398007</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364.85064935064935</v>
      </c>
      <c r="C81" s="788">
        <f>SUM(C78:C80)</f>
        <v>62.357142857142833</v>
      </c>
      <c r="D81" s="788">
        <f t="shared" ref="D81:P81" si="9">SUM(D78:D80)</f>
        <v>355.87471352177232</v>
      </c>
      <c r="E81" s="788">
        <f t="shared" si="9"/>
        <v>0</v>
      </c>
      <c r="F81" s="788">
        <f t="shared" si="9"/>
        <v>0</v>
      </c>
      <c r="G81" s="788">
        <f t="shared" si="9"/>
        <v>0</v>
      </c>
      <c r="H81" s="788">
        <f t="shared" si="9"/>
        <v>0</v>
      </c>
      <c r="I81" s="788">
        <f t="shared" si="9"/>
        <v>0</v>
      </c>
      <c r="J81" s="788">
        <f t="shared" si="9"/>
        <v>0</v>
      </c>
      <c r="K81" s="788">
        <f t="shared" si="9"/>
        <v>73.3613445378151</v>
      </c>
      <c r="L81" s="788">
        <f t="shared" si="9"/>
        <v>0</v>
      </c>
      <c r="M81" s="788">
        <f t="shared" si="9"/>
        <v>0</v>
      </c>
      <c r="N81" s="788">
        <v>0</v>
      </c>
      <c r="O81" s="788">
        <f>SUM(O78:O80)</f>
        <v>71.886692131398007</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72352.641745842004</v>
      </c>
      <c r="C4" s="462">
        <f>huishoudens!C8</f>
        <v>0</v>
      </c>
      <c r="D4" s="462">
        <f>huishoudens!D8</f>
        <v>106661.20289386138</v>
      </c>
      <c r="E4" s="462">
        <f>huishoudens!E8</f>
        <v>9878.9654739158796</v>
      </c>
      <c r="F4" s="462">
        <f>huishoudens!F8</f>
        <v>48524.583560785875</v>
      </c>
      <c r="G4" s="462">
        <f>huishoudens!G8</f>
        <v>0</v>
      </c>
      <c r="H4" s="462">
        <f>huishoudens!H8</f>
        <v>0</v>
      </c>
      <c r="I4" s="462">
        <f>huishoudens!I8</f>
        <v>0</v>
      </c>
      <c r="J4" s="462">
        <f>huishoudens!J8</f>
        <v>0</v>
      </c>
      <c r="K4" s="462">
        <f>huishoudens!K8</f>
        <v>0</v>
      </c>
      <c r="L4" s="462">
        <f>huishoudens!L8</f>
        <v>0</v>
      </c>
      <c r="M4" s="462">
        <f>huishoudens!M8</f>
        <v>0</v>
      </c>
      <c r="N4" s="462">
        <f>huishoudens!N8</f>
        <v>32606.153207399359</v>
      </c>
      <c r="O4" s="462">
        <f>huishoudens!O8</f>
        <v>262.64000000000004</v>
      </c>
      <c r="P4" s="463">
        <f>huishoudens!P8</f>
        <v>877.06666666666661</v>
      </c>
      <c r="Q4" s="464">
        <f>SUM(B4:P4)</f>
        <v>271163.2535484712</v>
      </c>
    </row>
    <row r="5" spans="1:17">
      <c r="A5" s="461" t="s">
        <v>156</v>
      </c>
      <c r="B5" s="462">
        <f ca="1">tertiair!B16</f>
        <v>40986.889924914663</v>
      </c>
      <c r="C5" s="462">
        <f ca="1">tertiair!C16</f>
        <v>81</v>
      </c>
      <c r="D5" s="462">
        <f ca="1">tertiair!D16</f>
        <v>44704.340924589102</v>
      </c>
      <c r="E5" s="462">
        <f>tertiair!E16</f>
        <v>314.68837333377513</v>
      </c>
      <c r="F5" s="462">
        <f ca="1">tertiair!F16</f>
        <v>8756.1670246491631</v>
      </c>
      <c r="G5" s="462">
        <f>tertiair!G16</f>
        <v>0</v>
      </c>
      <c r="H5" s="462">
        <f>tertiair!H16</f>
        <v>0</v>
      </c>
      <c r="I5" s="462">
        <f>tertiair!I16</f>
        <v>0</v>
      </c>
      <c r="J5" s="462">
        <f>tertiair!J16</f>
        <v>0</v>
      </c>
      <c r="K5" s="462">
        <f>tertiair!K16</f>
        <v>0</v>
      </c>
      <c r="L5" s="462">
        <f ca="1">tertiair!L16</f>
        <v>0</v>
      </c>
      <c r="M5" s="462">
        <f>tertiair!M16</f>
        <v>0</v>
      </c>
      <c r="N5" s="462">
        <f ca="1">tertiair!N16</f>
        <v>3827.3795742577336</v>
      </c>
      <c r="O5" s="462">
        <f>tertiair!O16</f>
        <v>6.2533333333333339</v>
      </c>
      <c r="P5" s="463">
        <f>tertiair!P16</f>
        <v>0</v>
      </c>
      <c r="Q5" s="461">
        <f t="shared" ref="Q5:Q13" ca="1" si="0">SUM(B5:P5)</f>
        <v>98676.719155077764</v>
      </c>
    </row>
    <row r="6" spans="1:17">
      <c r="A6" s="461" t="s">
        <v>194</v>
      </c>
      <c r="B6" s="462">
        <f>'openbare verlichting'!B8</f>
        <v>2410.8049999999998</v>
      </c>
      <c r="C6" s="462"/>
      <c r="D6" s="462"/>
      <c r="E6" s="462"/>
      <c r="F6" s="462"/>
      <c r="G6" s="462"/>
      <c r="H6" s="462"/>
      <c r="I6" s="462"/>
      <c r="J6" s="462"/>
      <c r="K6" s="462"/>
      <c r="L6" s="462"/>
      <c r="M6" s="462"/>
      <c r="N6" s="462"/>
      <c r="O6" s="462"/>
      <c r="P6" s="463"/>
      <c r="Q6" s="461">
        <f t="shared" si="0"/>
        <v>2410.8049999999998</v>
      </c>
    </row>
    <row r="7" spans="1:17">
      <c r="A7" s="461" t="s">
        <v>112</v>
      </c>
      <c r="B7" s="462">
        <f>landbouw!B8</f>
        <v>4961.9192049498906</v>
      </c>
      <c r="C7" s="462">
        <f>landbouw!C8</f>
        <v>283.85064935064935</v>
      </c>
      <c r="D7" s="462">
        <f>landbouw!D8</f>
        <v>13057.277819957166</v>
      </c>
      <c r="E7" s="462">
        <f>landbouw!E8</f>
        <v>46.744603505552284</v>
      </c>
      <c r="F7" s="462">
        <f>landbouw!F8</f>
        <v>16192.389082115611</v>
      </c>
      <c r="G7" s="462">
        <f>landbouw!G8</f>
        <v>0</v>
      </c>
      <c r="H7" s="462">
        <f>landbouw!H8</f>
        <v>0</v>
      </c>
      <c r="I7" s="462">
        <f>landbouw!I8</f>
        <v>0</v>
      </c>
      <c r="J7" s="462">
        <f>landbouw!J8</f>
        <v>613.81354042267822</v>
      </c>
      <c r="K7" s="462">
        <f>landbouw!K8</f>
        <v>0</v>
      </c>
      <c r="L7" s="462">
        <f>landbouw!L8</f>
        <v>0</v>
      </c>
      <c r="M7" s="462">
        <f>landbouw!M8</f>
        <v>0</v>
      </c>
      <c r="N7" s="462">
        <f>landbouw!N8</f>
        <v>0</v>
      </c>
      <c r="O7" s="462">
        <f>landbouw!O8</f>
        <v>0</v>
      </c>
      <c r="P7" s="463">
        <f>landbouw!P8</f>
        <v>0</v>
      </c>
      <c r="Q7" s="461">
        <f t="shared" si="0"/>
        <v>35155.994900301543</v>
      </c>
    </row>
    <row r="8" spans="1:17">
      <c r="A8" s="461" t="s">
        <v>685</v>
      </c>
      <c r="B8" s="462">
        <f>industrie!B18</f>
        <v>87643.803322323438</v>
      </c>
      <c r="C8" s="462">
        <f>industrie!C18</f>
        <v>0</v>
      </c>
      <c r="D8" s="462">
        <f>industrie!D18</f>
        <v>71199.956351184417</v>
      </c>
      <c r="E8" s="462">
        <f>industrie!E18</f>
        <v>728.79708444030894</v>
      </c>
      <c r="F8" s="462">
        <f>industrie!F18</f>
        <v>10196.809273491222</v>
      </c>
      <c r="G8" s="462">
        <f>industrie!G18</f>
        <v>0</v>
      </c>
      <c r="H8" s="462">
        <f>industrie!H18</f>
        <v>0</v>
      </c>
      <c r="I8" s="462">
        <f>industrie!I18</f>
        <v>0</v>
      </c>
      <c r="J8" s="462">
        <f>industrie!J18</f>
        <v>185.9358575998827</v>
      </c>
      <c r="K8" s="462">
        <f>industrie!K18</f>
        <v>0</v>
      </c>
      <c r="L8" s="462">
        <f>industrie!L18</f>
        <v>0</v>
      </c>
      <c r="M8" s="462">
        <f>industrie!M18</f>
        <v>0</v>
      </c>
      <c r="N8" s="462">
        <f>industrie!N18</f>
        <v>1433.435097531278</v>
      </c>
      <c r="O8" s="462">
        <f>industrie!O18</f>
        <v>0</v>
      </c>
      <c r="P8" s="463">
        <f>industrie!P18</f>
        <v>0</v>
      </c>
      <c r="Q8" s="461">
        <f t="shared" si="0"/>
        <v>171388.73698657056</v>
      </c>
    </row>
    <row r="9" spans="1:17" s="467" customFormat="1">
      <c r="A9" s="465" t="s">
        <v>579</v>
      </c>
      <c r="B9" s="466">
        <f>transport!B14</f>
        <v>3.6744735282744343</v>
      </c>
      <c r="C9" s="466">
        <f>transport!C14</f>
        <v>0</v>
      </c>
      <c r="D9" s="466">
        <f>transport!D14</f>
        <v>11.157599143142914</v>
      </c>
      <c r="E9" s="466">
        <f>transport!E14</f>
        <v>637.20193453157788</v>
      </c>
      <c r="F9" s="466">
        <f>transport!F14</f>
        <v>0</v>
      </c>
      <c r="G9" s="466">
        <f>transport!G14</f>
        <v>130990.95782474929</v>
      </c>
      <c r="H9" s="466">
        <f>transport!H14</f>
        <v>24602.341613788118</v>
      </c>
      <c r="I9" s="466">
        <f>transport!I14</f>
        <v>0</v>
      </c>
      <c r="J9" s="466">
        <f>transport!J14</f>
        <v>0</v>
      </c>
      <c r="K9" s="466">
        <f>transport!K14</f>
        <v>0</v>
      </c>
      <c r="L9" s="466">
        <f>transport!L14</f>
        <v>0</v>
      </c>
      <c r="M9" s="466">
        <f>transport!M14</f>
        <v>6958.4534472812784</v>
      </c>
      <c r="N9" s="466">
        <f>transport!N14</f>
        <v>0</v>
      </c>
      <c r="O9" s="466">
        <f>transport!O14</f>
        <v>0</v>
      </c>
      <c r="P9" s="466">
        <f>transport!P14</f>
        <v>0</v>
      </c>
      <c r="Q9" s="465">
        <f>SUM(B9:P9)</f>
        <v>163203.78689302169</v>
      </c>
    </row>
    <row r="10" spans="1:17">
      <c r="A10" s="461" t="s">
        <v>569</v>
      </c>
      <c r="B10" s="462">
        <f>transport!B54</f>
        <v>1001.4200414825613</v>
      </c>
      <c r="C10" s="462">
        <f>transport!C54</f>
        <v>0</v>
      </c>
      <c r="D10" s="462">
        <f>transport!D54</f>
        <v>0</v>
      </c>
      <c r="E10" s="462">
        <f>transport!E54</f>
        <v>0</v>
      </c>
      <c r="F10" s="462">
        <f>transport!F54</f>
        <v>0</v>
      </c>
      <c r="G10" s="462">
        <f>transport!G54</f>
        <v>2974.7445602989419</v>
      </c>
      <c r="H10" s="462">
        <f>transport!H54</f>
        <v>0</v>
      </c>
      <c r="I10" s="462">
        <f>transport!I54</f>
        <v>0</v>
      </c>
      <c r="J10" s="462">
        <f>transport!J54</f>
        <v>0</v>
      </c>
      <c r="K10" s="462">
        <f>transport!K54</f>
        <v>0</v>
      </c>
      <c r="L10" s="462">
        <f>transport!L54</f>
        <v>0</v>
      </c>
      <c r="M10" s="462">
        <f>transport!M54</f>
        <v>130.62594079082621</v>
      </c>
      <c r="N10" s="462">
        <f>transport!N54</f>
        <v>0</v>
      </c>
      <c r="O10" s="462">
        <f>transport!O54</f>
        <v>0</v>
      </c>
      <c r="P10" s="463">
        <f>transport!P54</f>
        <v>0</v>
      </c>
      <c r="Q10" s="461">
        <f t="shared" si="0"/>
        <v>4106.7905425723293</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209361.15371304084</v>
      </c>
      <c r="C14" s="472">
        <f t="shared" ref="C14:Q14" ca="1" si="1">SUM(C4:C13)</f>
        <v>364.85064935064935</v>
      </c>
      <c r="D14" s="472">
        <f t="shared" ca="1" si="1"/>
        <v>235633.93558873518</v>
      </c>
      <c r="E14" s="472">
        <f t="shared" si="1"/>
        <v>11606.397469727093</v>
      </c>
      <c r="F14" s="472">
        <f t="shared" ca="1" si="1"/>
        <v>83669.948941041876</v>
      </c>
      <c r="G14" s="472">
        <f t="shared" si="1"/>
        <v>133965.70238504824</v>
      </c>
      <c r="H14" s="472">
        <f t="shared" si="1"/>
        <v>24602.341613788118</v>
      </c>
      <c r="I14" s="472">
        <f t="shared" si="1"/>
        <v>0</v>
      </c>
      <c r="J14" s="472">
        <f t="shared" si="1"/>
        <v>799.74939802256085</v>
      </c>
      <c r="K14" s="472">
        <f t="shared" si="1"/>
        <v>0</v>
      </c>
      <c r="L14" s="472">
        <f t="shared" ca="1" si="1"/>
        <v>0</v>
      </c>
      <c r="M14" s="472">
        <f t="shared" si="1"/>
        <v>7089.0793880721048</v>
      </c>
      <c r="N14" s="472">
        <f t="shared" ca="1" si="1"/>
        <v>37866.967879188371</v>
      </c>
      <c r="O14" s="472">
        <f t="shared" si="1"/>
        <v>268.89333333333337</v>
      </c>
      <c r="P14" s="473">
        <f t="shared" si="1"/>
        <v>877.06666666666661</v>
      </c>
      <c r="Q14" s="473">
        <f t="shared" ca="1" si="1"/>
        <v>746106.08702601516</v>
      </c>
    </row>
    <row r="16" spans="1:17">
      <c r="A16" s="475" t="s">
        <v>574</v>
      </c>
      <c r="B16" s="829">
        <f ca="1">huishoudens!B10</f>
        <v>0.20914913150757605</v>
      </c>
      <c r="C16" s="829">
        <f ca="1">huishoudens!C10</f>
        <v>0.1970304623531296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15132.492183421646</v>
      </c>
      <c r="C21" s="462">
        <f t="shared" ref="C21:C30" ca="1" si="3">C4*$C$16</f>
        <v>0</v>
      </c>
      <c r="D21" s="462">
        <f t="shared" ref="D21:D30" si="4">D4*$D$16</f>
        <v>21545.562984560001</v>
      </c>
      <c r="E21" s="462">
        <f t="shared" ref="E21:E30" si="5">E4*$E$16</f>
        <v>2242.5251625789047</v>
      </c>
      <c r="F21" s="462">
        <f t="shared" ref="F21:F30" si="6">F4*$F$16</f>
        <v>12956.063810729829</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51876.644141290381</v>
      </c>
    </row>
    <row r="22" spans="1:17">
      <c r="A22" s="461" t="s">
        <v>156</v>
      </c>
      <c r="B22" s="462">
        <f t="shared" ca="1" si="2"/>
        <v>8572.3724309925201</v>
      </c>
      <c r="C22" s="462">
        <f t="shared" ca="1" si="3"/>
        <v>15.959467450603498</v>
      </c>
      <c r="D22" s="462">
        <f t="shared" ca="1" si="4"/>
        <v>9030.2768667669989</v>
      </c>
      <c r="E22" s="462">
        <f t="shared" si="5"/>
        <v>71.434260746766952</v>
      </c>
      <c r="F22" s="462">
        <f t="shared" ca="1" si="6"/>
        <v>2337.8965955813269</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20027.939621538215</v>
      </c>
    </row>
    <row r="23" spans="1:17">
      <c r="A23" s="461" t="s">
        <v>194</v>
      </c>
      <c r="B23" s="462">
        <f t="shared" ca="1" si="2"/>
        <v>504.21777198412184</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504.21777198412184</v>
      </c>
    </row>
    <row r="24" spans="1:17">
      <c r="A24" s="461" t="s">
        <v>112</v>
      </c>
      <c r="B24" s="462">
        <f t="shared" ca="1" si="2"/>
        <v>1037.781092326032</v>
      </c>
      <c r="C24" s="462">
        <f t="shared" ca="1" si="3"/>
        <v>55.927224680794509</v>
      </c>
      <c r="D24" s="462">
        <f t="shared" si="4"/>
        <v>2637.5701196313476</v>
      </c>
      <c r="E24" s="462">
        <f t="shared" si="5"/>
        <v>10.611024995760369</v>
      </c>
      <c r="F24" s="462">
        <f t="shared" si="6"/>
        <v>4323.3678849248681</v>
      </c>
      <c r="G24" s="462">
        <f t="shared" si="7"/>
        <v>0</v>
      </c>
      <c r="H24" s="462">
        <f t="shared" si="8"/>
        <v>0</v>
      </c>
      <c r="I24" s="462">
        <f t="shared" si="9"/>
        <v>0</v>
      </c>
      <c r="J24" s="462">
        <f t="shared" si="10"/>
        <v>217.28999330962807</v>
      </c>
      <c r="K24" s="462">
        <f t="shared" si="11"/>
        <v>0</v>
      </c>
      <c r="L24" s="462">
        <f t="shared" si="12"/>
        <v>0</v>
      </c>
      <c r="M24" s="462">
        <f t="shared" si="13"/>
        <v>0</v>
      </c>
      <c r="N24" s="462">
        <f t="shared" si="14"/>
        <v>0</v>
      </c>
      <c r="O24" s="462">
        <f t="shared" si="15"/>
        <v>0</v>
      </c>
      <c r="P24" s="463">
        <f t="shared" si="16"/>
        <v>0</v>
      </c>
      <c r="Q24" s="461">
        <f t="shared" ca="1" si="17"/>
        <v>8282.5473398684317</v>
      </c>
    </row>
    <row r="25" spans="1:17">
      <c r="A25" s="461" t="s">
        <v>685</v>
      </c>
      <c r="B25" s="462">
        <f t="shared" ca="1" si="2"/>
        <v>18330.625346884757</v>
      </c>
      <c r="C25" s="462">
        <f t="shared" ca="1" si="3"/>
        <v>0</v>
      </c>
      <c r="D25" s="462">
        <f t="shared" si="4"/>
        <v>14382.391182939253</v>
      </c>
      <c r="E25" s="462">
        <f t="shared" si="5"/>
        <v>165.43693816795013</v>
      </c>
      <c r="F25" s="462">
        <f t="shared" si="6"/>
        <v>2722.5480760221567</v>
      </c>
      <c r="G25" s="462">
        <f t="shared" si="7"/>
        <v>0</v>
      </c>
      <c r="H25" s="462">
        <f t="shared" si="8"/>
        <v>0</v>
      </c>
      <c r="I25" s="462">
        <f t="shared" si="9"/>
        <v>0</v>
      </c>
      <c r="J25" s="462">
        <f t="shared" si="10"/>
        <v>65.821293590358465</v>
      </c>
      <c r="K25" s="462">
        <f t="shared" si="11"/>
        <v>0</v>
      </c>
      <c r="L25" s="462">
        <f t="shared" si="12"/>
        <v>0</v>
      </c>
      <c r="M25" s="462">
        <f t="shared" si="13"/>
        <v>0</v>
      </c>
      <c r="N25" s="462">
        <f t="shared" si="14"/>
        <v>0</v>
      </c>
      <c r="O25" s="462">
        <f t="shared" si="15"/>
        <v>0</v>
      </c>
      <c r="P25" s="463">
        <f t="shared" si="16"/>
        <v>0</v>
      </c>
      <c r="Q25" s="461">
        <f t="shared" ca="1" si="17"/>
        <v>35666.822837604472</v>
      </c>
    </row>
    <row r="26" spans="1:17" s="467" customFormat="1">
      <c r="A26" s="465" t="s">
        <v>579</v>
      </c>
      <c r="B26" s="823">
        <f t="shared" ca="1" si="2"/>
        <v>0.76851294718617669</v>
      </c>
      <c r="C26" s="466">
        <f t="shared" ca="1" si="3"/>
        <v>0</v>
      </c>
      <c r="D26" s="466">
        <f t="shared" si="4"/>
        <v>2.2538350269148686</v>
      </c>
      <c r="E26" s="466">
        <f t="shared" si="5"/>
        <v>144.64483913866817</v>
      </c>
      <c r="F26" s="466">
        <f t="shared" si="6"/>
        <v>0</v>
      </c>
      <c r="G26" s="466">
        <f t="shared" si="7"/>
        <v>34974.585739208065</v>
      </c>
      <c r="H26" s="466">
        <f t="shared" si="8"/>
        <v>6125.9830618332417</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41248.235988154076</v>
      </c>
    </row>
    <row r="27" spans="1:17">
      <c r="A27" s="461" t="s">
        <v>569</v>
      </c>
      <c r="B27" s="462">
        <f t="shared" ca="1" si="2"/>
        <v>209.44613195035848</v>
      </c>
      <c r="C27" s="462">
        <f t="shared" ca="1" si="3"/>
        <v>0</v>
      </c>
      <c r="D27" s="462">
        <f t="shared" si="4"/>
        <v>0</v>
      </c>
      <c r="E27" s="462">
        <f t="shared" si="5"/>
        <v>0</v>
      </c>
      <c r="F27" s="462">
        <f t="shared" si="6"/>
        <v>0</v>
      </c>
      <c r="G27" s="462">
        <f t="shared" si="7"/>
        <v>794.25679759981756</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1003.702929550176</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43787.703470506625</v>
      </c>
      <c r="C31" s="472">
        <f t="shared" ca="1" si="18"/>
        <v>71.886692131398007</v>
      </c>
      <c r="D31" s="472">
        <f t="shared" ca="1" si="18"/>
        <v>47598.054988924516</v>
      </c>
      <c r="E31" s="472">
        <f t="shared" si="18"/>
        <v>2634.6522256280505</v>
      </c>
      <c r="F31" s="472">
        <f t="shared" ca="1" si="18"/>
        <v>22339.876367258181</v>
      </c>
      <c r="G31" s="472">
        <f t="shared" si="18"/>
        <v>35768.842536807882</v>
      </c>
      <c r="H31" s="472">
        <f t="shared" si="18"/>
        <v>6125.9830618332417</v>
      </c>
      <c r="I31" s="472">
        <f t="shared" si="18"/>
        <v>0</v>
      </c>
      <c r="J31" s="472">
        <f t="shared" si="18"/>
        <v>283.11128689998657</v>
      </c>
      <c r="K31" s="472">
        <f t="shared" si="18"/>
        <v>0</v>
      </c>
      <c r="L31" s="472">
        <f t="shared" ca="1" si="18"/>
        <v>0</v>
      </c>
      <c r="M31" s="472">
        <f t="shared" si="18"/>
        <v>0</v>
      </c>
      <c r="N31" s="472">
        <f t="shared" ca="1" si="18"/>
        <v>0</v>
      </c>
      <c r="O31" s="472">
        <f t="shared" si="18"/>
        <v>0</v>
      </c>
      <c r="P31" s="473">
        <f t="shared" si="18"/>
        <v>0</v>
      </c>
      <c r="Q31" s="473">
        <f t="shared" ca="1" si="18"/>
        <v>158610.11062998985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0.20914913150757605</v>
      </c>
      <c r="C17" s="512">
        <f ca="1">'EF ele_warmte'!B22</f>
        <v>0.1970304623531296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1</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1.5633333333333335</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0.20914913150757605</v>
      </c>
      <c r="C17" s="512">
        <f ca="1">'EF ele_warmte'!B22</f>
        <v>0.1970304623531296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0.20914913150757605</v>
      </c>
      <c r="C29" s="513">
        <f ca="1">'EF ele_warmte'!B22</f>
        <v>0.1970304623531296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2018-06-27T09:19:58Z</dcterms:modified>
</cp:coreProperties>
</file>