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29040" windowHeight="6075"/>
  </bookViews>
  <sheets>
    <sheet name="LEGENDE" sheetId="31" r:id="rId1"/>
    <sheet name="OUTPUT--&gt;" sheetId="53" r:id="rId2"/>
    <sheet name="SEAP template" sheetId="14" r:id="rId3"/>
    <sheet name="Inventaris 2012"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A32" i="23" l="1"/>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E35" i="50" l="1"/>
  <c r="E34" s="1"/>
  <c r="E33"/>
  <c r="E32" s="1"/>
  <c r="E31"/>
  <c r="E30"/>
  <c r="E29"/>
  <c r="E28"/>
  <c r="E77" i="22" l="1"/>
  <c r="B28" i="17" l="1"/>
  <c r="B27"/>
  <c r="B26"/>
  <c r="B31" i="19" l="1"/>
  <c r="B24"/>
  <c r="W32" i="5" l="1"/>
  <c r="AC32" s="1"/>
  <c r="V32"/>
  <c r="R32"/>
  <c r="F32"/>
  <c r="V31"/>
  <c r="R31"/>
  <c r="F31"/>
  <c r="V30"/>
  <c r="R30"/>
  <c r="F30"/>
  <c r="V29"/>
  <c r="R29"/>
  <c r="F29"/>
  <c r="W29" s="1"/>
  <c r="AC29" s="1"/>
  <c r="V28"/>
  <c r="R28"/>
  <c r="F28"/>
  <c r="V27"/>
  <c r="R27"/>
  <c r="F27"/>
  <c r="V24"/>
  <c r="R24"/>
  <c r="W24" s="1"/>
  <c r="AC24" s="1"/>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W12" s="1"/>
  <c r="AC12" s="1"/>
  <c r="V11"/>
  <c r="R11"/>
  <c r="F11"/>
  <c r="V10"/>
  <c r="R10"/>
  <c r="F10"/>
  <c r="V9"/>
  <c r="R9"/>
  <c r="F9"/>
  <c r="AB8"/>
  <c r="AA8"/>
  <c r="Z8"/>
  <c r="Y8"/>
  <c r="X8"/>
  <c r="U8"/>
  <c r="T8"/>
  <c r="S8"/>
  <c r="Q8"/>
  <c r="P8"/>
  <c r="O8"/>
  <c r="N8"/>
  <c r="M8"/>
  <c r="L8"/>
  <c r="K8"/>
  <c r="J8"/>
  <c r="I8"/>
  <c r="H8"/>
  <c r="G8"/>
  <c r="E8"/>
  <c r="D8"/>
  <c r="C8"/>
  <c r="V7"/>
  <c r="R7"/>
  <c r="F7"/>
  <c r="W10" l="1"/>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Q17" i="14"/>
  <c r="P17"/>
  <c r="O17"/>
  <c r="M17"/>
  <c r="L17"/>
  <c r="K17"/>
  <c r="J17"/>
  <c r="G17"/>
  <c r="D17"/>
  <c r="P13" i="48"/>
  <c r="O13"/>
  <c r="N13"/>
  <c r="L13"/>
  <c r="K13"/>
  <c r="J13"/>
  <c r="I13"/>
  <c r="F13"/>
  <c r="C13"/>
  <c r="AC16" i="5" l="1"/>
  <c r="AC15" s="1"/>
  <c r="W15"/>
  <c r="AC27"/>
  <c r="W8"/>
  <c r="AC9"/>
  <c r="AC8" s="1"/>
  <c r="P81" i="14"/>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V88"/>
  <c r="U88"/>
  <c r="I8" s="1"/>
  <c r="J68" i="14" s="1"/>
  <c r="T88" i="18"/>
  <c r="S88"/>
  <c r="R88"/>
  <c r="Q88"/>
  <c r="P88"/>
  <c r="C8" s="1"/>
  <c r="D68" i="14" s="1"/>
  <c r="O88" i="18"/>
  <c r="N88"/>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N16" i="16" s="1"/>
  <c r="P58" i="18"/>
  <c r="D16" i="16" s="1"/>
  <c r="O58" i="18"/>
  <c r="N58"/>
  <c r="B16" i="16" s="1"/>
  <c r="M58" i="1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K19" s="1"/>
  <c r="J17"/>
  <c r="I17"/>
  <c r="H17"/>
  <c r="I79" i="14" s="1"/>
  <c r="G17" i="18"/>
  <c r="G19" s="1"/>
  <c r="F17"/>
  <c r="E17"/>
  <c r="D17"/>
  <c r="C17"/>
  <c r="B17"/>
  <c r="K11"/>
  <c r="J11"/>
  <c r="I11"/>
  <c r="H11"/>
  <c r="G11"/>
  <c r="F11"/>
  <c r="E11"/>
  <c r="D11"/>
  <c r="C11"/>
  <c r="L8"/>
  <c r="L9" s="1"/>
  <c r="K8"/>
  <c r="K9" s="1"/>
  <c r="J8"/>
  <c r="H8"/>
  <c r="G8"/>
  <c r="G9" s="1"/>
  <c r="F8"/>
  <c r="F9" s="1"/>
  <c r="E8"/>
  <c r="F68" i="14" s="1"/>
  <c r="D8" i="18"/>
  <c r="D9" s="1"/>
  <c r="B8"/>
  <c r="B7"/>
  <c r="B6"/>
  <c r="B5"/>
  <c r="B4"/>
  <c r="B64" i="14" s="1"/>
  <c r="A78" i="22"/>
  <c r="C77"/>
  <c r="A77"/>
  <c r="A76"/>
  <c r="E75"/>
  <c r="D75"/>
  <c r="A75"/>
  <c r="E74"/>
  <c r="D74"/>
  <c r="A74"/>
  <c r="B64"/>
  <c r="N56"/>
  <c r="M56"/>
  <c r="L56"/>
  <c r="K56"/>
  <c r="J56"/>
  <c r="I56"/>
  <c r="H56"/>
  <c r="F56"/>
  <c r="E56"/>
  <c r="D56"/>
  <c r="B50"/>
  <c r="B54" s="1"/>
  <c r="P50"/>
  <c r="P54" s="1"/>
  <c r="O50"/>
  <c r="O54" s="1"/>
  <c r="N50"/>
  <c r="N54" s="1"/>
  <c r="O18" i="14" s="1"/>
  <c r="L50" i="22"/>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48" i="14" s="1"/>
  <c r="L10" i="17"/>
  <c r="K10"/>
  <c r="J10"/>
  <c r="I10"/>
  <c r="H10"/>
  <c r="G10"/>
  <c r="F10"/>
  <c r="E10"/>
  <c r="D10"/>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J15"/>
  <c r="D15"/>
  <c r="D14"/>
  <c r="D13"/>
  <c r="D12"/>
  <c r="D11"/>
  <c r="D10"/>
  <c r="D9"/>
  <c r="E8"/>
  <c r="D8"/>
  <c r="D7"/>
  <c r="D6"/>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F11"/>
  <c r="D11"/>
  <c r="D10"/>
  <c r="D9"/>
  <c r="D8"/>
  <c r="D7"/>
  <c r="D6"/>
  <c r="P5"/>
  <c r="P16" s="1"/>
  <c r="C5"/>
  <c r="B77" i="13"/>
  <c r="P5" s="1"/>
  <c r="P8" s="1"/>
  <c r="B71"/>
  <c r="B52"/>
  <c r="B49"/>
  <c r="B45"/>
  <c r="B29"/>
  <c r="B32" s="1"/>
  <c r="B44" s="1"/>
  <c r="B28"/>
  <c r="B26"/>
  <c r="B25"/>
  <c r="B24"/>
  <c r="B38" s="1"/>
  <c r="B23"/>
  <c r="B22"/>
  <c r="N10"/>
  <c r="N16" i="48" s="1"/>
  <c r="N29" s="1"/>
  <c r="M10" i="13"/>
  <c r="M12" s="1"/>
  <c r="N37" i="14" s="1"/>
  <c r="L10" i="13"/>
  <c r="K10"/>
  <c r="K16" i="48" s="1"/>
  <c r="J10" i="13"/>
  <c r="J16" i="48" s="1"/>
  <c r="J29" s="1"/>
  <c r="I10" i="13"/>
  <c r="I16" i="48" s="1"/>
  <c r="H10" i="13"/>
  <c r="H16" i="48" s="1"/>
  <c r="G10" i="13"/>
  <c r="F10"/>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B27"/>
  <c r="H26"/>
  <c r="G26"/>
  <c r="E26"/>
  <c r="E27" s="1"/>
  <c r="D26"/>
  <c r="D27" s="1"/>
  <c r="B26"/>
  <c r="N17" i="49"/>
  <c r="M17"/>
  <c r="L17"/>
  <c r="K17"/>
  <c r="J17"/>
  <c r="I17"/>
  <c r="F17"/>
  <c r="E17"/>
  <c r="D17"/>
  <c r="B15"/>
  <c r="B6" i="9" s="1"/>
  <c r="N17" i="19"/>
  <c r="M17"/>
  <c r="M19" s="1"/>
  <c r="N35" i="14" s="1"/>
  <c r="L17" i="19"/>
  <c r="K17"/>
  <c r="K19" s="1"/>
  <c r="L35" i="14" s="1"/>
  <c r="J17" i="19"/>
  <c r="J19" s="1"/>
  <c r="K35" i="14" s="1"/>
  <c r="I17" i="19"/>
  <c r="F17"/>
  <c r="E17"/>
  <c r="D17"/>
  <c r="P19"/>
  <c r="Q35" i="14" s="1"/>
  <c r="O19" i="19"/>
  <c r="P35" i="14" s="1"/>
  <c r="N15" i="19"/>
  <c r="N14" i="15"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G16"/>
  <c r="B12"/>
  <c r="Q12" s="1"/>
  <c r="N11"/>
  <c r="M11"/>
  <c r="K11"/>
  <c r="J11"/>
  <c r="H11"/>
  <c r="G11"/>
  <c r="F11"/>
  <c r="P9"/>
  <c r="O9"/>
  <c r="N9"/>
  <c r="L9"/>
  <c r="K9"/>
  <c r="J9"/>
  <c r="I9"/>
  <c r="F9"/>
  <c r="C9"/>
  <c r="M8"/>
  <c r="K8"/>
  <c r="I8"/>
  <c r="H8"/>
  <c r="G8"/>
  <c r="P7"/>
  <c r="O7"/>
  <c r="M7"/>
  <c r="K7"/>
  <c r="I7"/>
  <c r="H7"/>
  <c r="G7"/>
  <c r="M4"/>
  <c r="L4"/>
  <c r="K4"/>
  <c r="I4"/>
  <c r="H4"/>
  <c r="G4"/>
  <c r="G80" i="14"/>
  <c r="M79"/>
  <c r="K79"/>
  <c r="G79"/>
  <c r="E79"/>
  <c r="B79"/>
  <c r="M78"/>
  <c r="L78"/>
  <c r="H78"/>
  <c r="G78"/>
  <c r="E78"/>
  <c r="L68"/>
  <c r="H68"/>
  <c r="M67"/>
  <c r="L67"/>
  <c r="H67"/>
  <c r="G67"/>
  <c r="E67"/>
  <c r="B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N9"/>
  <c r="M9"/>
  <c r="L9"/>
  <c r="K9"/>
  <c r="I9"/>
  <c r="H9"/>
  <c r="G9"/>
  <c r="E9"/>
  <c r="A7" i="31"/>
  <c r="A6"/>
  <c r="B16" i="18" l="1"/>
  <c r="B78" i="14" s="1"/>
  <c r="B81" s="1"/>
  <c r="C13" i="15"/>
  <c r="C16" s="1"/>
  <c r="D10" i="14" s="1"/>
  <c r="D12" i="22"/>
  <c r="E17" i="14"/>
  <c r="D13" i="48"/>
  <c r="D31" i="20"/>
  <c r="E43" i="14" s="1"/>
  <c r="E12" i="22"/>
  <c r="F17" i="14"/>
  <c r="E13" i="48"/>
  <c r="E30" s="1"/>
  <c r="I101" i="18"/>
  <c r="H16" s="1"/>
  <c r="I78" i="14" s="1"/>
  <c r="I81" s="1"/>
  <c r="E101" i="18"/>
  <c r="E16" s="1"/>
  <c r="F78" i="14" s="1"/>
  <c r="H101" i="18"/>
  <c r="D101"/>
  <c r="G101"/>
  <c r="I16" s="1"/>
  <c r="J78" i="14" s="1"/>
  <c r="C101" i="18"/>
  <c r="F101"/>
  <c r="B101"/>
  <c r="C16" s="1"/>
  <c r="D78" i="14" s="1"/>
  <c r="O78" s="1"/>
  <c r="I11" i="48"/>
  <c r="N19" i="19"/>
  <c r="O35" i="14" s="1"/>
  <c r="B6" i="48"/>
  <c r="Q6" s="1"/>
  <c r="B8" i="9"/>
  <c r="P22" i="16"/>
  <c r="Q39" i="14" s="1"/>
  <c r="P18" i="16"/>
  <c r="F8" i="17"/>
  <c r="G22" i="14" s="1"/>
  <c r="K22"/>
  <c r="J8" i="17"/>
  <c r="O80" i="14"/>
  <c r="C97" i="18"/>
  <c r="I19" i="19"/>
  <c r="J35" i="14" s="1"/>
  <c r="B12" i="22"/>
  <c r="B13" i="48"/>
  <c r="C17" i="14"/>
  <c r="E31" i="20"/>
  <c r="F43" i="14" s="1"/>
  <c r="L16" i="16"/>
  <c r="L18" s="1"/>
  <c r="N6" i="17"/>
  <c r="N5" s="1"/>
  <c r="J9" i="14"/>
  <c r="J15" s="1"/>
  <c r="D11" i="48"/>
  <c r="D14" i="15"/>
  <c r="F19" i="19"/>
  <c r="G35" i="14" s="1"/>
  <c r="L19" i="19"/>
  <c r="M35" i="14" s="1"/>
  <c r="E7" i="15"/>
  <c r="O5" i="16"/>
  <c r="O9" i="14"/>
  <c r="L11" i="48"/>
  <c r="L12" i="13"/>
  <c r="M37" i="14" s="1"/>
  <c r="J7" i="15"/>
  <c r="B13" i="16"/>
  <c r="C35"/>
  <c r="E19" i="18"/>
  <c r="C80" i="14"/>
  <c r="L6" i="17"/>
  <c r="N13" i="15"/>
  <c r="L13"/>
  <c r="L16" s="1"/>
  <c r="K5" i="48"/>
  <c r="K20" i="15"/>
  <c r="L36" i="14" s="1"/>
  <c r="F13" i="15"/>
  <c r="D13"/>
  <c r="G9" i="22"/>
  <c r="G7"/>
  <c r="G6"/>
  <c r="G8"/>
  <c r="G10"/>
  <c r="G11"/>
  <c r="M11"/>
  <c r="H8"/>
  <c r="M10"/>
  <c r="H10"/>
  <c r="H9"/>
  <c r="H11"/>
  <c r="H6"/>
  <c r="M6"/>
  <c r="H7"/>
  <c r="M8"/>
  <c r="M7"/>
  <c r="M9"/>
  <c r="B67"/>
  <c r="J18" i="14"/>
  <c r="J20" s="1"/>
  <c r="I10" i="48"/>
  <c r="I27" s="1"/>
  <c r="E18" i="14"/>
  <c r="D10" i="48"/>
  <c r="D27" s="1"/>
  <c r="H27" i="20"/>
  <c r="N10" i="48"/>
  <c r="N27" s="1"/>
  <c r="C78" i="22"/>
  <c r="G51" s="1"/>
  <c r="M27" i="20"/>
  <c r="C64" i="14"/>
  <c r="J11" i="15"/>
  <c r="B7"/>
  <c r="N7"/>
  <c r="B11"/>
  <c r="N11"/>
  <c r="B11" i="16"/>
  <c r="C10" i="48"/>
  <c r="D18" i="14"/>
  <c r="D20" s="1"/>
  <c r="H10" i="48"/>
  <c r="H27" s="1"/>
  <c r="I18" i="14"/>
  <c r="L10" i="48"/>
  <c r="M18" i="14"/>
  <c r="M20" s="1"/>
  <c r="L58" i="22"/>
  <c r="M44" i="14" s="1"/>
  <c r="M46" s="1"/>
  <c r="E10" i="48"/>
  <c r="E27" s="1"/>
  <c r="E58" i="22"/>
  <c r="F44" i="14" s="1"/>
  <c r="F18"/>
  <c r="J58" i="22"/>
  <c r="K44" i="14" s="1"/>
  <c r="K46" s="1"/>
  <c r="K18"/>
  <c r="K20" s="1"/>
  <c r="J10" i="48"/>
  <c r="O58" i="22"/>
  <c r="P44" i="14" s="1"/>
  <c r="P46" s="1"/>
  <c r="O10" i="48"/>
  <c r="O27" s="1"/>
  <c r="P18" i="14"/>
  <c r="P20" s="1"/>
  <c r="G18"/>
  <c r="G20" s="1"/>
  <c r="F10" i="48"/>
  <c r="L18" i="14"/>
  <c r="L20" s="1"/>
  <c r="K58" i="22"/>
  <c r="L44" i="14" s="1"/>
  <c r="L46" s="1"/>
  <c r="K10" i="48"/>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41" s="1"/>
  <c r="N10"/>
  <c r="N15" s="1"/>
  <c r="G20" i="15"/>
  <c r="H36" i="14" s="1"/>
  <c r="H41" s="1"/>
  <c r="H20" i="15"/>
  <c r="I36" i="14" s="1"/>
  <c r="I41" s="1"/>
  <c r="I10"/>
  <c r="I15" s="1"/>
  <c r="C66"/>
  <c r="B66"/>
  <c r="F8" i="16"/>
  <c r="D12" i="17"/>
  <c r="E48" i="14" s="1"/>
  <c r="E22"/>
  <c r="J9" i="16"/>
  <c r="B7" i="48"/>
  <c r="C22" i="14"/>
  <c r="C65"/>
  <c r="B65"/>
  <c r="F6" i="15"/>
  <c r="F8"/>
  <c r="N10" i="16"/>
  <c r="E14"/>
  <c r="L41" i="14"/>
  <c r="H15"/>
  <c r="L15"/>
  <c r="H69"/>
  <c r="O20"/>
  <c r="L69"/>
  <c r="D5" i="15"/>
  <c r="B8"/>
  <c r="J8"/>
  <c r="F12"/>
  <c r="I20"/>
  <c r="J36" i="14" s="1"/>
  <c r="J41" s="1"/>
  <c r="B9" i="16"/>
  <c r="N9"/>
  <c r="D7" i="48"/>
  <c r="D24" s="1"/>
  <c r="E8" i="15"/>
  <c r="B10"/>
  <c r="E9" i="16"/>
  <c r="B6" i="15"/>
  <c r="N9"/>
  <c r="J10"/>
  <c r="D5" i="16"/>
  <c r="F10"/>
  <c r="J11"/>
  <c r="B15"/>
  <c r="F14"/>
  <c r="J6" i="15"/>
  <c r="F10"/>
  <c r="B12"/>
  <c r="J12"/>
  <c r="B7" i="16"/>
  <c r="E10"/>
  <c r="N14"/>
  <c r="N11"/>
  <c r="B9" i="18"/>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D5"/>
  <c r="B5"/>
  <c r="P11" i="48"/>
  <c r="P28" s="1"/>
  <c r="I5"/>
  <c r="I22" s="1"/>
  <c r="K28"/>
  <c r="H5"/>
  <c r="O11"/>
  <c r="P9" i="14"/>
  <c r="M5" i="48"/>
  <c r="G28"/>
  <c r="C11" i="14"/>
  <c r="B4" i="48"/>
  <c r="E29"/>
  <c r="I30"/>
  <c r="I26"/>
  <c r="I29"/>
  <c r="K26"/>
  <c r="O29"/>
  <c r="K21"/>
  <c r="G21"/>
  <c r="M16"/>
  <c r="M21" s="1"/>
  <c r="K29"/>
  <c r="B39" i="13"/>
  <c r="B51" s="1"/>
  <c r="F5" s="1"/>
  <c r="F8" s="1"/>
  <c r="G11" i="14" s="1"/>
  <c r="I21" i="48"/>
  <c r="K27"/>
  <c r="G29"/>
  <c r="O21"/>
  <c r="H24"/>
  <c r="L16"/>
  <c r="L27" s="1"/>
  <c r="H21"/>
  <c r="K24"/>
  <c r="K25"/>
  <c r="Q11" i="14"/>
  <c r="P12" i="13"/>
  <c r="Q37" i="14" s="1"/>
  <c r="P4" i="48"/>
  <c r="P21" s="1"/>
  <c r="D12" i="13"/>
  <c r="E37" i="14" s="1"/>
  <c r="D4" i="48"/>
  <c r="D21" s="1"/>
  <c r="E11" i="14"/>
  <c r="F23" i="48"/>
  <c r="J23"/>
  <c r="N23"/>
  <c r="N26"/>
  <c r="D28"/>
  <c r="H28"/>
  <c r="L28"/>
  <c r="F30"/>
  <c r="J30"/>
  <c r="N30"/>
  <c r="K22"/>
  <c r="G23"/>
  <c r="K23"/>
  <c r="O23"/>
  <c r="G25"/>
  <c r="F26"/>
  <c r="J26"/>
  <c r="O26"/>
  <c r="F27"/>
  <c r="J27"/>
  <c r="I28"/>
  <c r="D29"/>
  <c r="H29"/>
  <c r="L29"/>
  <c r="P29"/>
  <c r="K30"/>
  <c r="O30"/>
  <c r="C22" i="13"/>
  <c r="C21"/>
  <c r="C20"/>
  <c r="D23" i="48"/>
  <c r="H23"/>
  <c r="P23"/>
  <c r="H25"/>
  <c r="P26"/>
  <c r="F28"/>
  <c r="J28"/>
  <c r="N28"/>
  <c r="D30"/>
  <c r="P30"/>
  <c r="E23"/>
  <c r="I23"/>
  <c r="O24"/>
  <c r="I25"/>
  <c r="P11" i="14"/>
  <c r="O12" i="13"/>
  <c r="P37" i="14" s="1"/>
  <c r="B10" i="48"/>
  <c r="C18" i="14"/>
  <c r="B50" i="13"/>
  <c r="J12" i="17"/>
  <c r="K48" i="14" s="1"/>
  <c r="J7" i="48"/>
  <c r="J24" s="1"/>
  <c r="P24"/>
  <c r="E5" i="17"/>
  <c r="C8"/>
  <c r="G24" i="48"/>
  <c r="I24"/>
  <c r="G81" i="14"/>
  <c r="D79"/>
  <c r="H79"/>
  <c r="H81" s="1"/>
  <c r="L79"/>
  <c r="L81" s="1"/>
  <c r="F79"/>
  <c r="F81" s="1"/>
  <c r="J79"/>
  <c r="E68"/>
  <c r="E69" s="1"/>
  <c r="I68"/>
  <c r="M68"/>
  <c r="M69" s="1"/>
  <c r="D19" i="18"/>
  <c r="H19"/>
  <c r="L19"/>
  <c r="B68" i="14"/>
  <c r="G68"/>
  <c r="G69" s="1"/>
  <c r="K68"/>
  <c r="E81"/>
  <c r="M81"/>
  <c r="F19" i="18"/>
  <c r="D11" i="14"/>
  <c r="C4" i="48"/>
  <c r="M8" i="18"/>
  <c r="M17"/>
  <c r="M18"/>
  <c r="D13" i="14"/>
  <c r="F7" i="48" l="1"/>
  <c r="F24" s="1"/>
  <c r="C19" i="18"/>
  <c r="B19"/>
  <c r="F12" i="17"/>
  <c r="G48" i="14" s="1"/>
  <c r="I19" i="18"/>
  <c r="L8" i="17"/>
  <c r="M22" i="14" s="1"/>
  <c r="L5" i="17"/>
  <c r="C68" i="14"/>
  <c r="J81"/>
  <c r="D8" i="48"/>
  <c r="D25" s="1"/>
  <c r="D18" i="16"/>
  <c r="D22" s="1"/>
  <c r="E39" i="14" s="1"/>
  <c r="L21" i="48"/>
  <c r="B14" i="22"/>
  <c r="B9" i="48" s="1"/>
  <c r="I17" i="14"/>
  <c r="H12" i="22"/>
  <c r="D16" i="15"/>
  <c r="D20" s="1"/>
  <c r="B35" i="13"/>
  <c r="N8" i="17"/>
  <c r="I100" i="18"/>
  <c r="H7" s="1"/>
  <c r="E100"/>
  <c r="E7" s="1"/>
  <c r="H100"/>
  <c r="D100"/>
  <c r="G100"/>
  <c r="C100"/>
  <c r="F100"/>
  <c r="B100"/>
  <c r="C7" s="1"/>
  <c r="G31" i="20"/>
  <c r="H43" i="14" s="1"/>
  <c r="G12" i="22"/>
  <c r="D81" i="14"/>
  <c r="O79"/>
  <c r="O81" s="1"/>
  <c r="B17" i="6" s="1"/>
  <c r="C7" i="48"/>
  <c r="D22" i="14"/>
  <c r="M23" i="48"/>
  <c r="L30"/>
  <c r="L23"/>
  <c r="M28"/>
  <c r="M22"/>
  <c r="D9"/>
  <c r="D26" s="1"/>
  <c r="D14" i="22"/>
  <c r="N17" i="14"/>
  <c r="M12" i="22"/>
  <c r="B36" i="13"/>
  <c r="B48" s="1"/>
  <c r="C48" s="1"/>
  <c r="N5" s="1"/>
  <c r="N8" s="1"/>
  <c r="N4" i="48" s="1"/>
  <c r="N21" s="1"/>
  <c r="O68" i="14"/>
  <c r="C79"/>
  <c r="L22" i="16"/>
  <c r="M39" i="14" s="1"/>
  <c r="L8" i="48"/>
  <c r="L25" s="1"/>
  <c r="M13" i="14"/>
  <c r="E8" i="17"/>
  <c r="F22" i="14" s="1"/>
  <c r="J16" i="18"/>
  <c r="E14" i="22"/>
  <c r="F19" i="14" s="1"/>
  <c r="F20" s="1"/>
  <c r="K14" i="48"/>
  <c r="B34" i="13"/>
  <c r="B46" s="1"/>
  <c r="E5" s="1"/>
  <c r="E8" s="1"/>
  <c r="E12" s="1"/>
  <c r="F37" i="14" s="1"/>
  <c r="O18" i="16"/>
  <c r="L7" i="48"/>
  <c r="L24" s="1"/>
  <c r="L12" i="17"/>
  <c r="M48" i="14" s="1"/>
  <c r="M13" i="48"/>
  <c r="M51" i="22"/>
  <c r="M50" s="1"/>
  <c r="M54" s="1"/>
  <c r="M10" i="48" s="1"/>
  <c r="M27" s="1"/>
  <c r="H31" i="20"/>
  <c r="I43" i="14" s="1"/>
  <c r="H13" i="48"/>
  <c r="H30" s="1"/>
  <c r="M31" i="20"/>
  <c r="N43" i="14" s="1"/>
  <c r="G50" i="22"/>
  <c r="G54" s="1"/>
  <c r="H18" i="14" s="1"/>
  <c r="G13" i="48"/>
  <c r="G30" s="1"/>
  <c r="H17" i="14"/>
  <c r="R17" s="1"/>
  <c r="M5" i="22"/>
  <c r="G5"/>
  <c r="G14" s="1"/>
  <c r="H5"/>
  <c r="H14" s="1"/>
  <c r="I14" i="48"/>
  <c r="E5" i="15"/>
  <c r="O20"/>
  <c r="P36" i="14" s="1"/>
  <c r="P10"/>
  <c r="P20" i="15"/>
  <c r="Q36" i="14" s="1"/>
  <c r="Q41" s="1"/>
  <c r="Q53" s="1"/>
  <c r="Q10"/>
  <c r="Q15" s="1"/>
  <c r="Q23" s="1"/>
  <c r="J5" i="15"/>
  <c r="F4" i="48"/>
  <c r="F21" s="1"/>
  <c r="B69" i="14"/>
  <c r="B4" i="6" s="1"/>
  <c r="D15" i="14"/>
  <c r="J23"/>
  <c r="L53"/>
  <c r="L23"/>
  <c r="J53"/>
  <c r="F5" i="15"/>
  <c r="F16" s="1"/>
  <c r="B5"/>
  <c r="B16" s="1"/>
  <c r="E13" i="14"/>
  <c r="B5" i="16"/>
  <c r="B18" s="1"/>
  <c r="C13" i="14" s="1"/>
  <c r="N5" i="15"/>
  <c r="N16" s="1"/>
  <c r="F12" i="13"/>
  <c r="G37" i="14" s="1"/>
  <c r="P5" i="48"/>
  <c r="P22" s="1"/>
  <c r="P31" s="1"/>
  <c r="F13" i="16"/>
  <c r="E13"/>
  <c r="N13"/>
  <c r="J13"/>
  <c r="B47" i="13"/>
  <c r="E9" i="48"/>
  <c r="E26" s="1"/>
  <c r="N12" i="16"/>
  <c r="J12"/>
  <c r="F12"/>
  <c r="E12"/>
  <c r="Q11" i="48"/>
  <c r="O5"/>
  <c r="R9" i="14"/>
  <c r="E18" i="22"/>
  <c r="F45" i="14" s="1"/>
  <c r="F46" s="1"/>
  <c r="C19"/>
  <c r="C20" s="1"/>
  <c r="D18" i="22"/>
  <c r="E45" i="14" s="1"/>
  <c r="E46" s="1"/>
  <c r="E19"/>
  <c r="E20" s="1"/>
  <c r="O28" i="48"/>
  <c r="H22"/>
  <c r="K31"/>
  <c r="L26"/>
  <c r="M30"/>
  <c r="M29"/>
  <c r="M25"/>
  <c r="M24"/>
  <c r="I31"/>
  <c r="C50" i="13"/>
  <c r="J5" s="1"/>
  <c r="J8" s="1"/>
  <c r="C5" i="48"/>
  <c r="C14" s="1"/>
  <c r="E7" l="1"/>
  <c r="E24" s="1"/>
  <c r="E12" i="17"/>
  <c r="F48" i="14" s="1"/>
  <c r="M14" i="22"/>
  <c r="I7" i="18"/>
  <c r="I9" s="1"/>
  <c r="J7"/>
  <c r="E10" i="14"/>
  <c r="E15" s="1"/>
  <c r="E23" s="1"/>
  <c r="D5" i="48"/>
  <c r="D22" s="1"/>
  <c r="D31" s="1"/>
  <c r="J16" i="15"/>
  <c r="K10" i="14" s="1"/>
  <c r="C9" i="18"/>
  <c r="M7"/>
  <c r="M9" s="1"/>
  <c r="D67" i="14"/>
  <c r="N7" i="48"/>
  <c r="N24" s="1"/>
  <c r="N12" i="17"/>
  <c r="O48" i="14" s="1"/>
  <c r="K78"/>
  <c r="M16" i="18"/>
  <c r="M19" s="1"/>
  <c r="J19"/>
  <c r="O22" i="14"/>
  <c r="R22" s="1"/>
  <c r="P15"/>
  <c r="P23" s="1"/>
  <c r="O8" i="48"/>
  <c r="O25" s="1"/>
  <c r="P13" i="14"/>
  <c r="K67"/>
  <c r="K69" s="1"/>
  <c r="J9" i="18"/>
  <c r="F67" i="14"/>
  <c r="F69" s="1"/>
  <c r="E9" i="18"/>
  <c r="E16" i="15"/>
  <c r="F10" i="14" s="1"/>
  <c r="O22" i="16"/>
  <c r="P39" i="14" s="1"/>
  <c r="P41" s="1"/>
  <c r="P53" s="1"/>
  <c r="P55" s="1"/>
  <c r="J67"/>
  <c r="I67"/>
  <c r="I69" s="1"/>
  <c r="H9" i="18"/>
  <c r="Q13" i="48"/>
  <c r="G18" i="22"/>
  <c r="H45" i="14" s="1"/>
  <c r="G58" i="22"/>
  <c r="H44" i="14" s="1"/>
  <c r="M58" i="22"/>
  <c r="N44" i="14" s="1"/>
  <c r="G10" i="48"/>
  <c r="G27" s="1"/>
  <c r="N18" i="14"/>
  <c r="R18" s="1"/>
  <c r="M18" i="22"/>
  <c r="N45" i="14" s="1"/>
  <c r="N46" s="1"/>
  <c r="N53" s="1"/>
  <c r="H18" i="22"/>
  <c r="I45" i="14" s="1"/>
  <c r="I46" s="1"/>
  <c r="I53" s="1"/>
  <c r="I19"/>
  <c r="I20" s="1"/>
  <c r="I23" s="1"/>
  <c r="H9" i="48"/>
  <c r="P14"/>
  <c r="B8"/>
  <c r="J5"/>
  <c r="J22" s="1"/>
  <c r="J20" i="15"/>
  <c r="K36" i="14" s="1"/>
  <c r="J55"/>
  <c r="L55"/>
  <c r="E36"/>
  <c r="E41" s="1"/>
  <c r="N20" i="15"/>
  <c r="O36" i="14" s="1"/>
  <c r="O10"/>
  <c r="L5" i="48"/>
  <c r="L22" s="1"/>
  <c r="L31" s="1"/>
  <c r="M10" i="14"/>
  <c r="M15" s="1"/>
  <c r="F20" i="15"/>
  <c r="G36" i="14" s="1"/>
  <c r="G10"/>
  <c r="C10"/>
  <c r="B5" i="48"/>
  <c r="B14" s="1"/>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E5" i="48" l="1"/>
  <c r="E22" s="1"/>
  <c r="Q7"/>
  <c r="D14"/>
  <c r="N18" i="16"/>
  <c r="N8" i="48" s="1"/>
  <c r="J18" i="16"/>
  <c r="J8" i="48" s="1"/>
  <c r="J25" s="1"/>
  <c r="D69" i="14"/>
  <c r="O67"/>
  <c r="F18" i="16"/>
  <c r="G13" i="14" s="1"/>
  <c r="G15" s="1"/>
  <c r="G23" s="1"/>
  <c r="E18" i="16"/>
  <c r="E8" i="48" s="1"/>
  <c r="E20" i="15"/>
  <c r="F36" i="14" s="1"/>
  <c r="C78"/>
  <c r="C81" s="1"/>
  <c r="K81"/>
  <c r="O14" i="48"/>
  <c r="J69" i="14"/>
  <c r="C67"/>
  <c r="C69" s="1"/>
  <c r="G9" i="48"/>
  <c r="G26" s="1"/>
  <c r="G31" s="1"/>
  <c r="H19" i="14"/>
  <c r="H20" s="1"/>
  <c r="H23" s="1"/>
  <c r="Q10" i="48"/>
  <c r="H46" i="14"/>
  <c r="H53" s="1"/>
  <c r="N19"/>
  <c r="N20" s="1"/>
  <c r="N23" s="1"/>
  <c r="N55" s="1"/>
  <c r="M9" i="48"/>
  <c r="Q9" s="1"/>
  <c r="K13" i="14"/>
  <c r="K15" s="1"/>
  <c r="K23" s="1"/>
  <c r="I55"/>
  <c r="H26" i="48"/>
  <c r="H31" s="1"/>
  <c r="H14"/>
  <c r="C15" i="14"/>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O13"/>
  <c r="O15" s="1"/>
  <c r="F22" i="16"/>
  <c r="G39" i="14" s="1"/>
  <c r="G41" s="1"/>
  <c r="N22" i="16"/>
  <c r="O39" i="14" s="1"/>
  <c r="O41" s="1"/>
  <c r="F8" i="48"/>
  <c r="Q4"/>
  <c r="N22"/>
  <c r="R11" i="14"/>
  <c r="J21" i="48"/>
  <c r="J31" s="1"/>
  <c r="J14"/>
  <c r="R10" i="14"/>
  <c r="Q5" i="48" l="1"/>
  <c r="Q14" s="1"/>
  <c r="E25"/>
  <c r="E31" s="1"/>
  <c r="E14"/>
  <c r="N25"/>
  <c r="N14"/>
  <c r="E22" i="16"/>
  <c r="F39" i="14" s="1"/>
  <c r="F41" s="1"/>
  <c r="F53" s="1"/>
  <c r="F55" s="1"/>
  <c r="J22" i="16"/>
  <c r="K39" i="14" s="1"/>
  <c r="K41" s="1"/>
  <c r="K53" s="1"/>
  <c r="Q8" i="48"/>
  <c r="N31"/>
  <c r="F13" i="14"/>
  <c r="F15" s="1"/>
  <c r="F23" s="1"/>
  <c r="G14" i="48"/>
  <c r="H55" i="14"/>
  <c r="M14" i="48"/>
  <c r="R19" i="14"/>
  <c r="R20" s="1"/>
  <c r="M26" i="48"/>
  <c r="M31" s="1"/>
  <c r="O53" i="14"/>
  <c r="G53"/>
  <c r="G55" s="1"/>
  <c r="O69" s="1"/>
  <c r="B9" i="6" s="1"/>
  <c r="B12" s="1"/>
  <c r="M53" i="14"/>
  <c r="M55" s="1"/>
  <c r="C12" i="13"/>
  <c r="D37" i="14" s="1"/>
  <c r="D41" s="1"/>
  <c r="C23" i="48"/>
  <c r="C24"/>
  <c r="C27"/>
  <c r="C28"/>
  <c r="C22"/>
  <c r="C25"/>
  <c r="C29"/>
  <c r="C21"/>
  <c r="C26"/>
  <c r="K55" i="14"/>
  <c r="F25" i="48"/>
  <c r="F31" s="1"/>
  <c r="F14"/>
  <c r="R13" i="14" l="1"/>
  <c r="R15" s="1"/>
  <c r="R23" s="1"/>
  <c r="B18" i="15"/>
  <c r="B20" s="1"/>
  <c r="B10" i="17"/>
  <c r="B12" s="1"/>
  <c r="C48" i="14" s="1"/>
  <c r="R48" s="1"/>
  <c r="B17" i="49"/>
  <c r="B19" s="1"/>
  <c r="C38" i="14" s="1"/>
  <c r="R38" s="1"/>
  <c r="B10" i="13"/>
  <c r="B12" s="1"/>
  <c r="C37" i="14" s="1"/>
  <c r="R37" s="1"/>
  <c r="B20" i="16"/>
  <c r="B22" s="1"/>
  <c r="C39" i="14" s="1"/>
  <c r="R39" s="1"/>
  <c r="B10" i="9"/>
  <c r="B12" s="1"/>
  <c r="B29" i="20"/>
  <c r="B31" s="1"/>
  <c r="C43" i="14" s="1"/>
  <c r="R43" s="1"/>
  <c r="B56" i="22"/>
  <c r="B58" s="1"/>
  <c r="C44" i="14" s="1"/>
  <c r="R44" s="1"/>
  <c r="B16" i="22"/>
  <c r="B18" s="1"/>
  <c r="C45" i="14" s="1"/>
  <c r="R45" s="1"/>
  <c r="B17" i="19"/>
  <c r="B19" s="1"/>
  <c r="C35" i="14" s="1"/>
  <c r="R35" s="1"/>
  <c r="D53"/>
  <c r="D55" s="1"/>
  <c r="C31" i="48"/>
  <c r="O23" i="14"/>
  <c r="O55" s="1"/>
  <c r="B16" i="48"/>
  <c r="B28" s="1"/>
  <c r="Q28" s="1"/>
  <c r="R46" i="14" l="1"/>
  <c r="C36"/>
  <c r="R36" s="1"/>
  <c r="R41" s="1"/>
  <c r="C46"/>
  <c r="B27" i="48"/>
  <c r="Q27" s="1"/>
  <c r="B26"/>
  <c r="Q26" s="1"/>
  <c r="B23"/>
  <c r="Q23" s="1"/>
  <c r="B25"/>
  <c r="Q25" s="1"/>
  <c r="B29"/>
  <c r="Q29" s="1"/>
  <c r="B21"/>
  <c r="Q21" s="1"/>
  <c r="B24"/>
  <c r="Q24" s="1"/>
  <c r="B22"/>
  <c r="Q22" s="1"/>
  <c r="B30"/>
  <c r="Q30" s="1"/>
  <c r="R53" i="14" l="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<sst xmlns="http://schemas.openxmlformats.org/spreadsheetml/2006/main" count="2027" uniqueCount="883">
  <si>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</si>
  <si>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</si>
  <si>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</si>
  <si>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</si>
  <si>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</si>
  <si>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</si>
  <si>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</si>
  <si>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</si>
  <si>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</si>
  <si>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</si>
  <si>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</si>
  <si>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</si>
  <si>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</si>
  <si>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</si>
  <si>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</si>
  <si>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</si>
  <si>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</si>
  <si>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</si>
  <si>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</si>
  <si>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</si>
  <si>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</si>
  <si>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</si>
  <si>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</si>
  <si>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</si>
  <si>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</si>
  <si>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</si>
  <si>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</si>
  <si>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</si>
  <si>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</si>
  <si>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</si>
  <si>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</si>
  <si>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</si>
  <si>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</si>
  <si>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</si>
  <si>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</si>
  <si>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</si>
  <si>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</si>
  <si>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</si>
  <si>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</si>
  <si>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</si>
  <si>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</si>
  <si>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</si>
  <si>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</si>
  <si>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</si>
  <si>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</si>
  <si>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</si>
  <si>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</si>
  <si>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</si>
  <si>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</si>
  <si>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</si>
  <si>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</si>
  <si>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</si>
  <si>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</si>
  <si>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</si>
  <si>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</si>
  <si>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</si>
  <si>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</si>
  <si>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</si>
  <si>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</si>
  <si>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</si>
  <si>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</si>
  <si>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</si>
  <si>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</si>
  <si>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</si>
  <si>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</si>
  <si>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</si>
  <si>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</si>
  <si>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</si>
  <si>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</si>
  <si>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</si>
  <si>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</si>
  <si>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</si>
  <si>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</si>
  <si>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</si>
  <si>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</si>
  <si>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</si>
  <si>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</si>
  <si>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</si>
  <si>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</si>
  <si>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</si>
  <si>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</si>
  <si>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</si>
  <si>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</si>
  <si>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</si>
  <si>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</si>
  <si>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</si>
  <si>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</si>
  <si>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</si>
  <si>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</si>
  <si>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</si>
  <si>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</si>
  <si>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</si>
  <si>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</si>
  <si>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</si>
  <si>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</si>
  <si>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</si>
  <si>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</si>
  <si>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</si>
  <si>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</si>
  <si>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</si>
  <si>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</si>
  <si>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</si>
  <si>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</si>
  <si>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</si>
  <si>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</si>
  <si>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</si>
  <si>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</si>
  <si>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</si>
  <si>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</si>
  <si>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</si>
  <si>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</si>
  <si>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</si>
  <si>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</si>
  <si>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</si>
  <si>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</si>
  <si>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</si>
  <si>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</si>
  <si>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</si>
  <si>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</si>
  <si>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</si>
  <si>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</si>
  <si>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</si>
  <si>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</si>
  <si>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</si>
  <si>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</si>
  <si>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</si>
  <si>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</si>
  <si>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</si>
  <si>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</si>
  <si>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</si>
  <si>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</si>
  <si>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</si>
  <si>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</si>
  <si>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</si>
  <si>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</si>
  <si>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</si>
  <si>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</si>
  <si>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</si>
  <si>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</si>
  <si>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</si>
  <si>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</si>
  <si>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</si>
  <si>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</si>
  <si>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</si>
  <si>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</si>
  <si>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</si>
  <si>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</si>
  <si>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</si>
  <si>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</si>
  <si>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</si>
  <si>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</si>
  <si>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</si>
  <si>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</si>
  <si>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</si>
  <si>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</si>
  <si>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</si>
  <si>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</si>
  <si>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</si>
  <si>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</si>
  <si>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</si>
  <si>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</si>
  <si>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</si>
  <si>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</si>
  <si>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</si>
  <si>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</si>
  <si>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</si>
  <si>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</si>
  <si>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</si>
  <si>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</si>
  <si>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</si>
  <si>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</si>
  <si>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</si>
  <si>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</si>
  <si>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</si>
  <si>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</si>
  <si>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</si>
  <si>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</si>
  <si>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</si>
  <si>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</si>
  <si>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</si>
  <si>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</si>
  <si>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</si>
  <si>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</si>
  <si>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</si>
  <si>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</si>
  <si>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</si>
  <si>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</si>
  <si>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</si>
  <si>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</si>
  <si>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</si>
  <si>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</si>
  <si>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</si>
  <si>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</si>
  <si>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</si>
  <si>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</si>
  <si>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</si>
  <si>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</si>
  <si>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</si>
  <si>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</si>
  <si>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</si>
  <si>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</si>
  <si>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</si>
  <si>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</si>
  <si>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</si>
  <si>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</si>
  <si>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</si>
  <si>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</si>
  <si>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</si>
  <si>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</si>
  <si>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</si>
  <si>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</si>
  <si>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</si>
  <si>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</si>
  <si>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</si>
  <si>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</si>
  <si>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</si>
  <si>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</si>
  <si>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</si>
  <si>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</si>
  <si>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</si>
  <si>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</si>
  <si>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</si>
  <si>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</si>
  <si>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</si>
  <si>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</si>
  <si>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</si>
  <si>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</si>
  <si>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</si>
  <si>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</si>
  <si>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</si>
  <si>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</si>
  <si>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</si>
  <si>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</si>
  <si>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</si>
  <si>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</si>
  <si>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</si>
  <si>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</si>
  <si>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</si>
  <si>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</si>
  <si>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</si>
  <si>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</si>
  <si>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</si>
  <si>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</si>
  <si>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</si>
  <si>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</si>
  <si>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</si>
  <si>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</si>
  <si>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</si>
  <si>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</si>
  <si>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</si>
  <si>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</si>
  <si>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</si>
  <si>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</si>
  <si>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</si>
  <si>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</si>
  <si>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</si>
  <si>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</si>
  <si>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</si>
  <si>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</si>
  <si>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</si>
  <si>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</si>
  <si>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</si>
  <si>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</si>
  <si>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</si>
  <si>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</si>
  <si>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</si>
  <si>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</si>
  <si>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</si>
  <si>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</si>
  <si>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</si>
  <si>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</si>
  <si>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</si>
  <si>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</si>
  <si>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</si>
  <si>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</si>
  <si>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</si>
  <si>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</si>
  <si>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</si>
  <si>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</si>
  <si>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</si>
  <si>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</si>
  <si>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</si>
  <si>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</si>
  <si>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</si>
  <si>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</si>
  <si>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</si>
  <si>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</si>
  <si>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</si>
  <si>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</si>
  <si>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</si>
  <si>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</si>
  <si>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</si>
  <si>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</si>
  <si>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</si>
  <si>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</si>
  <si>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</si>
  <si>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</si>
  <si>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</si>
  <si>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</si>
  <si>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</si>
  <si>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</si>
  <si>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</si>
  <si>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</si>
  <si>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</si>
  <si>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</si>
  <si>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</si>
  <si>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</si>
  <si>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</si>
  <si>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</si>
  <si>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</si>
  <si>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</si>
  <si>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</si>
  <si>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</si>
  <si>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</si>
  <si>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</si>
  <si>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</si>
  <si>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</si>
  <si>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</si>
  <si>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</si>
  <si>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</si>
  <si>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</si>
  <si>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</si>
  <si>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</si>
  <si>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</si>
  <si>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</si>
  <si>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</si>
  <si>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</si>
  <si>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</si>
  <si>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</si>
  <si>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</si>
  <si>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</si>
  <si>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</si>
  <si>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</si>
  <si>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</si>
  <si>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</si>
  <si>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</si>
  <si>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</si>
  <si>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</si>
  <si>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</si>
  <si>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</si>
  <si>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</si>
  <si>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</si>
  <si>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</si>
  <si>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</si>
  <si>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</si>
  <si>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</si>
  <si>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</si>
  <si>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</si>
  <si>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</si>
  <si>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</si>
  <si>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</si>
  <si>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</si>
  <si>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</si>
  <si>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</si>
  <si>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</si>
  <si>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</si>
  <si>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</si>
  <si>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</si>
  <si>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</si>
  <si>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</si>
  <si>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</si>
  <si>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</si>
  <si>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</si>
  <si>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</si>
  <si>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</si>
  <si>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</si>
  <si>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</si>
  <si>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</si>
  <si>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</si>
  <si>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</si>
  <si>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</si>
  <si>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</si>
  <si>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</si>
  <si>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</si>
  <si>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</si>
  <si>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</si>
  <si>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</si>
  <si>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</si>
  <si>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</si>
  <si>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</si>
  <si>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</si>
  <si>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</si>
  <si>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</si>
  <si>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</si>
  <si>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</si>
  <si>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</si>
  <si>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</si>
  <si>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</si>
  <si>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</si>
  <si>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</si>
  <si>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</si>
  <si>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</si>
  <si>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</si>
  <si>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</si>
  <si>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</si>
  <si>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</si>
  <si>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</si>
  <si>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</si>
  <si>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</si>
  <si>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</si>
  <si>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</si>
  <si>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</si>
  <si>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</si>
  <si>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</si>
  <si>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</si>
  <si>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</si>
  <si>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</si>
  <si>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</si>
  <si>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</si>
  <si>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</si>
  <si>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</si>
  <si>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</si>
  <si>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</si>
  <si>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</si>
  <si>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</si>
  <si>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</si>
  <si>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</si>
  <si>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</si>
  <si>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</si>
  <si>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</si>
  <si>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</si>
  <si>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</si>
  <si>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</si>
  <si>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</si>
  <si>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</si>
  <si>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</si>
  <si>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</si>
  <si>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</si>
  <si>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</si>
  <si>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</si>
  <si>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</si>
  <si>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</si>
  <si>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</si>
  <si>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</si>
  <si>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</si>
  <si>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</si>
  <si>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</si>
  <si>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</si>
  <si>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</si>
  <si>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</si>
  <si>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</si>
  <si>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</si>
  <si>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</si>
  <si>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</si>
  <si>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</si>
  <si>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</si>
  <si>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</si>
  <si>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</si>
  <si>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</si>
  <si>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</si>
  <si>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</si>
  <si>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</si>
  <si>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</si>
  <si>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</si>
  <si>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</si>
  <si>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</si>
  <si>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</si>
  <si>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</si>
  <si>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</si>
  <si>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</si>
  <si>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</si>
  <si>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</si>
  <si>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</si>
  <si>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</si>
  <si>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</si>
  <si>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</si>
  <si>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</si>
  <si>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</si>
  <si>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</si>
  <si>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</si>
  <si>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</si>
  <si>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</si>
  <si>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</si>
  <si>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</si>
  <si>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</si>
  <si>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</si>
  <si>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</si>
  <si>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</si>
  <si>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</si>
  <si>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</si>
  <si>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</si>
  <si>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</si>
  <si>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</si>
  <si>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</si>
  <si>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</si>
  <si>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</si>
  <si>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</si>
  <si>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</si>
  <si>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</si>
  <si>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</si>
  <si>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</si>
  <si>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</si>
  <si>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</si>
  <si>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</si>
  <si>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</si>
  <si>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</si>
  <si>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</si>
  <si>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</si>
  <si>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</si>
  <si>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</si>
  <si>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</si>
  <si>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</si>
  <si>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</si>
  <si>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</si>
  <si>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</si>
  <si>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</si>
  <si>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</si>
  <si>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</si>
  <si>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</si>
  <si>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</si>
  <si>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</si>
  <si>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</si>
  <si>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</si>
  <si>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</si>
  <si>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</si>
  <si>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</si>
  <si>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</si>
  <si>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</si>
  <si>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</si>
  <si>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</si>
  <si>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</si>
  <si>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</si>
  <si>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</si>
  <si>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</si>
  <si>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</si>
  <si>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</si>
  <si>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</si>
  <si>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</si>
  <si>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</si>
  <si>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</si>
  <si>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</si>
  <si>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</si>
  <si>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</si>
  <si>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</si>
  <si>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</si>
  <si>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</si>
  <si>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</si>
  <si>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</si>
  <si>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</si>
  <si>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</si>
  <si>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</si>
  <si>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</si>
  <si>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</si>
  <si>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</si>
  <si>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</si>
  <si>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</si>
  <si>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</si>
  <si>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</si>
  <si>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</si>
  <si>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</si>
  <si>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</si>
  <si>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</si>
  <si>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</si>
  <si>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</si>
  <si>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</si>
  <si>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</si>
  <si>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</si>
  <si>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</si>
  <si>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</si>
  <si>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</si>
  <si>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</si>
  <si>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</si>
  <si>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</si>
  <si>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</si>
  <si>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</si>
  <si>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</si>
  <si>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</si>
  <si>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</si>
  <si>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</si>
  <si>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</si>
  <si>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</si>
  <si>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</si>
  <si>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</si>
  <si>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</si>
  <si>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</si>
  <si>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</si>
  <si>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</si>
  <si>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</si>
  <si>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</si>
  <si>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</si>
  <si>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</si>
  <si>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</si>
  <si>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</si>
  <si>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</si>
  <si>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</si>
  <si>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</si>
  <si>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</si>
  <si>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</si>
  <si>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</si>
  <si>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</si>
  <si>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</si>
  <si>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</si>
  <si>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</si>
  <si>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</si>
  <si>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</si>
  <si>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</si>
  <si>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</si>
  <si>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</si>
  <si>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</si>
  <si>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</si>
  <si>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</si>
  <si>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</si>
  <si>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</si>
  <si>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</si>
  <si>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</si>
  <si>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</si>
  <si>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</si>
  <si>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</si>
  <si>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</si>
  <si>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</si>
  <si>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</si>
  <si>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</si>
  <si>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</si>
  <si>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</si>
  <si>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</si>
  <si>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</si>
  <si>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</si>
  <si>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</si>
  <si>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</si>
  <si>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</si>
  <si>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</si>
  <si>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</si>
  <si>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</si>
  <si>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</si>
  <si>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</si>
  <si>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</si>
  <si>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</si>
  <si>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</si>
  <si>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</si>
  <si>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</si>
  <si>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</si>
  <si>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</si>
  <si>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</si>
  <si>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</si>
  <si>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</si>
  <si>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</si>
  <si>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</si>
  <si>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</si>
  <si>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</si>
  <si>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</si>
  <si>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</si>
  <si>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</si>
  <si>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</si>
  <si>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</si>
  <si>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</si>
  <si>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</si>
  <si>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</si>
  <si>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</si>
  <si>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</si>
  <si>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</si>
  <si>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</si>
  <si>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</si>
  <si>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</si>
  <si>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</si>
  <si>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</si>
  <si>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</si>
  <si>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</si>
  <si>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</si>
  <si>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</si>
  <si>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</si>
  <si>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</si>
  <si>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</si>
  <si>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</si>
  <si>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</si>
  <si>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</si>
  <si>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</si>
  <si>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</si>
  <si>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</si>
  <si>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</si>
  <si>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</si>
  <si>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</si>
  <si>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</si>
  <si>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</si>
  <si>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</si>
  <si>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</si>
  <si>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</si>
  <si>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</si>
  <si>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</si>
  <si>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</si>
  <si>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</si>
  <si>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</si>
  <si>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</si>
  <si>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</si>
  <si>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</si>
  <si>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</si>
  <si>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</si>
  <si>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</si>
  <si>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</si>
  <si>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</si>
  <si>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</si>
  <si>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</si>
  <si>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</si>
  <si>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</si>
  <si>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</si>
  <si>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</si>
  <si>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</si>
  <si>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</si>
  <si>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</si>
  <si>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</si>
  <si>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</si>
  <si>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</si>
  <si>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</si>
  <si>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</si>
  <si>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</si>
  <si>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</si>
  <si>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</si>
  <si>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</si>
  <si>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</si>
  <si>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</si>
  <si>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</si>
  <si>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</si>
  <si>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</si>
  <si>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</si>
  <si>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</si>
  <si>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</si>
  <si>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</si>
  <si>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</si>
  <si>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</si>
  <si>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</si>
  <si>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</si>
  <si>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</si>
  <si>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</si>
  <si>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</si>
  <si>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</si>
  <si>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</si>
  <si>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</si>
  <si>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</si>
  <si>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</si>
  <si>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</si>
  <si>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</si>
  <si>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</si>
  <si>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</si>
  <si>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</si>
  <si>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</si>
  <si>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</si>
  <si>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</si>
  <si>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</si>
  <si>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</si>
  <si>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</si>
  <si>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</si>
  <si>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</si>
  <si>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</si>
  <si>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</si>
  <si>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</si>
  <si>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</si>
  <si>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</si>
  <si>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</si>
  <si>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</si>
  <si>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</si>
  <si>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</si>
  <si>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</si>
  <si>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</si>
  <si>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</si>
  <si>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</si>
  <si>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</si>
  <si>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</si>
  <si>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</si>
  <si>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</si>
  <si>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</si>
  <si>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</si>
  <si>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</si>
  <si>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</si>
  <si>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</si>
  <si>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</si>
  <si>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</si>
  <si>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</si>
  <si>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</si>
  <si>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</si>
  <si>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</si>
  <si>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</si>
  <si>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</si>
  <si>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</si>
  <si>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</si>
  <si>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</si>
  <si>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</si>
  <si>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</si>
  <si>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</si>
  <si>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</si>
  <si>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</si>
  <si>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</si>
  <si>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</si>
  <si>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</si>
  <si>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</si>
  <si>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</si>
  <si>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</si>
  <si>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</si>
  <si>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</si>
  <si>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</si>
  <si>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</si>
  <si>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</si>
  <si>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</si>
  <si>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</si>
  <si>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</si>
  <si>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</si>
  <si>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</si>
  <si>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</si>
  <si>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</si>
  <si>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</si>
  <si>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</si>
  <si>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</si>
  <si>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</si>
  <si>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</si>
  <si>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</si>
  <si>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</si>
  <si>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</si>
  <si>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</si>
  <si>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</si>
  <si>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</si>
  <si>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</si>
  <si>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</si>
  <si>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</si>
  <si>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</si>
  <si>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</si>
  <si>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</si>
  <si>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</si>
  <si>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</si>
  <si>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</si>
  <si>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</si>
  <si>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</si>
  <si>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</si>
  <si>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</si>
  <si>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</si>
  <si>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</si>
  <si>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</si>
  <si>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</si>
  <si>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</si>
  <si>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</si>
  <si>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</si>
  <si>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</si>
  <si>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</si>
  <si>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versie: 2012_05</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</si>
  <si>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</si>
  <si>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</si>
  <si>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</si>
  <si>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</si>
  <si>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</si>
  <si>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</si>
  <si>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</si>
  <si>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</si>
  <si>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</si>
  <si>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</si>
  <si>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</si>
  <si>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</si>
  <si>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</si>
  <si>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</si>
  <si>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</si>
  <si>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</si>
  <si>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</si>
  <si>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</si>
  <si>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</si>
  <si>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</si>
  <si>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</si>
  <si>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</si>
  <si>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</si>
  <si>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</si>
  <si>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</si>
  <si>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</si>
  <si>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</si>
  <si>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</si>
  <si>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</si>
  <si>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</si>
  <si>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</si>
  <si>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</si>
  <si>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</si>
  <si>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</si>
  <si>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</si>
  <si>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</si>
  <si>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</si>
  <si>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</si>
  <si>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</si>
  <si>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</si>
  <si>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42010</t>
  </si>
  <si>
    <t>LAARNE</t>
  </si>
  <si>
    <t>Paarden&amp;pony's 200 - 600 kg</t>
  </si>
  <si>
    <t>Paarden&amp;pony's &lt; 200 kg</t>
  </si>
  <si>
    <t>op basis van VEA (maart 2018) en Inventaris Hernieuwbare Energiebronnen (juni 2018)</t>
  </si>
  <si>
    <t>VEA (juni 2018)</t>
  </si>
  <si>
    <t>Christoph Pieters</t>
  </si>
  <si>
    <t>Elsstraat 5 , 9270 Laarne</t>
  </si>
  <si>
    <t>WKK-0212 Christoph Pieters</t>
  </si>
  <si>
    <t>interne verbrandingsmotor</t>
  </si>
  <si>
    <t>WKK interne verbrandinsgmotor (gas)</t>
  </si>
  <si>
    <t>IMEWO</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</si>
</sst>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2"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52" fillId="0" borderId="0"/>
    <xf numFmtId="172" fontId="72"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5" fillId="0" borderId="187"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88" applyNumberFormat="0" applyAlignment="0" applyProtection="0"/>
    <xf numFmtId="0" fontId="110" fillId="30" borderId="189" applyNumberFormat="0" applyAlignment="0" applyProtection="0"/>
    <xf numFmtId="0" fontId="111" fillId="30" borderId="188" applyNumberFormat="0" applyAlignment="0" applyProtection="0"/>
    <xf numFmtId="0" fontId="112" fillId="0" borderId="190" applyNumberFormat="0" applyFill="0" applyAlignment="0" applyProtection="0"/>
    <xf numFmtId="0" fontId="39"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3" fillId="0" borderId="0" applyNumberFormat="0" applyFill="0" applyBorder="0" applyAlignment="0" applyProtection="0"/>
    <xf numFmtId="0" fontId="6" fillId="0" borderId="193" applyNumberFormat="0" applyFill="0" applyAlignment="0" applyProtection="0"/>
    <xf numFmtId="0" fontId="47"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7" fillId="40" borderId="0" applyNumberFormat="0" applyBorder="0" applyAlignment="0" applyProtection="0"/>
    <xf numFmtId="0" fontId="47"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7" fillId="44" borderId="0" applyNumberFormat="0" applyBorder="0" applyAlignment="0" applyProtection="0"/>
    <xf numFmtId="0" fontId="47"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7" fillId="48" borderId="0" applyNumberFormat="0" applyBorder="0" applyAlignment="0" applyProtection="0"/>
    <xf numFmtId="0" fontId="47"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7" fillId="52" borderId="0" applyNumberFormat="0" applyBorder="0" applyAlignment="0" applyProtection="0"/>
    <xf numFmtId="0" fontId="47"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7"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2" fillId="0" borderId="0"/>
    <xf numFmtId="0" fontId="114" fillId="0" borderId="0"/>
    <xf numFmtId="0" fontId="1" fillId="0" borderId="0" applyNumberFormat="0" applyFill="0" applyBorder="0" applyAlignment="0" applyProtection="0"/>
    <xf numFmtId="0" fontId="115" fillId="0" borderId="187"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2"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94" applyNumberFormat="0" applyFont="0" applyFill="0" applyBorder="0" applyProtection="0">
      <alignment horizontal="left" vertical="center" indent="2"/>
    </xf>
    <xf numFmtId="49" fontId="26" fillId="0" borderId="195"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6" fillId="0" borderId="194" applyFill="0" applyBorder="0" applyProtection="0">
      <alignment horizontal="right" vertical="center"/>
    </xf>
    <xf numFmtId="49" fontId="117" fillId="0" borderId="194" applyNumberFormat="0" applyFill="0" applyBorder="0" applyProtection="0">
      <alignment horizontal="left" vertical="center"/>
    </xf>
    <xf numFmtId="0" fontId="26" fillId="0" borderId="194" applyNumberFormat="0" applyFill="0" applyAlignment="0" applyProtection="0"/>
    <xf numFmtId="0" fontId="119" fillId="58" borderId="0" applyNumberFormat="0" applyFont="0" applyBorder="0" applyAlignment="0" applyProtection="0"/>
    <xf numFmtId="4" fontId="9" fillId="0" borderId="0"/>
    <xf numFmtId="177" fontId="26" fillId="59" borderId="194" applyNumberFormat="0" applyFont="0" applyBorder="0" applyAlignment="0" applyProtection="0">
      <alignment horizontal="right" vertical="center"/>
    </xf>
    <xf numFmtId="0" fontId="52" fillId="0" borderId="0"/>
    <xf numFmtId="0" fontId="9" fillId="0" borderId="0"/>
    <xf numFmtId="4" fontId="9" fillId="0" borderId="0"/>
    <xf numFmtId="0" fontId="52"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94">
      <alignment vertical="center"/>
    </xf>
    <xf numFmtId="170" fontId="16" fillId="0" borderId="194">
      <alignment vertical="center"/>
    </xf>
    <xf numFmtId="170" fontId="16" fillId="0" borderId="194">
      <alignment vertical="center"/>
    </xf>
    <xf numFmtId="173" fontId="23" fillId="8" borderId="194">
      <alignment horizontal="right" vertical="center"/>
    </xf>
    <xf numFmtId="173" fontId="23" fillId="8" borderId="194">
      <alignment horizontal="right" vertical="center"/>
    </xf>
    <xf numFmtId="173" fontId="23" fillId="8"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2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9"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9"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4"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1"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0" fillId="0" borderId="117" xfId="0" applyBorder="1"/>
    <xf numFmtId="172" fontId="47" fillId="0" borderId="81" xfId="0" applyFont="1" applyFill="1" applyBorder="1" applyAlignment="1">
      <alignment horizontal="justify" wrapText="1"/>
    </xf>
    <xf numFmtId="172" fontId="78" fillId="0" borderId="117" xfId="0" applyFont="1" applyFill="1" applyBorder="1" applyAlignment="1">
      <alignment horizontal="left" vertical="center" wrapText="1"/>
    </xf>
    <xf numFmtId="172" fontId="78" fillId="0" borderId="118" xfId="0" applyFont="1" applyFill="1" applyBorder="1" applyAlignment="1">
      <alignment horizontal="left" vertical="center" wrapText="1"/>
    </xf>
    <xf numFmtId="172" fontId="53" fillId="12" borderId="104" xfId="0" applyFont="1" applyFill="1" applyBorder="1" applyAlignment="1">
      <alignment horizontal="left" vertical="center" wrapText="1"/>
    </xf>
    <xf numFmtId="172" fontId="53" fillId="12" borderId="62"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2" xfId="0" applyBorder="1"/>
    <xf numFmtId="172" fontId="0" fillId="0" borderId="18" xfId="0" applyBorder="1"/>
    <xf numFmtId="172" fontId="76" fillId="12" borderId="87"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6"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3" fillId="0" borderId="113" xfId="0" applyFont="1" applyBorder="1" applyAlignment="1">
      <alignment vertical="top" wrapText="1"/>
    </xf>
    <xf numFmtId="172" fontId="23" fillId="0" borderId="116" xfId="0" applyFont="1" applyBorder="1" applyAlignment="1">
      <alignment vertical="top"/>
    </xf>
    <xf numFmtId="172" fontId="23" fillId="0" borderId="122" xfId="0" applyFont="1" applyBorder="1"/>
    <xf numFmtId="172" fontId="23" fillId="0" borderId="124" xfId="0" applyFont="1" applyBorder="1"/>
    <xf numFmtId="172" fontId="23" fillId="0" borderId="121"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2" fillId="0" borderId="0" xfId="148" applyBorder="1" applyAlignment="1" applyProtection="1">
      <alignment vertical="top"/>
    </xf>
    <xf numFmtId="172" fontId="6" fillId="0" borderId="114" xfId="0" applyFont="1" applyBorder="1"/>
    <xf numFmtId="172" fontId="72" fillId="0" borderId="81" xfId="148" applyBorder="1" applyAlignment="1" applyProtection="1"/>
    <xf numFmtId="172" fontId="72"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5" fillId="0" borderId="0" xfId="0" applyFont="1" applyFill="1" applyBorder="1"/>
    <xf numFmtId="172" fontId="0" fillId="0" borderId="135" xfId="0" applyBorder="1"/>
    <xf numFmtId="172" fontId="0" fillId="0" borderId="136" xfId="0" applyBorder="1"/>
    <xf numFmtId="172" fontId="23" fillId="0" borderId="0" xfId="0" applyFont="1" applyBorder="1" applyAlignment="1">
      <alignment vertical="top" wrapText="1"/>
    </xf>
    <xf numFmtId="172" fontId="23" fillId="0" borderId="81" xfId="0" applyFont="1" applyBorder="1" applyAlignment="1">
      <alignment vertical="top"/>
    </xf>
    <xf numFmtId="3" fontId="0" fillId="13" borderId="15" xfId="0" quotePrefix="1" applyNumberFormat="1" applyFill="1" applyBorder="1" applyAlignment="1">
      <alignment horizontal="center"/>
    </xf>
    <xf numFmtId="172" fontId="23"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0"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2" fillId="0" borderId="18" xfId="148" applyBorder="1" applyAlignment="1" applyProtection="1"/>
    <xf numFmtId="172" fontId="86" fillId="0" borderId="139" xfId="0" applyFont="1" applyBorder="1"/>
    <xf numFmtId="172" fontId="5" fillId="0" borderId="62" xfId="0" applyFont="1" applyBorder="1"/>
    <xf numFmtId="172" fontId="5" fillId="0" borderId="18" xfId="0" applyFont="1" applyBorder="1"/>
    <xf numFmtId="172" fontId="72"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1"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5" fillId="0" borderId="8" xfId="0" applyFont="1" applyBorder="1"/>
    <xf numFmtId="172" fontId="0" fillId="0" borderId="143"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5" fillId="0" borderId="138" xfId="0" applyFont="1" applyFill="1" applyBorder="1"/>
    <xf numFmtId="172" fontId="45"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5"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40"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5"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3"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0"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3" fillId="0" borderId="155" xfId="0" applyFont="1" applyBorder="1"/>
    <xf numFmtId="172" fontId="23" fillId="0" borderId="155" xfId="0" applyFont="1" applyFill="1" applyBorder="1"/>
    <xf numFmtId="172" fontId="23" fillId="0" borderId="0" xfId="0" applyFont="1" applyFill="1" applyBorder="1"/>
    <xf numFmtId="9" fontId="23" fillId="0" borderId="0" xfId="0" applyNumberFormat="1" applyFont="1" applyBorder="1"/>
    <xf numFmtId="172" fontId="48" fillId="0" borderId="10" xfId="0" applyFont="1" applyBorder="1"/>
    <xf numFmtId="9" fontId="48" fillId="0" borderId="12" xfId="0" applyNumberFormat="1" applyFont="1" applyBorder="1"/>
    <xf numFmtId="172" fontId="23" fillId="0" borderId="155" xfId="1" applyFont="1" applyFill="1" applyBorder="1"/>
    <xf numFmtId="172" fontId="23" fillId="0" borderId="8" xfId="0" applyFont="1" applyFill="1" applyBorder="1"/>
    <xf numFmtId="172" fontId="23" fillId="0" borderId="152" xfId="1" applyFont="1" applyBorder="1"/>
    <xf numFmtId="172" fontId="23" fillId="0" borderId="154"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0" fillId="18" borderId="159"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3"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3" xfId="0" applyNumberFormat="1" applyFont="1" applyFill="1" applyBorder="1"/>
    <xf numFmtId="0" fontId="23" fillId="23" borderId="170" xfId="0" applyNumberFormat="1" applyFont="1" applyFill="1" applyBorder="1"/>
    <xf numFmtId="0" fontId="0" fillId="0" borderId="114" xfId="0" applyNumberFormat="1" applyBorder="1"/>
    <xf numFmtId="0" fontId="80" fillId="0" borderId="0" xfId="0" applyNumberFormat="1" applyFont="1"/>
    <xf numFmtId="0" fontId="23" fillId="23" borderId="102" xfId="0" applyNumberFormat="1" applyFont="1" applyFill="1" applyBorder="1"/>
    <xf numFmtId="0" fontId="0" fillId="0" borderId="0" xfId="0" applyNumberFormat="1" applyBorder="1"/>
    <xf numFmtId="0" fontId="23" fillId="23" borderId="0" xfId="0" applyNumberFormat="1" applyFont="1" applyFill="1" applyBorder="1"/>
    <xf numFmtId="0" fontId="45" fillId="23" borderId="0" xfId="0" applyNumberFormat="1" applyFont="1" applyFill="1" applyBorder="1"/>
    <xf numFmtId="0" fontId="23" fillId="23" borderId="81" xfId="0" applyNumberFormat="1" applyFont="1" applyFill="1" applyBorder="1"/>
    <xf numFmtId="0" fontId="23" fillId="23" borderId="132" xfId="0" applyNumberFormat="1" applyFont="1" applyFill="1" applyBorder="1"/>
    <xf numFmtId="0" fontId="45" fillId="23" borderId="119" xfId="0" applyNumberFormat="1" applyFont="1" applyFill="1" applyBorder="1"/>
    <xf numFmtId="0" fontId="45"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3" fillId="24" borderId="0" xfId="0" applyNumberFormat="1" applyFont="1" applyFill="1"/>
    <xf numFmtId="0" fontId="93" fillId="4" borderId="0" xfId="148" applyNumberFormat="1" applyFont="1" applyFill="1" applyAlignment="1" applyProtection="1"/>
    <xf numFmtId="0" fontId="72"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5" fillId="23" borderId="19" xfId="0" applyNumberFormat="1" applyFont="1" applyFill="1" applyBorder="1"/>
    <xf numFmtId="0" fontId="38" fillId="23" borderId="87"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wrapText="1"/>
    </xf>
    <xf numFmtId="0" fontId="72" fillId="0" borderId="115" xfId="148" applyNumberFormat="1" applyBorder="1" applyAlignment="1" applyProtection="1"/>
    <xf numFmtId="0" fontId="0" fillId="0" borderId="113" xfId="0" applyNumberFormat="1" applyBorder="1"/>
    <xf numFmtId="0" fontId="0" fillId="0" borderId="116" xfId="0" applyNumberFormat="1" applyBorder="1"/>
    <xf numFmtId="0" fontId="72" fillId="0" borderId="117" xfId="148" applyNumberFormat="1" applyBorder="1" applyAlignment="1" applyProtection="1"/>
    <xf numFmtId="0" fontId="0" fillId="0" borderId="118" xfId="0" applyNumberFormat="1" applyBorder="1"/>
    <xf numFmtId="0" fontId="72" fillId="0" borderId="115" xfId="148" quotePrefix="1" applyNumberFormat="1" applyBorder="1" applyAlignment="1" applyProtection="1"/>
    <xf numFmtId="0" fontId="0" fillId="0" borderId="117" xfId="0" applyNumberFormat="1" applyBorder="1"/>
    <xf numFmtId="0" fontId="23" fillId="0" borderId="0" xfId="0" applyNumberFormat="1" applyFont="1" applyBorder="1"/>
    <xf numFmtId="0" fontId="23" fillId="0" borderId="81"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8" fillId="0" borderId="103" xfId="0" applyNumberFormat="1" applyFont="1" applyFill="1" applyBorder="1" applyAlignment="1">
      <alignment horizontal="left" vertical="center" wrapText="1"/>
    </xf>
    <xf numFmtId="0" fontId="79" fillId="0" borderId="53" xfId="0" applyNumberFormat="1" applyFont="1" applyFill="1" applyBorder="1" applyAlignment="1">
      <alignment horizontal="left" vertical="center" wrapText="1"/>
    </xf>
    <xf numFmtId="0" fontId="79" fillId="0" borderId="102"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3" xfId="0" applyNumberFormat="1" applyFont="1" applyFill="1" applyBorder="1" applyAlignment="1">
      <alignment horizontal="left" vertical="center"/>
    </xf>
    <xf numFmtId="0" fontId="82" fillId="12" borderId="53" xfId="0" applyNumberFormat="1" applyFont="1" applyFill="1" applyBorder="1" applyAlignment="1">
      <alignment horizontal="left" vertical="center"/>
    </xf>
    <xf numFmtId="0" fontId="82" fillId="12" borderId="102" xfId="0" applyNumberFormat="1" applyFont="1" applyFill="1" applyBorder="1" applyAlignment="1">
      <alignment horizontal="left" vertical="center" wrapText="1"/>
    </xf>
    <xf numFmtId="0" fontId="23" fillId="15" borderId="115"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23"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6" fillId="12" borderId="87"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72"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2"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3" xfId="0" applyNumberFormat="1" applyFont="1" applyBorder="1"/>
    <xf numFmtId="3" fontId="87"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5"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5"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4"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8" fillId="12" borderId="157"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40" fillId="0" borderId="78"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172" fontId="38" fillId="19" borderId="78"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5" xfId="0" applyNumberFormat="1" applyFont="1" applyFill="1" applyBorder="1" applyAlignment="1" applyProtection="1">
      <alignment horizontal="right" vertical="center"/>
    </xf>
    <xf numFmtId="3" fontId="42" fillId="0" borderId="15" xfId="0" applyNumberFormat="1" applyFont="1" applyFill="1" applyBorder="1" applyAlignment="1" applyProtection="1">
      <alignment horizontal="right" vertical="center"/>
    </xf>
    <xf numFmtId="3" fontId="31" fillId="0" borderId="15" xfId="0" applyNumberFormat="1" applyFont="1" applyFill="1" applyBorder="1" applyAlignment="1" applyProtection="1">
      <alignment horizontal="right" vertical="center" wrapText="1"/>
    </xf>
    <xf numFmtId="3" fontId="42" fillId="0" borderId="95"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38" fillId="3" borderId="5" xfId="0" applyNumberFormat="1" applyFont="1" applyFill="1" applyBorder="1" applyAlignment="1" applyProtection="1">
      <alignment horizontal="right" vertical="center"/>
    </xf>
    <xf numFmtId="3" fontId="42" fillId="0" borderId="86"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6"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3" fontId="42" fillId="0" borderId="97" xfId="0" applyNumberFormat="1" applyFont="1" applyFill="1" applyBorder="1" applyAlignment="1" applyProtection="1">
      <alignment horizontal="right" vertical="center"/>
    </xf>
    <xf numFmtId="172" fontId="0" fillId="0" borderId="67"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6"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42"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38" fillId="12" borderId="88" xfId="0" applyNumberFormat="1" applyFont="1" applyFill="1" applyBorder="1" applyAlignment="1" applyProtection="1">
      <alignment horizontal="center" vertical="center" wrapText="1"/>
    </xf>
    <xf numFmtId="172" fontId="40" fillId="0" borderId="78" xfId="0" applyFont="1" applyBorder="1" applyAlignment="1" applyProtection="1">
      <alignment horizontal="center" vertical="center"/>
    </xf>
    <xf numFmtId="3" fontId="38" fillId="3" borderId="78"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9" xfId="0" applyNumberFormat="1" applyFont="1" applyFill="1" applyBorder="1" applyAlignment="1" applyProtection="1">
      <alignment horizontal="right" vertical="center"/>
    </xf>
    <xf numFmtId="3" fontId="42" fillId="0" borderId="89" xfId="0" applyNumberFormat="1" applyFont="1" applyFill="1" applyBorder="1" applyAlignment="1" applyProtection="1">
      <alignment horizontal="right" vertical="center"/>
    </xf>
    <xf numFmtId="3" fontId="38" fillId="19" borderId="78" xfId="0" applyNumberFormat="1"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6" fillId="0" borderId="0" xfId="0" applyFont="1" applyBorder="1" applyProtection="1"/>
    <xf numFmtId="172" fontId="0" fillId="0" borderId="0" xfId="0" applyBorder="1" applyProtection="1"/>
    <xf numFmtId="172" fontId="45"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3" xfId="0" applyFont="1" applyFill="1" applyBorder="1" applyAlignment="1" applyProtection="1">
      <alignment vertical="top" wrapText="1"/>
      <protection locked="0"/>
    </xf>
    <xf numFmtId="3" fontId="39" fillId="22" borderId="53" xfId="0" applyNumberFormat="1" applyFont="1" applyFill="1" applyBorder="1" applyAlignment="1" applyProtection="1">
      <alignment vertical="top" wrapText="1"/>
      <protection locked="0"/>
    </xf>
    <xf numFmtId="172" fontId="39" fillId="22" borderId="102"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1"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3"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3" fillId="0" borderId="114" xfId="0" applyNumberFormat="1" applyFont="1" applyFill="1" applyBorder="1" applyAlignment="1">
      <alignment horizontal="left" vertical="top" wrapText="1"/>
    </xf>
    <xf numFmtId="2" fontId="23"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3"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61" xfId="0" applyNumberFormat="1" applyFont="1" applyFill="1" applyBorder="1" applyAlignment="1" applyProtection="1">
      <alignment horizontal="center" vertical="center"/>
      <protection locked="0"/>
    </xf>
    <xf numFmtId="1" fontId="61" fillId="0" borderId="107"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9" borderId="50" xfId="0" applyNumberFormat="1" applyFont="1" applyFill="1" applyBorder="1" applyAlignment="1" applyProtection="1">
      <alignment horizontal="center" vertical="center"/>
      <protection locked="0"/>
    </xf>
    <xf numFmtId="1" fontId="61" fillId="19" borderId="49" xfId="0" applyNumberFormat="1" applyFont="1" applyFill="1" applyBorder="1" applyAlignment="1" applyProtection="1">
      <alignment horizontal="center" vertical="center"/>
      <protection locked="0"/>
    </xf>
    <xf numFmtId="1" fontId="61" fillId="19" borderId="108" xfId="0" applyNumberFormat="1" applyFont="1" applyFill="1" applyBorder="1" applyAlignment="1" applyProtection="1">
      <alignment horizontal="center" vertical="center"/>
      <protection locked="0"/>
    </xf>
    <xf numFmtId="1" fontId="61" fillId="18" borderId="109"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61" fillId="0" borderId="167" xfId="0" applyNumberFormat="1" applyFont="1" applyFill="1" applyBorder="1" applyAlignment="1" applyProtection="1">
      <alignment horizontal="center" vertical="center"/>
      <protection locked="0"/>
    </xf>
    <xf numFmtId="1" fontId="58" fillId="12" borderId="104"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1" fontId="61" fillId="19" borderId="105" xfId="0" applyNumberFormat="1" applyFont="1" applyFill="1" applyBorder="1" applyAlignment="1" applyProtection="1">
      <alignment horizontal="center" vertical="center"/>
      <protection locked="0"/>
    </xf>
    <xf numFmtId="1" fontId="61" fillId="19" borderId="166" xfId="0" applyNumberFormat="1" applyFont="1" applyFill="1" applyBorder="1" applyAlignment="1" applyProtection="1">
      <alignment horizontal="center" vertical="center"/>
      <protection locked="0"/>
    </xf>
    <xf numFmtId="1" fontId="53" fillId="12" borderId="110" xfId="0" applyNumberFormat="1" applyFont="1" applyFill="1" applyBorder="1" applyAlignment="1">
      <alignment vertical="center"/>
    </xf>
    <xf numFmtId="1" fontId="58" fillId="19" borderId="111" xfId="0" applyNumberFormat="1" applyFont="1" applyFill="1" applyBorder="1" applyAlignment="1" applyProtection="1">
      <alignment horizontal="center" vertical="center"/>
      <protection locked="0"/>
    </xf>
    <xf numFmtId="1" fontId="58" fillId="19" borderId="70" xfId="0" applyNumberFormat="1" applyFont="1" applyFill="1" applyBorder="1" applyAlignment="1" applyProtection="1">
      <alignment horizontal="center" vertical="center"/>
      <protection locked="0"/>
    </xf>
    <xf numFmtId="1" fontId="58" fillId="19" borderId="112"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8"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8"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8" borderId="60" xfId="0" applyNumberFormat="1" applyFont="1" applyFill="1" applyBorder="1" applyAlignment="1">
      <alignment horizontal="center" vertical="center"/>
    </xf>
    <xf numFmtId="1" fontId="58" fillId="18" borderId="61"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62" xfId="0" applyNumberFormat="1" applyFont="1" applyFill="1" applyBorder="1" applyAlignment="1">
      <alignment horizontal="center" vertical="center"/>
    </xf>
    <xf numFmtId="1" fontId="58" fillId="18" borderId="51"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19" borderId="164" xfId="0" applyNumberFormat="1" applyFont="1" applyFill="1" applyBorder="1" applyAlignment="1" applyProtection="1">
      <alignment horizontal="center" vertical="center"/>
      <protection locked="0"/>
    </xf>
    <xf numFmtId="1" fontId="61" fillId="19" borderId="87" xfId="0" applyNumberFormat="1" applyFont="1" applyFill="1" applyBorder="1" applyAlignment="1" applyProtection="1">
      <alignment horizontal="center" vertical="center"/>
      <protection locked="0"/>
    </xf>
    <xf numFmtId="1" fontId="61" fillId="19" borderId="165" xfId="0" applyNumberFormat="1" applyFont="1" applyFill="1" applyBorder="1" applyAlignment="1" applyProtection="1">
      <alignment horizontal="center" vertical="center"/>
      <protection locked="0"/>
    </xf>
    <xf numFmtId="1" fontId="58" fillId="18" borderId="63" xfId="0" applyNumberFormat="1" applyFont="1" applyFill="1" applyBorder="1" applyAlignment="1">
      <alignment horizontal="center" vertical="center"/>
    </xf>
    <xf numFmtId="1" fontId="58" fillId="12" borderId="163" xfId="0" applyNumberFormat="1" applyFont="1" applyFill="1" applyBorder="1" applyAlignment="1"/>
    <xf numFmtId="1" fontId="59" fillId="18" borderId="54" xfId="0" applyNumberFormat="1" applyFont="1" applyFill="1" applyBorder="1" applyAlignment="1">
      <alignment vertical="center"/>
    </xf>
    <xf numFmtId="1" fontId="58" fillId="18" borderId="65"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4" xfId="0" applyNumberFormat="1" applyFont="1" applyFill="1" applyBorder="1" applyAlignment="1" applyProtection="1">
      <alignment horizontal="center" vertical="center"/>
      <protection locked="0"/>
    </xf>
    <xf numFmtId="1" fontId="58" fillId="19" borderId="75" xfId="0" applyNumberFormat="1" applyFont="1" applyFill="1" applyBorder="1" applyAlignment="1" applyProtection="1">
      <alignment horizontal="center" vertical="center"/>
      <protection locked="0"/>
    </xf>
    <xf numFmtId="1" fontId="58" fillId="19" borderId="168" xfId="0" applyNumberFormat="1" applyFont="1" applyFill="1" applyBorder="1" applyAlignment="1" applyProtection="1">
      <alignment horizontal="center" vertical="center"/>
      <protection locked="0"/>
    </xf>
    <xf numFmtId="1" fontId="58" fillId="19" borderId="169"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justify"/>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9"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6" fillId="0" borderId="0" xfId="0" applyNumberFormat="1" applyFont="1" applyAlignment="1">
      <alignment horizontal="center"/>
    </xf>
    <xf numFmtId="1" fontId="58" fillId="12" borderId="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58" fillId="12" borderId="74"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57" xfId="0" applyNumberFormat="1" applyFont="1" applyFill="1" applyBorder="1" applyAlignment="1">
      <alignment horizontal="center" vertical="center" wrapText="1"/>
    </xf>
    <xf numFmtId="1" fontId="58" fillId="12" borderId="75"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68" fillId="0" borderId="78" xfId="0" applyNumberFormat="1" applyFont="1" applyFill="1" applyBorder="1" applyAlignment="1">
      <alignment horizontal="center"/>
    </xf>
    <xf numFmtId="1" fontId="58"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8"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6"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7" xfId="0" applyNumberFormat="1" applyFont="1" applyBorder="1" applyAlignment="1">
      <alignment horizontal="justify"/>
    </xf>
    <xf numFmtId="1" fontId="58"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0" fillId="0" borderId="0" xfId="0" applyNumberFormat="1" applyFont="1" applyFill="1" applyBorder="1" applyAlignment="1">
      <alignment horizontal="center" vertical="top" wrapText="1"/>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8" xfId="0" applyNumberFormat="1" applyFont="1" applyFill="1" applyBorder="1" applyAlignment="1">
      <alignment horizontal="center" vertical="center" wrapText="1"/>
    </xf>
    <xf numFmtId="1" fontId="68" fillId="0" borderId="78" xfId="0" applyNumberFormat="1" applyFont="1" applyBorder="1" applyAlignment="1">
      <alignment horizontal="center" vertical="center"/>
    </xf>
    <xf numFmtId="1" fontId="58" fillId="0" borderId="78"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0" fillId="0" borderId="0" xfId="0" applyNumberFormat="1" applyFont="1" applyBorder="1" applyAlignment="1">
      <alignment horizontal="center" vertical="center" wrapText="1"/>
    </xf>
    <xf numFmtId="1" fontId="58" fillId="0" borderId="35" xfId="0" applyNumberFormat="1" applyFont="1" applyFill="1" applyBorder="1" applyAlignment="1">
      <alignment horizontal="center" vertical="center"/>
    </xf>
    <xf numFmtId="1" fontId="71" fillId="0" borderId="57" xfId="0" applyNumberFormat="1" applyFont="1" applyBorder="1" applyAlignment="1">
      <alignment horizontal="justify"/>
    </xf>
    <xf numFmtId="1" fontId="71" fillId="0" borderId="57" xfId="0" applyNumberFormat="1" applyFont="1" applyBorder="1" applyAlignment="1">
      <alignment horizontal="center"/>
    </xf>
    <xf numFmtId="1" fontId="58" fillId="0" borderId="57" xfId="0" applyNumberFormat="1" applyFont="1" applyBorder="1" applyAlignment="1">
      <alignment horizontal="center"/>
    </xf>
    <xf numFmtId="1" fontId="28" fillId="0" borderId="57" xfId="0" applyNumberFormat="1" applyFont="1" applyBorder="1" applyAlignment="1">
      <alignment horizontal="center"/>
    </xf>
    <xf numFmtId="0" fontId="0" fillId="0" borderId="0" xfId="0" applyNumberFormat="1" applyFill="1" applyBorder="1"/>
    <xf numFmtId="1" fontId="61" fillId="0" borderId="85" xfId="0" applyNumberFormat="1" applyFont="1" applyFill="1" applyBorder="1" applyAlignment="1" applyProtection="1">
      <alignment horizontal="center" vertical="center"/>
      <protection locked="0"/>
    </xf>
    <xf numFmtId="1" fontId="61" fillId="0" borderId="15"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4" fontId="0" fillId="0" borderId="0" xfId="0" applyNumberFormat="1"/>
    <xf numFmtId="172" fontId="72"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1" fillId="19" borderId="56"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2"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7" xfId="0" applyNumberFormat="1" applyFont="1" applyFill="1" applyBorder="1" applyAlignment="1">
      <alignment horizontal="left" vertical="center" wrapText="1"/>
    </xf>
    <xf numFmtId="1" fontId="58" fillId="12" borderId="73"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4" fillId="0" borderId="0" xfId="0" applyFont="1"/>
    <xf numFmtId="0" fontId="23" fillId="24" borderId="0" xfId="0" quotePrefix="1" applyNumberFormat="1" applyFont="1" applyFill="1" applyAlignment="1">
      <alignment horizontal="left"/>
    </xf>
    <xf numFmtId="3" fontId="53" fillId="12" borderId="53"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73" xfId="0" applyNumberFormat="1" applyFont="1" applyFill="1" applyBorder="1" applyAlignment="1">
      <alignment horizontal="center" vertical="center" wrapText="1"/>
    </xf>
    <xf numFmtId="1" fontId="59" fillId="18" borderId="53" xfId="0" applyNumberFormat="1" applyFont="1" applyFill="1" applyBorder="1" applyAlignment="1">
      <alignment vertical="center"/>
    </xf>
    <xf numFmtId="1" fontId="53" fillId="12" borderId="71" xfId="0" applyNumberFormat="1" applyFont="1" applyFill="1" applyBorder="1" applyAlignment="1">
      <alignment vertical="center"/>
    </xf>
    <xf numFmtId="1" fontId="61" fillId="0" borderId="14" xfId="0" applyNumberFormat="1" applyFont="1" applyFill="1" applyBorder="1" applyAlignment="1"/>
    <xf numFmtId="1" fontId="58" fillId="12" borderId="87"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80" xfId="0" applyNumberFormat="1" applyFont="1" applyFill="1" applyBorder="1" applyAlignment="1"/>
    <xf numFmtId="1" fontId="61" fillId="0" borderId="92" xfId="0" applyNumberFormat="1" applyFont="1" applyFill="1" applyBorder="1" applyAlignment="1">
      <alignment vertical="center"/>
    </xf>
    <xf numFmtId="1" fontId="61" fillId="0" borderId="92" xfId="0" applyNumberFormat="1" applyFont="1" applyFill="1" applyBorder="1" applyAlignment="1">
      <alignment vertical="center" wrapText="1"/>
    </xf>
    <xf numFmtId="1" fontId="59" fillId="18" borderId="103" xfId="0" applyNumberFormat="1" applyFont="1" applyFill="1" applyBorder="1" applyAlignment="1">
      <alignment vertical="center"/>
    </xf>
    <xf numFmtId="1" fontId="61" fillId="19" borderId="75"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74"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97" xfId="0" applyNumberFormat="1" applyFont="1" applyFill="1" applyBorder="1" applyAlignment="1">
      <alignment vertical="center"/>
    </xf>
    <xf numFmtId="1" fontId="61" fillId="0" borderId="55" xfId="0" applyNumberFormat="1" applyFont="1" applyFill="1" applyBorder="1" applyAlignment="1">
      <alignment vertical="center"/>
    </xf>
    <xf numFmtId="1" fontId="61" fillId="0" borderId="176" xfId="0" applyNumberFormat="1" applyFont="1" applyFill="1" applyBorder="1" applyAlignment="1">
      <alignment vertical="center"/>
    </xf>
    <xf numFmtId="1" fontId="53" fillId="12" borderId="57"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2" xfId="0" applyNumberFormat="1" applyFont="1" applyFill="1" applyBorder="1" applyAlignment="1"/>
    <xf numFmtId="1" fontId="58" fillId="12" borderId="19" xfId="0" applyNumberFormat="1" applyFont="1" applyFill="1" applyBorder="1" applyAlignment="1"/>
    <xf numFmtId="1" fontId="59" fillId="18" borderId="52" xfId="0" applyNumberFormat="1" applyFont="1" applyFill="1" applyBorder="1" applyAlignment="1">
      <alignment vertical="center"/>
    </xf>
    <xf numFmtId="1" fontId="61" fillId="0" borderId="66" xfId="0" applyNumberFormat="1" applyFont="1" applyFill="1" applyBorder="1" applyAlignment="1"/>
    <xf numFmtId="1" fontId="61" fillId="20" borderId="82" xfId="0" applyNumberFormat="1" applyFont="1" applyFill="1" applyBorder="1" applyAlignment="1">
      <alignment vertical="center"/>
    </xf>
    <xf numFmtId="1" fontId="61" fillId="0" borderId="82" xfId="0" applyNumberFormat="1" applyFont="1" applyFill="1" applyBorder="1" applyAlignment="1">
      <alignment vertical="center"/>
    </xf>
    <xf numFmtId="1" fontId="58" fillId="0" borderId="25" xfId="0" applyNumberFormat="1" applyFont="1" applyBorder="1" applyAlignment="1">
      <alignment wrapText="1"/>
    </xf>
    <xf numFmtId="1" fontId="61" fillId="0" borderId="177" xfId="0" applyNumberFormat="1" applyFont="1" applyFill="1" applyBorder="1" applyAlignment="1"/>
    <xf numFmtId="1" fontId="61" fillId="0" borderId="177" xfId="0" applyNumberFormat="1" applyFont="1" applyFill="1" applyBorder="1" applyAlignment="1">
      <alignment vertical="center" wrapText="1"/>
    </xf>
    <xf numFmtId="1" fontId="61" fillId="0" borderId="94" xfId="0" applyNumberFormat="1" applyFont="1" applyFill="1" applyBorder="1" applyAlignment="1">
      <alignment vertical="center"/>
    </xf>
    <xf numFmtId="1" fontId="59" fillId="18" borderId="158" xfId="0" applyNumberFormat="1" applyFont="1" applyFill="1" applyBorder="1" applyAlignment="1"/>
    <xf numFmtId="1" fontId="59" fillId="18" borderId="178" xfId="0" applyNumberFormat="1" applyFont="1" applyFill="1" applyBorder="1" applyAlignment="1"/>
    <xf numFmtId="1" fontId="59" fillId="18" borderId="102" xfId="0" applyNumberFormat="1" applyFont="1" applyFill="1" applyBorder="1" applyAlignment="1">
      <alignment vertical="center"/>
    </xf>
    <xf numFmtId="1" fontId="61" fillId="0" borderId="179" xfId="0" applyNumberFormat="1" applyFont="1" applyFill="1" applyBorder="1" applyAlignment="1"/>
    <xf numFmtId="1" fontId="58" fillId="12" borderId="16" xfId="0" applyNumberFormat="1" applyFont="1" applyFill="1" applyBorder="1" applyAlignment="1"/>
    <xf numFmtId="1" fontId="61" fillId="0" borderId="95" xfId="0" applyNumberFormat="1" applyFont="1" applyFill="1" applyBorder="1" applyAlignment="1"/>
    <xf numFmtId="1" fontId="61" fillId="0" borderId="180" xfId="0" applyNumberFormat="1" applyFont="1" applyFill="1" applyBorder="1" applyAlignment="1">
      <alignment vertical="center"/>
    </xf>
    <xf numFmtId="1" fontId="65" fillId="0" borderId="48" xfId="0" applyNumberFormat="1" applyFont="1" applyFill="1" applyBorder="1" applyAlignment="1" applyProtection="1">
      <protection locked="0"/>
    </xf>
    <xf numFmtId="1" fontId="65" fillId="0" borderId="62" xfId="0" applyNumberFormat="1" applyFont="1" applyFill="1" applyBorder="1" applyAlignment="1" applyProtection="1">
      <protection locked="0"/>
    </xf>
    <xf numFmtId="1" fontId="61" fillId="0" borderId="181" xfId="0" applyNumberFormat="1" applyFont="1" applyFill="1" applyBorder="1" applyAlignment="1"/>
    <xf numFmtId="1" fontId="61" fillId="20" borderId="46" xfId="0" applyNumberFormat="1" applyFont="1" applyFill="1" applyBorder="1" applyAlignment="1">
      <alignment vertical="center"/>
    </xf>
    <xf numFmtId="1" fontId="53" fillId="12" borderId="105" xfId="0" applyNumberFormat="1" applyFont="1" applyFill="1" applyBorder="1" applyAlignment="1"/>
    <xf numFmtId="1" fontId="53" fillId="12" borderId="106" xfId="0" applyNumberFormat="1" applyFont="1" applyFill="1" applyBorder="1" applyAlignment="1"/>
    <xf numFmtId="1" fontId="68" fillId="0" borderId="182" xfId="0" applyNumberFormat="1" applyFont="1" applyFill="1" applyBorder="1" applyAlignment="1">
      <alignment horizontal="center"/>
    </xf>
    <xf numFmtId="1" fontId="58"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7" xfId="0" applyNumberFormat="1" applyFont="1" applyFill="1" applyBorder="1" applyAlignment="1" applyProtection="1">
      <alignment horizontal="center" vertical="center"/>
      <protection locked="0"/>
    </xf>
    <xf numFmtId="1" fontId="61" fillId="19" borderId="44" xfId="0" applyNumberFormat="1" applyFont="1" applyFill="1" applyBorder="1" applyAlignment="1" applyProtection="1">
      <alignment horizontal="center" vertical="center"/>
      <protection locked="0"/>
    </xf>
    <xf numFmtId="1" fontId="61" fillId="19" borderId="4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176" xfId="0" applyNumberFormat="1" applyFont="1" applyFill="1" applyBorder="1" applyAlignment="1" applyProtection="1">
      <alignment horizontal="center" vertical="center"/>
      <protection locked="0"/>
    </xf>
    <xf numFmtId="1" fontId="58" fillId="0" borderId="183" xfId="0" applyNumberFormat="1" applyFont="1" applyFill="1" applyBorder="1" applyAlignment="1" applyProtection="1">
      <alignment horizontal="center" vertical="center"/>
      <protection locked="0"/>
    </xf>
    <xf numFmtId="1" fontId="58" fillId="0" borderId="55" xfId="0" applyNumberFormat="1" applyFont="1" applyFill="1" applyBorder="1" applyAlignment="1" applyProtection="1">
      <alignment horizontal="center" vertical="center"/>
      <protection locked="0"/>
    </xf>
    <xf numFmtId="1" fontId="58" fillId="0" borderId="85" xfId="0" applyNumberFormat="1" applyFont="1" applyFill="1" applyBorder="1" applyAlignment="1" applyProtection="1">
      <alignment horizontal="center" vertical="center"/>
      <protection locked="0"/>
    </xf>
    <xf numFmtId="1" fontId="58" fillId="0" borderId="101"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84" xfId="0" applyNumberFormat="1" applyFont="1" applyFill="1" applyBorder="1" applyAlignment="1">
      <alignment horizontal="center" vertical="center" wrapText="1"/>
    </xf>
    <xf numFmtId="1" fontId="58"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8" fillId="0" borderId="186" xfId="0" applyNumberFormat="1" applyFont="1" applyFill="1" applyBorder="1" applyAlignment="1" applyProtection="1">
      <alignment horizontal="center" vertical="center"/>
      <protection locked="0"/>
    </xf>
    <xf numFmtId="1" fontId="58" fillId="19" borderId="58"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2"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4" xfId="0" applyNumberFormat="1" applyFont="1" applyFill="1" applyBorder="1" applyAlignment="1">
      <alignment horizontal="center" vertical="center"/>
    </xf>
    <xf numFmtId="172" fontId="72"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2" fillId="0" borderId="0" xfId="148" quotePrefix="1" applyAlignment="1" applyProtection="1"/>
    <xf numFmtId="172" fontId="72" fillId="0" borderId="0" xfId="148" applyAlignment="1" applyProtection="1"/>
    <xf numFmtId="3" fontId="0" fillId="0" borderId="0" xfId="0" applyNumberFormat="1" applyFont="1" applyBorder="1" applyAlignment="1">
      <alignment horizontal="left"/>
    </xf>
    <xf numFmtId="2" fontId="80" fillId="0" borderId="0" xfId="0" applyNumberFormat="1" applyFont="1" applyFill="1"/>
    <xf numFmtId="14" fontId="0" fillId="0" borderId="0" xfId="0" applyNumberFormat="1" applyFill="1"/>
    <xf numFmtId="14" fontId="72" fillId="0" borderId="0" xfId="148" applyNumberFormat="1" applyFill="1" applyAlignment="1" applyProtection="1"/>
    <xf numFmtId="14" fontId="72"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5" fillId="23" borderId="196" xfId="1" applyFont="1" applyFill="1" applyBorder="1"/>
    <xf numFmtId="172" fontId="45" fillId="23" borderId="197" xfId="1" applyFont="1" applyFill="1" applyBorder="1"/>
    <xf numFmtId="172" fontId="23" fillId="23" borderId="197" xfId="0" applyFont="1" applyFill="1" applyBorder="1"/>
    <xf numFmtId="172" fontId="23"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4"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4" xfId="0" applyFont="1" applyFill="1" applyBorder="1"/>
    <xf numFmtId="9" fontId="114"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94" xfId="0" applyNumberFormat="1" applyFont="1" applyFill="1" applyBorder="1" applyAlignment="1">
      <alignment horizontal="center"/>
    </xf>
    <xf numFmtId="172" fontId="23" fillId="0" borderId="0" xfId="0" applyFont="1" applyBorder="1"/>
    <xf numFmtId="177" fontId="0" fillId="0" borderId="0" xfId="0" applyNumberFormat="1" applyBorder="1"/>
    <xf numFmtId="172" fontId="72" fillId="0" borderId="0" xfId="148" applyBorder="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5" fillId="12" borderId="87"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3"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75" xfId="0" applyNumberFormat="1" applyFont="1" applyFill="1" applyBorder="1" applyAlignment="1">
      <alignment horizontal="center" vertical="center" wrapText="1"/>
    </xf>
    <xf numFmtId="3" fontId="53" fillId="12" borderId="105" xfId="0" applyNumberFormat="1" applyFont="1" applyFill="1" applyBorder="1" applyAlignment="1">
      <alignment horizontal="center" vertical="top" wrapText="1"/>
    </xf>
    <xf numFmtId="3" fontId="53" fillId="12" borderId="106" xfId="0" applyNumberFormat="1" applyFont="1" applyFill="1" applyBorder="1" applyAlignment="1">
      <alignment horizontal="center" vertical="top" wrapText="1"/>
    </xf>
    <xf numFmtId="3" fontId="53" fillId="12" borderId="76"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9" xfId="0" applyNumberFormat="1" applyFont="1" applyFill="1" applyBorder="1" applyAlignment="1">
      <alignment horizontal="center" vertical="center" wrapText="1"/>
    </xf>
    <xf numFmtId="3" fontId="58" fillId="12" borderId="160"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3" xfId="0" applyNumberFormat="1" applyFont="1" applyFill="1" applyBorder="1" applyAlignment="1">
      <alignment horizontal="center" vertical="center"/>
    </xf>
    <xf numFmtId="1" fontId="28"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7"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8" fillId="21" borderId="57"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7"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8" fillId="12" borderId="31"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2"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72"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73"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8" fillId="12" borderId="64"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7"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58" fillId="12" borderId="6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70" fillId="12" borderId="77"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7"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94"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2" fontId="42" fillId="21" borderId="80" xfId="0" applyNumberFormat="1" applyFont="1" applyFill="1" applyBorder="1" applyAlignment="1" applyProtection="1">
      <alignment horizontal="right" vertical="center"/>
    </xf>
    <xf numFmtId="2" fontId="42" fillId="21" borderId="21" xfId="0" applyNumberFormat="1" applyFont="1" applyFill="1" applyBorder="1" applyAlignment="1" applyProtection="1">
      <alignment horizontal="right" vertical="center"/>
    </xf>
    <xf numFmtId="2" fontId="42" fillId="21" borderId="84" xfId="0" applyNumberFormat="1" applyFont="1" applyFill="1" applyBorder="1" applyAlignment="1" applyProtection="1">
      <alignment horizontal="right" vertical="center"/>
    </xf>
    <xf numFmtId="2" fontId="42" fillId="21" borderId="29" xfId="0" applyNumberFormat="1" applyFont="1" applyFill="1" applyBorder="1" applyAlignment="1" applyProtection="1">
      <alignment horizontal="right" vertical="center"/>
    </xf>
    <xf numFmtId="2" fontId="42" fillId="21" borderId="67" xfId="0" applyNumberFormat="1" applyFont="1" applyFill="1" applyBorder="1" applyAlignment="1" applyProtection="1">
      <alignment horizontal="right" vertical="center"/>
    </xf>
    <xf numFmtId="2" fontId="42" fillId="21" borderId="68"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2" fontId="42" fillId="21" borderId="0" xfId="0" applyNumberFormat="1" applyFont="1" applyFill="1" applyBorder="1" applyAlignment="1" applyProtection="1">
      <alignment horizontal="right" vertical="center"/>
    </xf>
    <xf numFmtId="2" fontId="42" fillId="21" borderId="12" xfId="0" applyNumberFormat="1" applyFont="1" applyFill="1" applyBorder="1" applyAlignment="1" applyProtection="1">
      <alignment horizontal="right" vertical="center"/>
    </xf>
    <xf numFmtId="2" fontId="38" fillId="21" borderId="57" xfId="0" applyNumberFormat="1" applyFont="1" applyFill="1" applyBorder="1" applyAlignment="1" applyProtection="1">
      <alignment horizontal="right" vertical="center" wrapText="1"/>
    </xf>
    <xf numFmtId="2" fontId="38" fillId="21" borderId="0" xfId="0" applyNumberFormat="1" applyFont="1" applyFill="1" applyBorder="1" applyAlignment="1" applyProtection="1">
      <alignment horizontal="right" vertical="center" wrapText="1"/>
    </xf>
    <xf numFmtId="2" fontId="38" fillId="21" borderId="12" xfId="0" applyNumberFormat="1" applyFont="1" applyFill="1" applyBorder="1" applyAlignment="1" applyProtection="1">
      <alignment horizontal="right" vertical="center" wrapText="1"/>
    </xf>
    <xf numFmtId="2" fontId="42" fillId="21" borderId="79" xfId="0" applyNumberFormat="1" applyFont="1" applyFill="1" applyBorder="1" applyAlignment="1" applyProtection="1">
      <alignment horizontal="right" vertical="center"/>
    </xf>
    <xf numFmtId="2" fontId="42" fillId="21" borderId="81" xfId="0" applyNumberFormat="1" applyFont="1" applyFill="1" applyBorder="1" applyAlignment="1" applyProtection="1">
      <alignment horizontal="right" vertical="center"/>
    </xf>
    <xf numFmtId="2" fontId="42" fillId="21" borderId="83" xfId="0" applyNumberFormat="1" applyFont="1" applyFill="1" applyBorder="1" applyAlignment="1" applyProtection="1">
      <alignment horizontal="right" vertical="center"/>
    </xf>
    <xf numFmtId="0" fontId="38" fillId="12" borderId="64" xfId="0" applyNumberFormat="1" applyFont="1" applyFill="1" applyBorder="1" applyAlignment="1" applyProtection="1">
      <alignment horizontal="center" vertical="center" wrapText="1"/>
    </xf>
    <xf numFmtId="0" fontId="38" fillId="12" borderId="7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73" xfId="0" applyNumberFormat="1" applyFont="1" applyFill="1" applyBorder="1" applyAlignment="1" applyProtection="1">
      <alignment horizontal="center" vertical="center" wrapText="1"/>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7" fillId="12" borderId="70" xfId="0" applyNumberFormat="1" applyFont="1" applyFill="1" applyBorder="1" applyAlignment="1" applyProtection="1">
      <alignment horizontal="center" vertical="center"/>
    </xf>
    <xf numFmtId="0" fontId="37" fillId="12" borderId="71" xfId="0" applyNumberFormat="1" applyFont="1" applyFill="1" applyBorder="1" applyAlignment="1" applyProtection="1">
      <alignment horizontal="center" vertical="center"/>
    </xf>
    <xf numFmtId="0" fontId="37" fillId="12" borderId="72" xfId="0" applyNumberFormat="1"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2"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wrapText="1"/>
    </xf>
    <xf numFmtId="0" fontId="38" fillId="12" borderId="61"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right" vertical="center"/>
    </xf>
    <xf numFmtId="2" fontId="42" fillId="21" borderId="45" xfId="0" applyNumberFormat="1" applyFont="1" applyFill="1" applyBorder="1" applyAlignment="1" applyProtection="1">
      <alignment horizontal="right" vertical="center"/>
    </xf>
    <xf numFmtId="2" fontId="42" fillId="21" borderId="34" xfId="0" applyNumberFormat="1" applyFont="1" applyFill="1" applyBorder="1" applyAlignment="1" applyProtection="1">
      <alignment horizontal="right" vertical="center"/>
    </xf>
    <xf numFmtId="2" fontId="42" fillId="21" borderId="33" xfId="0" applyNumberFormat="1"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wrapText="1"/>
    </xf>
    <xf numFmtId="0" fontId="38" fillId="12" borderId="67" xfId="0" applyNumberFormat="1"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7"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60" xfId="0" applyNumberFormat="1" applyFont="1" applyFill="1" applyBorder="1" applyAlignment="1" applyProtection="1">
      <alignment horizontal="center" vertical="center" wrapText="1"/>
    </xf>
    <xf numFmtId="0" fontId="38" fillId="12" borderId="7"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44" fillId="12" borderId="77" xfId="0" applyNumberFormat="1" applyFont="1" applyFill="1" applyBorder="1" applyAlignment="1" applyProtection="1">
      <alignment horizontal="center" vertical="center" wrapText="1"/>
    </xf>
    <xf numFmtId="172" fontId="38" fillId="19" borderId="158"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82"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172" fontId="38" fillId="19" borderId="98"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42" fillId="0" borderId="67"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9" xfId="0" applyFont="1" applyFill="1" applyBorder="1" applyAlignment="1" applyProtection="1">
      <alignment horizontal="center"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5" xfId="0" applyFont="1" applyFill="1" applyBorder="1" applyAlignment="1" applyProtection="1">
      <alignment horizontal="right" vertical="center"/>
    </xf>
    <xf numFmtId="172" fontId="38" fillId="19" borderId="101"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0" fontId="45" fillId="23" borderId="126" xfId="221" applyFont="1" applyFill="1" applyBorder="1"/>
    <xf numFmtId="0" fontId="45" fillId="23" borderId="134" xfId="221" applyFont="1" applyFill="1" applyBorder="1"/>
    <xf numFmtId="0" fontId="84" fillId="0" borderId="0" xfId="220" applyFont="1" applyBorder="1"/>
    <xf numFmtId="0" fontId="85" fillId="0" borderId="0" xfId="204" applyFont="1" applyBorder="1"/>
    <xf numFmtId="0" fontId="90" fillId="23" borderId="103" xfId="220" applyFont="1" applyFill="1" applyBorder="1"/>
    <xf numFmtId="0" fontId="45" fillId="23" borderId="125" xfId="221" applyFont="1" applyFill="1" applyBorder="1"/>
    <xf numFmtId="0" fontId="45" fillId="23" borderId="126" xfId="221" applyFont="1" applyFill="1" applyBorder="1" applyAlignment="1">
      <alignment horizontal="left"/>
    </xf>
    <xf numFmtId="0" fontId="23" fillId="0" borderId="114" xfId="222" applyFont="1" applyBorder="1"/>
    <xf numFmtId="0" fontId="45" fillId="23" borderId="127" xfId="221" applyFont="1" applyFill="1" applyBorder="1"/>
    <xf numFmtId="0" fontId="45" fillId="23" borderId="128" xfId="221" applyFont="1" applyFill="1" applyBorder="1"/>
    <xf numFmtId="0" fontId="45" fillId="23" borderId="129" xfId="221" applyFont="1" applyFill="1" applyBorder="1"/>
    <xf numFmtId="0" fontId="23" fillId="0" borderId="0" xfId="222" applyFont="1"/>
    <xf numFmtId="0" fontId="23" fillId="0" borderId="0" xfId="222" applyFont="1" applyBorder="1"/>
    <xf numFmtId="0" fontId="45" fillId="23" borderId="130" xfId="222" applyFont="1" applyFill="1" applyBorder="1"/>
    <xf numFmtId="0" fontId="45" fillId="23" borderId="120" xfId="222" applyFont="1" applyFill="1" applyBorder="1"/>
    <xf numFmtId="0" fontId="45" fillId="23" borderId="131" xfId="222" applyFont="1" applyFill="1" applyBorder="1"/>
    <xf numFmtId="0" fontId="45" fillId="23" borderId="127" xfId="222" applyFont="1" applyFill="1" applyBorder="1"/>
    <xf numFmtId="0" fontId="45" fillId="23" borderId="128" xfId="222" applyFont="1" applyFill="1" applyBorder="1"/>
    <xf numFmtId="0" fontId="45" fillId="23" borderId="129" xfId="222" applyFont="1" applyFill="1" applyBorder="1"/>
    <xf numFmtId="0" fontId="90" fillId="23" borderId="21" xfId="220" applyFont="1" applyFill="1" applyBorder="1"/>
    <xf numFmtId="0" fontId="45" fillId="23" borderId="128" xfId="265" applyNumberFormat="1" applyFont="1" applyFill="1" applyBorder="1" applyAlignment="1">
      <alignment horizontal="left"/>
    </xf>
    <xf numFmtId="0" fontId="45" fillId="23" borderId="128" xfId="221" applyFont="1" applyFill="1" applyBorder="1" applyAlignment="1">
      <alignment horizontal="left"/>
    </xf>
    <xf numFmtId="0" fontId="4" fillId="0" borderId="0" xfId="217" applyNumberFormat="1"/>
    <xf numFmtId="0" fontId="81" fillId="0" borderId="0" xfId="222" applyFont="1"/>
    <xf numFmtId="0" fontId="23" fillId="23" borderId="53" xfId="222" applyFont="1" applyFill="1" applyBorder="1"/>
    <xf numFmtId="0" fontId="3" fillId="0" borderId="0" xfId="222"/>
    <xf numFmtId="1" fontId="0" fillId="0" borderId="0" xfId="0" applyNumberFormat="1"/>
    <xf numFmtId="0" fontId="23" fillId="0" borderId="199" xfId="222" applyFont="1" applyBorder="1"/>
    <xf numFmtId="0" fontId="0" fillId="0" borderId="199"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830</v>
      </c>
      <c r="B4" s="107"/>
      <c r="C4" s="108"/>
    </row>
    <row r="5" spans="1:7" s="395" customFormat="1" ht="15.75" customHeight="1">
      <c r="A5" s="392" t="s">
        <v>0</v>
      </c>
      <c r="B5" s="393"/>
      <c r="C5" s="394"/>
    </row>
    <row r="6" spans="1:7" s="395" customFormat="1" ht="15" customHeight="1">
      <c r="A6" s="396" t="str">
        <f>txtNIS</f>
        <v>42010</v>
      </c>
      <c r="B6" s="397"/>
      <c r="C6" s="398"/>
    </row>
    <row r="7" spans="1:7" s="395" customFormat="1" ht="15.75" customHeight="1">
      <c r="A7" s="399" t="str">
        <f>txtMunicipality</f>
        <v>LAARNE</v>
      </c>
      <c r="B7" s="397"/>
      <c r="C7" s="398"/>
    </row>
    <row r="8" spans="1:7" ht="15.75" thickBot="1">
      <c r="A8" s="46"/>
      <c r="B8" s="109"/>
      <c r="C8" s="110"/>
    </row>
    <row r="9" spans="1:7" s="388" customFormat="1" ht="15.75" thickBot="1">
      <c r="A9" s="412" t="s">
        <v>357</v>
      </c>
      <c r="B9" s="415"/>
      <c r="C9" s="416"/>
    </row>
    <row r="10" spans="1:7" s="16" customFormat="1" ht="57.75" customHeight="1" thickBot="1">
      <c r="A10" s="998" t="s">
        <v>686</v>
      </c>
      <c r="B10" s="999"/>
      <c r="C10" s="1000"/>
    </row>
    <row r="11" spans="1:7" s="389" customFormat="1" ht="15.75" thickBot="1">
      <c r="A11" s="412" t="s">
        <v>360</v>
      </c>
      <c r="B11" s="415"/>
      <c r="C11" s="416"/>
      <c r="G11" s="390"/>
    </row>
    <row r="12" spans="1:7">
      <c r="A12" s="45"/>
      <c r="B12" s="44"/>
      <c r="C12" s="97"/>
    </row>
    <row r="13" spans="1:7" s="389" customFormat="1">
      <c r="A13" s="818"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01" t="s">
        <v>538</v>
      </c>
      <c r="C16" s="1002"/>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842"/>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5"/>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6" customWidth="1"/>
    <col min="2" max="2" width="11.85546875" style="456"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29.42578125" style="63" bestFit="1" customWidth="1"/>
    <col min="13" max="13" width="22.140625" style="63" customWidth="1"/>
    <col min="14" max="14" width="12.42578125" style="63" bestFit="1" customWidth="1"/>
    <col min="15" max="16" width="16.7109375" style="63" bestFit="1" customWidth="1"/>
    <col min="17" max="17" width="11.28515625" style="63" bestFit="1" customWidth="1"/>
    <col min="18" max="18" width="17.28515625" style="63" customWidth="1"/>
    <col min="19" max="19" width="9.140625" style="63"/>
    <col min="20" max="16384" width="9.140625" style="456"/>
  </cols>
  <sheetData>
    <row r="2" spans="1:19" ht="15.75">
      <c r="A2" s="1003" t="s">
        <v>221</v>
      </c>
      <c r="B2" s="1003"/>
      <c r="C2" s="1003"/>
      <c r="D2" s="60"/>
      <c r="E2" s="60"/>
      <c r="F2" s="60"/>
      <c r="G2" s="60"/>
      <c r="H2" s="61"/>
      <c r="I2" s="61"/>
      <c r="J2" s="62"/>
      <c r="K2" s="62"/>
      <c r="L2" s="61"/>
      <c r="M2" s="61"/>
      <c r="N2" s="61"/>
      <c r="O2" s="61"/>
      <c r="P2" s="61"/>
      <c r="Q2" s="61"/>
      <c r="R2" s="61"/>
    </row>
    <row r="3" spans="1:19">
      <c r="A3" s="1004"/>
      <c r="B3" s="1004"/>
      <c r="C3" s="1004"/>
      <c r="D3" s="1004"/>
      <c r="E3" s="1004"/>
      <c r="F3" s="1004"/>
      <c r="G3" s="1004"/>
      <c r="H3" s="1004"/>
      <c r="I3" s="1004"/>
      <c r="J3" s="1004"/>
      <c r="K3" s="1004"/>
      <c r="L3" s="1004"/>
      <c r="M3" s="1004"/>
      <c r="N3" s="1004"/>
      <c r="O3" s="1004"/>
      <c r="P3" s="1004"/>
      <c r="Q3" s="1004"/>
      <c r="R3" s="1004"/>
    </row>
    <row r="4" spans="1:19" ht="15.75" thickBot="1">
      <c r="A4" s="457"/>
      <c r="B4" s="457"/>
      <c r="C4" s="64"/>
      <c r="D4" s="64"/>
      <c r="E4" s="64"/>
      <c r="F4" s="64"/>
      <c r="G4" s="64"/>
      <c r="H4" s="64"/>
      <c r="I4" s="64"/>
      <c r="J4" s="64"/>
      <c r="K4" s="64"/>
      <c r="L4" s="64"/>
      <c r="M4" s="64"/>
      <c r="N4" s="64"/>
      <c r="O4" s="64"/>
      <c r="P4" s="64"/>
      <c r="Q4" s="64"/>
      <c r="R4" s="64"/>
    </row>
    <row r="5" spans="1:19" ht="16.5" thickBot="1">
      <c r="A5" s="1005" t="s">
        <v>222</v>
      </c>
      <c r="B5" s="849"/>
      <c r="C5" s="1008" t="s">
        <v>343</v>
      </c>
      <c r="D5" s="1009"/>
      <c r="E5" s="1009"/>
      <c r="F5" s="1009"/>
      <c r="G5" s="1009"/>
      <c r="H5" s="1009"/>
      <c r="I5" s="1009"/>
      <c r="J5" s="1009"/>
      <c r="K5" s="1009"/>
      <c r="L5" s="1009"/>
      <c r="M5" s="1009"/>
      <c r="N5" s="1009"/>
      <c r="O5" s="1009"/>
      <c r="P5" s="1009"/>
      <c r="Q5" s="1009"/>
      <c r="R5" s="1010"/>
    </row>
    <row r="6" spans="1:19" ht="16.5" thickTop="1">
      <c r="A6" s="1006"/>
      <c r="B6" s="850"/>
      <c r="C6" s="1011" t="s">
        <v>21</v>
      </c>
      <c r="D6" s="1013" t="s">
        <v>196</v>
      </c>
      <c r="E6" s="1015" t="s">
        <v>197</v>
      </c>
      <c r="F6" s="1016"/>
      <c r="G6" s="1016"/>
      <c r="H6" s="1016"/>
      <c r="I6" s="1016"/>
      <c r="J6" s="1016"/>
      <c r="K6" s="1016"/>
      <c r="L6" s="1017"/>
      <c r="M6" s="1015" t="s">
        <v>198</v>
      </c>
      <c r="N6" s="1016"/>
      <c r="O6" s="1016"/>
      <c r="P6" s="1016"/>
      <c r="Q6" s="1016"/>
      <c r="R6" s="1018" t="s">
        <v>116</v>
      </c>
    </row>
    <row r="7" spans="1:19" ht="45.75" thickBot="1">
      <c r="A7" s="1007"/>
      <c r="B7" s="851"/>
      <c r="C7" s="1012"/>
      <c r="D7" s="1014"/>
      <c r="E7" s="453" t="s">
        <v>199</v>
      </c>
      <c r="F7" s="453" t="s">
        <v>200</v>
      </c>
      <c r="G7" s="65" t="s">
        <v>201</v>
      </c>
      <c r="H7" s="453" t="s">
        <v>202</v>
      </c>
      <c r="I7" s="453" t="s">
        <v>120</v>
      </c>
      <c r="J7" s="453" t="s">
        <v>203</v>
      </c>
      <c r="K7" s="454" t="s">
        <v>204</v>
      </c>
      <c r="L7" s="454" t="s">
        <v>205</v>
      </c>
      <c r="M7" s="65" t="s">
        <v>206</v>
      </c>
      <c r="N7" s="66" t="s">
        <v>207</v>
      </c>
      <c r="O7" s="66" t="s">
        <v>208</v>
      </c>
      <c r="P7" s="66" t="s">
        <v>209</v>
      </c>
      <c r="Q7" s="67" t="s">
        <v>210</v>
      </c>
      <c r="R7" s="1019"/>
    </row>
    <row r="8" spans="1:19" ht="18.75" customHeight="1" thickTop="1">
      <c r="A8" s="858" t="s">
        <v>344</v>
      </c>
      <c r="B8" s="863"/>
      <c r="C8" s="1020"/>
      <c r="D8" s="1020"/>
      <c r="E8" s="1020"/>
      <c r="F8" s="1020"/>
      <c r="G8" s="1020"/>
      <c r="H8" s="1020"/>
      <c r="I8" s="1020"/>
      <c r="J8" s="1020"/>
      <c r="K8" s="1020"/>
      <c r="L8" s="1020"/>
      <c r="M8" s="1020"/>
      <c r="N8" s="1020"/>
      <c r="O8" s="1020"/>
      <c r="P8" s="1020"/>
      <c r="Q8" s="1020"/>
      <c r="R8" s="310"/>
    </row>
    <row r="9" spans="1:19" s="458" customFormat="1">
      <c r="A9" s="859" t="s">
        <v>223</v>
      </c>
      <c r="B9" s="864"/>
      <c r="C9" s="703">
        <f>'Eigen gebouwen'!B15</f>
        <v>0</v>
      </c>
      <c r="D9" s="703">
        <f>'Eigen gebouwen'!C15</f>
        <v>0</v>
      </c>
      <c r="E9" s="703">
        <f>'Eigen gebouwen'!D15</f>
        <v>0</v>
      </c>
      <c r="F9" s="703">
        <f>'Eigen gebouwen'!E15</f>
        <v>0</v>
      </c>
      <c r="G9" s="703">
        <f>'Eigen gebouwen'!F15</f>
        <v>0</v>
      </c>
      <c r="H9" s="703">
        <f>'Eigen gebouwen'!G15</f>
        <v>0</v>
      </c>
      <c r="I9" s="703">
        <f>'Eigen gebouwen'!H15</f>
        <v>0</v>
      </c>
      <c r="J9" s="703">
        <f>'Eigen gebouwen'!I15</f>
        <v>0</v>
      </c>
      <c r="K9" s="703">
        <f>'Eigen gebouwen'!J15</f>
        <v>0</v>
      </c>
      <c r="L9" s="703">
        <f>'Eigen gebouwen'!K15</f>
        <v>0</v>
      </c>
      <c r="M9" s="703">
        <f>'Eigen gebouwen'!L15</f>
        <v>0</v>
      </c>
      <c r="N9" s="703">
        <f>'Eigen gebouwen'!M15</f>
        <v>0</v>
      </c>
      <c r="O9" s="703">
        <f>'Eigen gebouwen'!N15</f>
        <v>0</v>
      </c>
      <c r="P9" s="703">
        <f>'Eigen gebouwen'!O15</f>
        <v>0</v>
      </c>
      <c r="Q9" s="704">
        <f>'Eigen gebouwen'!P15</f>
        <v>0</v>
      </c>
      <c r="R9" s="705">
        <f>SUM(C9:Q9)</f>
        <v>0</v>
      </c>
      <c r="S9" s="68"/>
    </row>
    <row r="10" spans="1:19" s="458" customFormat="1">
      <c r="A10" s="860" t="s">
        <v>224</v>
      </c>
      <c r="B10" s="865"/>
      <c r="C10" s="703">
        <f ca="1">tertiair!B16+'openbare verlichting'!B8</f>
        <v>11657.599446776821</v>
      </c>
      <c r="D10" s="703">
        <f ca="1">tertiair!C16</f>
        <v>0</v>
      </c>
      <c r="E10" s="703">
        <f ca="1">tertiair!D16</f>
        <v>10700.562910450002</v>
      </c>
      <c r="F10" s="703">
        <f>tertiair!E16</f>
        <v>115.8607042949149</v>
      </c>
      <c r="G10" s="703">
        <f ca="1">tertiair!F16</f>
        <v>2119.3937098304359</v>
      </c>
      <c r="H10" s="703">
        <f>tertiair!G16</f>
        <v>0</v>
      </c>
      <c r="I10" s="703">
        <f>tertiair!H16</f>
        <v>0</v>
      </c>
      <c r="J10" s="703">
        <f>tertiair!I16</f>
        <v>0</v>
      </c>
      <c r="K10" s="703">
        <f>tertiair!J16</f>
        <v>0</v>
      </c>
      <c r="L10" s="703">
        <f>tertiair!K16</f>
        <v>0</v>
      </c>
      <c r="M10" s="703">
        <f ca="1">tertiair!L16</f>
        <v>0</v>
      </c>
      <c r="N10" s="703">
        <f>tertiair!M16</f>
        <v>0</v>
      </c>
      <c r="O10" s="703">
        <f ca="1">tertiair!N16</f>
        <v>612.37116672037303</v>
      </c>
      <c r="P10" s="703">
        <f>tertiair!O16</f>
        <v>0</v>
      </c>
      <c r="Q10" s="704">
        <f>tertiair!P16</f>
        <v>0</v>
      </c>
      <c r="R10" s="706">
        <f ca="1">SUM(C10:Q10)</f>
        <v>25205.787938072546</v>
      </c>
      <c r="S10" s="68"/>
    </row>
    <row r="11" spans="1:19" s="458" customFormat="1">
      <c r="A11" s="859" t="s">
        <v>225</v>
      </c>
      <c r="B11" s="864"/>
      <c r="C11" s="703">
        <f>huishoudens!B8</f>
        <v>27636.950254420284</v>
      </c>
      <c r="D11" s="703">
        <f>huishoudens!C8</f>
        <v>0</v>
      </c>
      <c r="E11" s="703">
        <f>huishoudens!D8</f>
        <v>38441.581042886341</v>
      </c>
      <c r="F11" s="703">
        <f>huishoudens!E8</f>
        <v>2769.8588743846649</v>
      </c>
      <c r="G11" s="703">
        <f>huishoudens!F8</f>
        <v>16753.239796614991</v>
      </c>
      <c r="H11" s="703">
        <f>huishoudens!G8</f>
        <v>0</v>
      </c>
      <c r="I11" s="703">
        <f>huishoudens!H8</f>
        <v>0</v>
      </c>
      <c r="J11" s="703">
        <f>huishoudens!I8</f>
        <v>0</v>
      </c>
      <c r="K11" s="703">
        <f>huishoudens!J8</f>
        <v>6920.4542275571612</v>
      </c>
      <c r="L11" s="703">
        <f>huishoudens!K8</f>
        <v>0</v>
      </c>
      <c r="M11" s="703">
        <f>huishoudens!L8</f>
        <v>0</v>
      </c>
      <c r="N11" s="703">
        <f>huishoudens!M8</f>
        <v>0</v>
      </c>
      <c r="O11" s="703">
        <f>huishoudens!N8</f>
        <v>10135.475189904499</v>
      </c>
      <c r="P11" s="703">
        <f>huishoudens!O8</f>
        <v>131.32000000000002</v>
      </c>
      <c r="Q11" s="704">
        <f>huishoudens!P8</f>
        <v>343.2</v>
      </c>
      <c r="R11" s="706">
        <f>SUM(C11:Q11)</f>
        <v>103132.07938576792</v>
      </c>
      <c r="S11" s="68"/>
    </row>
    <row r="12" spans="1:19" s="458" customFormat="1">
      <c r="A12" s="859" t="s">
        <v>515</v>
      </c>
      <c r="B12" s="864"/>
      <c r="C12" s="703">
        <f>'Eigen openbare verlichting'!B15</f>
        <v>0</v>
      </c>
      <c r="D12" s="703"/>
      <c r="E12" s="703"/>
      <c r="F12" s="703"/>
      <c r="G12" s="703"/>
      <c r="H12" s="703"/>
      <c r="I12" s="703"/>
      <c r="J12" s="703"/>
      <c r="K12" s="703"/>
      <c r="L12" s="703"/>
      <c r="M12" s="703"/>
      <c r="N12" s="703"/>
      <c r="O12" s="703"/>
      <c r="P12" s="703"/>
      <c r="Q12" s="703"/>
      <c r="R12" s="706">
        <f>SUM(C12:Q12)</f>
        <v>0</v>
      </c>
      <c r="S12" s="68"/>
    </row>
    <row r="13" spans="1:19" s="458" customFormat="1">
      <c r="A13" s="859" t="s">
        <v>689</v>
      </c>
      <c r="B13" s="869" t="s">
        <v>687</v>
      </c>
      <c r="C13" s="703">
        <f>industrie!B18</f>
        <v>3429.2314202139332</v>
      </c>
      <c r="D13" s="703">
        <f>industrie!C18</f>
        <v>0</v>
      </c>
      <c r="E13" s="703">
        <f>industrie!D18</f>
        <v>20977.64760766476</v>
      </c>
      <c r="F13" s="703">
        <f>industrie!E18</f>
        <v>26.927989832492933</v>
      </c>
      <c r="G13" s="703">
        <f>industrie!F18</f>
        <v>1500.5516846043472</v>
      </c>
      <c r="H13" s="703">
        <f>industrie!G18</f>
        <v>0</v>
      </c>
      <c r="I13" s="703">
        <f>industrie!H18</f>
        <v>0</v>
      </c>
      <c r="J13" s="703">
        <f>industrie!I18</f>
        <v>0</v>
      </c>
      <c r="K13" s="703">
        <f>industrie!J18</f>
        <v>14.85832062641342</v>
      </c>
      <c r="L13" s="703">
        <f>industrie!K18</f>
        <v>0</v>
      </c>
      <c r="M13" s="703">
        <f>industrie!L18</f>
        <v>0</v>
      </c>
      <c r="N13" s="703">
        <f>industrie!M18</f>
        <v>0</v>
      </c>
      <c r="O13" s="703">
        <f>industrie!N18</f>
        <v>155.14331174512745</v>
      </c>
      <c r="P13" s="703">
        <f>industrie!O18</f>
        <v>0</v>
      </c>
      <c r="Q13" s="704">
        <f>industrie!P18</f>
        <v>0</v>
      </c>
      <c r="R13" s="706">
        <f>SUM(C13:Q13)</f>
        <v>26104.36033468707</v>
      </c>
      <c r="S13" s="68"/>
    </row>
    <row r="14" spans="1:19" s="458" customFormat="1" ht="15" thickBot="1">
      <c r="A14" s="859"/>
      <c r="B14" s="870" t="s">
        <v>688</v>
      </c>
      <c r="C14" s="703"/>
      <c r="D14" s="703"/>
      <c r="E14" s="703"/>
      <c r="F14" s="703"/>
      <c r="G14" s="703"/>
      <c r="H14" s="703"/>
      <c r="I14" s="703"/>
      <c r="J14" s="703"/>
      <c r="K14" s="703"/>
      <c r="L14" s="703"/>
      <c r="M14" s="703"/>
      <c r="N14" s="703"/>
      <c r="O14" s="703"/>
      <c r="P14" s="703"/>
      <c r="Q14" s="703"/>
      <c r="R14" s="706"/>
      <c r="S14" s="68"/>
    </row>
    <row r="15" spans="1:19" s="458" customFormat="1" ht="15.75" thickBot="1">
      <c r="A15" s="707" t="s">
        <v>226</v>
      </c>
      <c r="B15" s="866"/>
      <c r="C15" s="748">
        <f ca="1">SUM(C9:C14)</f>
        <v>42723.781121411033</v>
      </c>
      <c r="D15" s="708">
        <f t="shared" ref="D15:Q15" ca="1" si="0">SUM(D9:D14)</f>
        <v>0</v>
      </c>
      <c r="E15" s="708">
        <f t="shared" ca="1" si="0"/>
        <v>70119.791561001097</v>
      </c>
      <c r="F15" s="708">
        <f t="shared" si="0"/>
        <v>2912.6475685120727</v>
      </c>
      <c r="G15" s="708">
        <f t="shared" ca="1" si="0"/>
        <v>20373.185191049772</v>
      </c>
      <c r="H15" s="708">
        <f t="shared" si="0"/>
        <v>0</v>
      </c>
      <c r="I15" s="708">
        <f t="shared" si="0"/>
        <v>0</v>
      </c>
      <c r="J15" s="708">
        <f t="shared" si="0"/>
        <v>0</v>
      </c>
      <c r="K15" s="708">
        <f t="shared" si="0"/>
        <v>6935.312548183575</v>
      </c>
      <c r="L15" s="708">
        <f t="shared" si="0"/>
        <v>0</v>
      </c>
      <c r="M15" s="708">
        <f t="shared" ca="1" si="0"/>
        <v>0</v>
      </c>
      <c r="N15" s="708">
        <f t="shared" si="0"/>
        <v>0</v>
      </c>
      <c r="O15" s="708">
        <f t="shared" ca="1" si="0"/>
        <v>10902.989668369999</v>
      </c>
      <c r="P15" s="708">
        <f t="shared" si="0"/>
        <v>131.32000000000002</v>
      </c>
      <c r="Q15" s="709">
        <f t="shared" si="0"/>
        <v>343.2</v>
      </c>
      <c r="R15" s="710">
        <f ca="1">SUM(R9:R14)</f>
        <v>154442.22765852755</v>
      </c>
      <c r="S15" s="68"/>
    </row>
    <row r="16" spans="1:19" s="458" customFormat="1" ht="15.75">
      <c r="A16" s="861" t="s">
        <v>227</v>
      </c>
      <c r="B16" s="753"/>
      <c r="C16" s="1021"/>
      <c r="D16" s="1021"/>
      <c r="E16" s="1021"/>
      <c r="F16" s="1021"/>
      <c r="G16" s="1021"/>
      <c r="H16" s="1021"/>
      <c r="I16" s="1021"/>
      <c r="J16" s="1021"/>
      <c r="K16" s="1021"/>
      <c r="L16" s="1021"/>
      <c r="M16" s="1021"/>
      <c r="N16" s="1021"/>
      <c r="O16" s="1021"/>
      <c r="P16" s="1021"/>
      <c r="Q16" s="1021"/>
      <c r="R16" s="711"/>
      <c r="S16" s="68"/>
    </row>
    <row r="17" spans="1:19" s="458" customFormat="1">
      <c r="A17" s="859" t="s">
        <v>228</v>
      </c>
      <c r="B17" s="864"/>
      <c r="C17" s="703">
        <f>'Eigen vloot'!B27</f>
        <v>0</v>
      </c>
      <c r="D17" s="703">
        <f>'Eigen vloot'!C27</f>
        <v>0</v>
      </c>
      <c r="E17" s="703">
        <f>'Eigen vloot'!D27</f>
        <v>0</v>
      </c>
      <c r="F17" s="703">
        <f>'Eigen vloot'!E27</f>
        <v>0</v>
      </c>
      <c r="G17" s="703">
        <f>'Eigen vloot'!F27</f>
        <v>0</v>
      </c>
      <c r="H17" s="703">
        <f>'Eigen vloot'!G27</f>
        <v>0</v>
      </c>
      <c r="I17" s="703">
        <f>'Eigen vloot'!H27</f>
        <v>0</v>
      </c>
      <c r="J17" s="703">
        <f>'Eigen vloot'!I27</f>
        <v>0</v>
      </c>
      <c r="K17" s="703">
        <f>'Eigen vloot'!J27</f>
        <v>0</v>
      </c>
      <c r="L17" s="703">
        <f>'Eigen vloot'!K27</f>
        <v>0</v>
      </c>
      <c r="M17" s="703">
        <f>'Eigen vloot'!L27</f>
        <v>0</v>
      </c>
      <c r="N17" s="703">
        <f>'Eigen vloot'!M27</f>
        <v>0</v>
      </c>
      <c r="O17" s="703">
        <f>'Eigen vloot'!N27</f>
        <v>0</v>
      </c>
      <c r="P17" s="703">
        <f>'Eigen vloot'!O27</f>
        <v>0</v>
      </c>
      <c r="Q17" s="704">
        <f>'Eigen vloot'!P27</f>
        <v>0</v>
      </c>
      <c r="R17" s="706">
        <f>SUM(C17:Q17)</f>
        <v>0</v>
      </c>
      <c r="S17" s="68"/>
    </row>
    <row r="18" spans="1:19" s="458" customFormat="1">
      <c r="A18" s="859" t="s">
        <v>229</v>
      </c>
      <c r="B18" s="864"/>
      <c r="C18" s="703">
        <f>transport!B54</f>
        <v>0</v>
      </c>
      <c r="D18" s="703">
        <f>transport!C54</f>
        <v>0</v>
      </c>
      <c r="E18" s="703">
        <f>transport!D54</f>
        <v>0</v>
      </c>
      <c r="F18" s="703">
        <f>transport!E54</f>
        <v>0</v>
      </c>
      <c r="G18" s="703">
        <f>transport!F54</f>
        <v>0</v>
      </c>
      <c r="H18" s="703">
        <f>transport!G54</f>
        <v>650.63593364485689</v>
      </c>
      <c r="I18" s="703">
        <f>transport!H54</f>
        <v>0</v>
      </c>
      <c r="J18" s="703">
        <f>transport!I54</f>
        <v>0</v>
      </c>
      <c r="K18" s="703">
        <f>transport!J54</f>
        <v>0</v>
      </c>
      <c r="L18" s="703">
        <f>transport!K54</f>
        <v>0</v>
      </c>
      <c r="M18" s="703">
        <f>transport!L54</f>
        <v>0</v>
      </c>
      <c r="N18" s="703">
        <f>transport!M54</f>
        <v>28.570497137453749</v>
      </c>
      <c r="O18" s="703">
        <f>transport!N54</f>
        <v>0</v>
      </c>
      <c r="P18" s="703">
        <f>transport!O54</f>
        <v>0</v>
      </c>
      <c r="Q18" s="704">
        <f>transport!P54</f>
        <v>0</v>
      </c>
      <c r="R18" s="706">
        <f>SUM(C18:Q18)</f>
        <v>679.20643078231069</v>
      </c>
      <c r="S18" s="68"/>
    </row>
    <row r="19" spans="1:19" s="458" customFormat="1" ht="15" thickBot="1">
      <c r="A19" s="859" t="s">
        <v>307</v>
      </c>
      <c r="B19" s="864"/>
      <c r="C19" s="712">
        <f>transport!B14</f>
        <v>2.9759951987988846</v>
      </c>
      <c r="D19" s="712">
        <f>transport!C14</f>
        <v>0</v>
      </c>
      <c r="E19" s="712">
        <f>transport!D14</f>
        <v>8.7200114856950535</v>
      </c>
      <c r="F19" s="712">
        <f>transport!E14</f>
        <v>561.52717461775831</v>
      </c>
      <c r="G19" s="712">
        <f>transport!F14</f>
        <v>0</v>
      </c>
      <c r="H19" s="712">
        <f>transport!G14</f>
        <v>141402.82581994933</v>
      </c>
      <c r="I19" s="712">
        <f>transport!H14</f>
        <v>19829.57641865599</v>
      </c>
      <c r="J19" s="712">
        <f>transport!I14</f>
        <v>0</v>
      </c>
      <c r="K19" s="712">
        <f>transport!J14</f>
        <v>0</v>
      </c>
      <c r="L19" s="712">
        <f>transport!K14</f>
        <v>0</v>
      </c>
      <c r="M19" s="712">
        <f>transport!L14</f>
        <v>0</v>
      </c>
      <c r="N19" s="712">
        <f>transport!M14</f>
        <v>7203.8096576972557</v>
      </c>
      <c r="O19" s="712">
        <f>transport!N14</f>
        <v>0</v>
      </c>
      <c r="P19" s="712">
        <f>transport!O14</f>
        <v>0</v>
      </c>
      <c r="Q19" s="713">
        <f>transport!P14</f>
        <v>0</v>
      </c>
      <c r="R19" s="714">
        <f>SUM(C19:Q19)</f>
        <v>169009.43507760481</v>
      </c>
      <c r="S19" s="68"/>
    </row>
    <row r="20" spans="1:19" s="458" customFormat="1" ht="15.75" thickBot="1">
      <c r="A20" s="715" t="s">
        <v>230</v>
      </c>
      <c r="B20" s="867"/>
      <c r="C20" s="862">
        <f>SUM(C17:C19)</f>
        <v>2.9759951987988846</v>
      </c>
      <c r="D20" s="716">
        <f t="shared" ref="D20:R20" si="1">SUM(D17:D19)</f>
        <v>0</v>
      </c>
      <c r="E20" s="716">
        <f t="shared" si="1"/>
        <v>8.7200114856950535</v>
      </c>
      <c r="F20" s="716">
        <f t="shared" si="1"/>
        <v>561.52717461775831</v>
      </c>
      <c r="G20" s="716">
        <f t="shared" si="1"/>
        <v>0</v>
      </c>
      <c r="H20" s="716">
        <f t="shared" si="1"/>
        <v>142053.46175359419</v>
      </c>
      <c r="I20" s="716">
        <f t="shared" si="1"/>
        <v>19829.57641865599</v>
      </c>
      <c r="J20" s="716">
        <f t="shared" si="1"/>
        <v>0</v>
      </c>
      <c r="K20" s="716">
        <f t="shared" si="1"/>
        <v>0</v>
      </c>
      <c r="L20" s="716">
        <f t="shared" si="1"/>
        <v>0</v>
      </c>
      <c r="M20" s="716">
        <f t="shared" si="1"/>
        <v>0</v>
      </c>
      <c r="N20" s="716">
        <f t="shared" si="1"/>
        <v>7232.3801548347092</v>
      </c>
      <c r="O20" s="716">
        <f t="shared" si="1"/>
        <v>0</v>
      </c>
      <c r="P20" s="716">
        <f t="shared" si="1"/>
        <v>0</v>
      </c>
      <c r="Q20" s="717">
        <f t="shared" si="1"/>
        <v>0</v>
      </c>
      <c r="R20" s="718">
        <f t="shared" si="1"/>
        <v>169688.64150838711</v>
      </c>
      <c r="S20" s="68"/>
    </row>
    <row r="21" spans="1:19" s="458" customFormat="1" ht="15.75">
      <c r="A21" s="861" t="s">
        <v>237</v>
      </c>
      <c r="B21" s="753"/>
      <c r="C21" s="1021"/>
      <c r="D21" s="1021"/>
      <c r="E21" s="1021"/>
      <c r="F21" s="1021"/>
      <c r="G21" s="1021"/>
      <c r="H21" s="1021"/>
      <c r="I21" s="1021"/>
      <c r="J21" s="1021"/>
      <c r="K21" s="1021"/>
      <c r="L21" s="1021"/>
      <c r="M21" s="1021"/>
      <c r="N21" s="1021"/>
      <c r="O21" s="1021"/>
      <c r="P21" s="1021"/>
      <c r="Q21" s="1021"/>
      <c r="R21" s="711"/>
      <c r="S21" s="68"/>
    </row>
    <row r="22" spans="1:19" s="458" customFormat="1" ht="15" thickBot="1">
      <c r="A22" s="859" t="s">
        <v>678</v>
      </c>
      <c r="B22" s="868"/>
      <c r="C22" s="712">
        <f>+landbouw!B8</f>
        <v>2414.5125132919056</v>
      </c>
      <c r="D22" s="712">
        <f>+landbouw!C8</f>
        <v>5637.8571428571431</v>
      </c>
      <c r="E22" s="712">
        <f>+landbouw!D8</f>
        <v>1591.9855416143382</v>
      </c>
      <c r="F22" s="712">
        <f>+landbouw!E8</f>
        <v>22.746325651661728</v>
      </c>
      <c r="G22" s="712">
        <f>+landbouw!F8</f>
        <v>7879.3556372013118</v>
      </c>
      <c r="H22" s="712">
        <f>+landbouw!G8</f>
        <v>0</v>
      </c>
      <c r="I22" s="712">
        <f>+landbouw!H8</f>
        <v>0</v>
      </c>
      <c r="J22" s="712">
        <f>+landbouw!I8</f>
        <v>0</v>
      </c>
      <c r="K22" s="712">
        <f>+landbouw!J8</f>
        <v>298.6869420808174</v>
      </c>
      <c r="L22" s="712">
        <f>+landbouw!K8</f>
        <v>0</v>
      </c>
      <c r="M22" s="712">
        <f>+landbouw!L8</f>
        <v>0</v>
      </c>
      <c r="N22" s="712">
        <f>+landbouw!M8</f>
        <v>0</v>
      </c>
      <c r="O22" s="712">
        <f>+landbouw!N8</f>
        <v>0</v>
      </c>
      <c r="P22" s="712">
        <f>+landbouw!O8</f>
        <v>0</v>
      </c>
      <c r="Q22" s="713">
        <f>+landbouw!P8</f>
        <v>0</v>
      </c>
      <c r="R22" s="714">
        <f>SUM(C22:Q22)</f>
        <v>17845.144102697177</v>
      </c>
      <c r="S22" s="68"/>
    </row>
    <row r="23" spans="1:19" s="458" customFormat="1" ht="17.25" thickTop="1" thickBot="1">
      <c r="A23" s="719" t="s">
        <v>116</v>
      </c>
      <c r="B23" s="853"/>
      <c r="C23" s="720">
        <f ca="1">C20+C15+C22</f>
        <v>45141.269629901741</v>
      </c>
      <c r="D23" s="720">
        <f t="shared" ref="D23:Q23" ca="1" si="2">D20+D15+D22</f>
        <v>5637.8571428571431</v>
      </c>
      <c r="E23" s="720">
        <f t="shared" ca="1" si="2"/>
        <v>71720.497114101134</v>
      </c>
      <c r="F23" s="720">
        <f t="shared" si="2"/>
        <v>3496.9210687814925</v>
      </c>
      <c r="G23" s="720">
        <f t="shared" ca="1" si="2"/>
        <v>28252.540828251083</v>
      </c>
      <c r="H23" s="720">
        <f t="shared" si="2"/>
        <v>142053.46175359419</v>
      </c>
      <c r="I23" s="720">
        <f t="shared" si="2"/>
        <v>19829.57641865599</v>
      </c>
      <c r="J23" s="720">
        <f t="shared" si="2"/>
        <v>0</v>
      </c>
      <c r="K23" s="720">
        <f t="shared" si="2"/>
        <v>7233.9994902643921</v>
      </c>
      <c r="L23" s="720">
        <f t="shared" si="2"/>
        <v>0</v>
      </c>
      <c r="M23" s="720">
        <f t="shared" ca="1" si="2"/>
        <v>0</v>
      </c>
      <c r="N23" s="720">
        <f t="shared" si="2"/>
        <v>7232.3801548347092</v>
      </c>
      <c r="O23" s="720">
        <f t="shared" ca="1" si="2"/>
        <v>10902.989668369999</v>
      </c>
      <c r="P23" s="720">
        <f t="shared" si="2"/>
        <v>131.32000000000002</v>
      </c>
      <c r="Q23" s="721">
        <f t="shared" si="2"/>
        <v>343.2</v>
      </c>
      <c r="R23" s="722">
        <f ca="1">R20+R15+R22</f>
        <v>341976.01326961187</v>
      </c>
      <c r="S23" s="68"/>
    </row>
    <row r="24" spans="1:19" ht="15.75" customHeight="1" thickBot="1">
      <c r="A24" s="723"/>
      <c r="B24" s="723"/>
      <c r="C24" s="724"/>
      <c r="D24" s="724"/>
      <c r="E24" s="724"/>
      <c r="F24" s="724"/>
      <c r="G24" s="724"/>
      <c r="H24" s="724"/>
      <c r="I24" s="724"/>
      <c r="J24" s="724"/>
      <c r="K24" s="724"/>
      <c r="L24" s="724"/>
      <c r="M24" s="724"/>
      <c r="N24" s="724"/>
      <c r="O24" s="724"/>
      <c r="P24" s="724"/>
      <c r="Q24" s="724"/>
      <c r="R24" s="724"/>
    </row>
    <row r="25" spans="1:19" ht="41.25" customHeight="1" thickTop="1" thickBot="1">
      <c r="A25" s="725" t="s">
        <v>345</v>
      </c>
      <c r="B25" s="725"/>
      <c r="C25" s="726">
        <f>'EF ele_warmte'!B5</f>
        <v>0</v>
      </c>
      <c r="D25" s="727"/>
      <c r="E25" s="728"/>
      <c r="F25" s="727"/>
      <c r="G25" s="727"/>
      <c r="H25" s="727"/>
      <c r="I25" s="727"/>
      <c r="J25" s="727"/>
      <c r="K25" s="727"/>
      <c r="L25" s="727"/>
      <c r="M25" s="727"/>
      <c r="N25" s="727"/>
      <c r="O25" s="727"/>
      <c r="P25" s="727"/>
      <c r="Q25" s="727"/>
      <c r="R25" s="727"/>
    </row>
    <row r="26" spans="1:19" ht="31.5" thickTop="1" thickBot="1">
      <c r="A26" s="729" t="s">
        <v>346</v>
      </c>
      <c r="B26" s="729"/>
      <c r="C26" s="730" t="s">
        <v>211</v>
      </c>
      <c r="D26" s="731"/>
      <c r="E26" s="731"/>
      <c r="F26" s="731"/>
      <c r="G26" s="731"/>
      <c r="H26" s="732"/>
      <c r="I26" s="733"/>
      <c r="J26" s="733"/>
      <c r="K26" s="733"/>
      <c r="L26" s="733"/>
      <c r="M26" s="733"/>
      <c r="N26" s="733"/>
      <c r="O26" s="733"/>
      <c r="P26" s="733"/>
      <c r="Q26" s="733"/>
      <c r="R26" s="733"/>
    </row>
    <row r="27" spans="1:19" ht="15" thickTop="1">
      <c r="A27" s="1022"/>
      <c r="B27" s="1022"/>
      <c r="C27" s="1022"/>
      <c r="D27" s="734"/>
      <c r="E27" s="733"/>
      <c r="F27" s="733"/>
      <c r="G27" s="733"/>
      <c r="H27" s="733"/>
      <c r="I27" s="733"/>
      <c r="J27" s="733"/>
      <c r="K27" s="733"/>
      <c r="L27" s="733"/>
      <c r="M27" s="733"/>
      <c r="N27" s="733"/>
      <c r="O27" s="733"/>
      <c r="P27" s="733"/>
      <c r="Q27" s="733"/>
      <c r="R27" s="733"/>
    </row>
    <row r="28" spans="1:19" ht="15.75">
      <c r="A28" s="735" t="s">
        <v>231</v>
      </c>
      <c r="B28" s="735"/>
      <c r="C28" s="734"/>
      <c r="D28" s="734"/>
      <c r="E28" s="733"/>
      <c r="F28" s="733"/>
      <c r="G28" s="733"/>
      <c r="H28" s="733"/>
      <c r="I28" s="733"/>
      <c r="J28" s="733"/>
      <c r="K28" s="733"/>
      <c r="L28" s="733"/>
      <c r="M28" s="733"/>
      <c r="N28" s="733"/>
      <c r="O28" s="733"/>
      <c r="P28" s="733"/>
      <c r="Q28" s="733"/>
      <c r="R28" s="733"/>
    </row>
    <row r="29" spans="1:19">
      <c r="A29" s="1023"/>
      <c r="B29" s="1023"/>
      <c r="C29" s="1023"/>
      <c r="D29" s="1023"/>
      <c r="E29" s="1023"/>
      <c r="F29" s="1023"/>
      <c r="G29" s="1023"/>
      <c r="H29" s="1023"/>
      <c r="I29" s="1023"/>
      <c r="J29" s="1023"/>
      <c r="K29" s="1023"/>
      <c r="L29" s="1023"/>
      <c r="M29" s="1023"/>
      <c r="N29" s="1023"/>
      <c r="O29" s="1023"/>
      <c r="P29" s="1023"/>
      <c r="Q29" s="1023"/>
      <c r="R29" s="1023"/>
    </row>
    <row r="30" spans="1:19" ht="15.75" thickBot="1">
      <c r="A30" s="736"/>
      <c r="B30" s="736"/>
      <c r="C30" s="737"/>
      <c r="D30" s="737"/>
      <c r="E30" s="737"/>
      <c r="F30" s="737"/>
      <c r="G30" s="737"/>
      <c r="H30" s="737"/>
      <c r="I30" s="737"/>
      <c r="J30" s="737"/>
      <c r="K30" s="737"/>
      <c r="L30" s="737"/>
      <c r="M30" s="737"/>
      <c r="N30" s="737"/>
      <c r="O30" s="737"/>
      <c r="P30" s="737"/>
      <c r="Q30" s="737"/>
      <c r="R30" s="737"/>
    </row>
    <row r="31" spans="1:19" ht="17.25" thickTop="1" thickBot="1">
      <c r="A31" s="1024"/>
      <c r="B31" s="871"/>
      <c r="C31" s="1026" t="s">
        <v>347</v>
      </c>
      <c r="D31" s="1027"/>
      <c r="E31" s="1027"/>
      <c r="F31" s="1027"/>
      <c r="G31" s="1027"/>
      <c r="H31" s="1027"/>
      <c r="I31" s="1027"/>
      <c r="J31" s="1027"/>
      <c r="K31" s="1027"/>
      <c r="L31" s="1027"/>
      <c r="M31" s="1027"/>
      <c r="N31" s="1027"/>
      <c r="O31" s="1027"/>
      <c r="P31" s="1027"/>
      <c r="Q31" s="1027"/>
      <c r="R31" s="1028"/>
    </row>
    <row r="32" spans="1:19" ht="16.5" thickTop="1">
      <c r="A32" s="1025"/>
      <c r="B32" s="872"/>
      <c r="C32" s="1029" t="s">
        <v>21</v>
      </c>
      <c r="D32" s="1031" t="s">
        <v>232</v>
      </c>
      <c r="E32" s="1033" t="s">
        <v>197</v>
      </c>
      <c r="F32" s="1034"/>
      <c r="G32" s="1034"/>
      <c r="H32" s="1034"/>
      <c r="I32" s="1034"/>
      <c r="J32" s="1034"/>
      <c r="K32" s="1034"/>
      <c r="L32" s="1035"/>
      <c r="M32" s="1033" t="s">
        <v>198</v>
      </c>
      <c r="N32" s="1034"/>
      <c r="O32" s="1034"/>
      <c r="P32" s="1034"/>
      <c r="Q32" s="1034"/>
      <c r="R32" s="1036" t="s">
        <v>116</v>
      </c>
    </row>
    <row r="33" spans="1:18" ht="45.75" thickBot="1">
      <c r="A33" s="1025"/>
      <c r="B33" s="872"/>
      <c r="C33" s="1030"/>
      <c r="D33" s="1032"/>
      <c r="E33" s="738" t="s">
        <v>199</v>
      </c>
      <c r="F33" s="738" t="s">
        <v>200</v>
      </c>
      <c r="G33" s="738" t="s">
        <v>201</v>
      </c>
      <c r="H33" s="738" t="s">
        <v>202</v>
      </c>
      <c r="I33" s="738" t="s">
        <v>120</v>
      </c>
      <c r="J33" s="738" t="s">
        <v>203</v>
      </c>
      <c r="K33" s="739" t="s">
        <v>233</v>
      </c>
      <c r="L33" s="739" t="s">
        <v>205</v>
      </c>
      <c r="M33" s="738" t="s">
        <v>206</v>
      </c>
      <c r="N33" s="738" t="s">
        <v>207</v>
      </c>
      <c r="O33" s="738" t="s">
        <v>234</v>
      </c>
      <c r="P33" s="738" t="s">
        <v>235</v>
      </c>
      <c r="Q33" s="739" t="s">
        <v>210</v>
      </c>
      <c r="R33" s="1037"/>
    </row>
    <row r="34" spans="1:18" ht="17.25" thickTop="1" thickBot="1">
      <c r="A34" s="884" t="s">
        <v>344</v>
      </c>
      <c r="B34" s="885"/>
      <c r="C34" s="740" t="s">
        <v>236</v>
      </c>
      <c r="D34" s="741"/>
      <c r="E34" s="742"/>
      <c r="F34" s="742"/>
      <c r="G34" s="742"/>
      <c r="H34" s="742"/>
      <c r="I34" s="742"/>
      <c r="J34" s="742"/>
      <c r="K34" s="742"/>
      <c r="L34" s="742"/>
      <c r="M34" s="743"/>
      <c r="N34" s="743"/>
      <c r="O34" s="742"/>
      <c r="P34" s="743"/>
      <c r="Q34" s="744"/>
      <c r="R34" s="745"/>
    </row>
    <row r="35" spans="1:18" ht="15" thickTop="1">
      <c r="A35" s="854" t="s">
        <v>223</v>
      </c>
      <c r="B35" s="881"/>
      <c r="C35" s="703">
        <f ca="1">'Eigen gebouwen'!B19</f>
        <v>0</v>
      </c>
      <c r="D35" s="703">
        <f ca="1">'Eigen gebouwen'!C19</f>
        <v>0</v>
      </c>
      <c r="E35" s="703">
        <f>'Eigen gebouwen'!D19</f>
        <v>0</v>
      </c>
      <c r="F35" s="703">
        <f>'Eigen gebouwen'!E19</f>
        <v>0</v>
      </c>
      <c r="G35" s="703">
        <f>'Eigen gebouwen'!F19</f>
        <v>0</v>
      </c>
      <c r="H35" s="703">
        <f>'Eigen gebouwen'!G19</f>
        <v>0</v>
      </c>
      <c r="I35" s="703">
        <f>'Eigen gebouwen'!H19</f>
        <v>0</v>
      </c>
      <c r="J35" s="703">
        <f>'Eigen gebouwen'!I19</f>
        <v>0</v>
      </c>
      <c r="K35" s="703">
        <f>'Eigen gebouwen'!J19</f>
        <v>0</v>
      </c>
      <c r="L35" s="703">
        <f>'Eigen gebouwen'!K19</f>
        <v>0</v>
      </c>
      <c r="M35" s="703">
        <f>'Eigen gebouwen'!L19</f>
        <v>0</v>
      </c>
      <c r="N35" s="703">
        <f>'Eigen gebouwen'!M19</f>
        <v>0</v>
      </c>
      <c r="O35" s="703">
        <f>'Eigen gebouwen'!N19</f>
        <v>0</v>
      </c>
      <c r="P35" s="703">
        <f>'Eigen gebouwen'!O19</f>
        <v>0</v>
      </c>
      <c r="Q35" s="813">
        <f>'Eigen gebouwen'!P19</f>
        <v>0</v>
      </c>
      <c r="R35" s="905">
        <f ca="1">SUM(C35:Q35)</f>
        <v>0</v>
      </c>
    </row>
    <row r="36" spans="1:18">
      <c r="A36" s="860" t="s">
        <v>224</v>
      </c>
      <c r="B36" s="882"/>
      <c r="C36" s="703">
        <f ca="1">tertiair!B20+'openbare verlichting'!B12</f>
        <v>2475.7453450388102</v>
      </c>
      <c r="D36" s="703">
        <f ca="1">tertiair!C20</f>
        <v>0</v>
      </c>
      <c r="E36" s="703">
        <f ca="1">tertiair!D20</f>
        <v>2161.5137079109004</v>
      </c>
      <c r="F36" s="703">
        <f>tertiair!E20</f>
        <v>26.300379874945683</v>
      </c>
      <c r="G36" s="703">
        <f ca="1">tertiair!F20</f>
        <v>565.87812052472646</v>
      </c>
      <c r="H36" s="703">
        <f>tertiair!G20</f>
        <v>0</v>
      </c>
      <c r="I36" s="703">
        <f>tertiair!H20</f>
        <v>0</v>
      </c>
      <c r="J36" s="703">
        <f>tertiair!I20</f>
        <v>0</v>
      </c>
      <c r="K36" s="703">
        <f>tertiair!J20</f>
        <v>0</v>
      </c>
      <c r="L36" s="703">
        <f>tertiair!K20</f>
        <v>0</v>
      </c>
      <c r="M36" s="703">
        <f ca="1">tertiair!L20</f>
        <v>0</v>
      </c>
      <c r="N36" s="703">
        <f>tertiair!M20</f>
        <v>0</v>
      </c>
      <c r="O36" s="703">
        <f ca="1">tertiair!N20</f>
        <v>0</v>
      </c>
      <c r="P36" s="703">
        <f>tertiair!O20</f>
        <v>0</v>
      </c>
      <c r="Q36" s="813">
        <f>tertiair!P20</f>
        <v>0</v>
      </c>
      <c r="R36" s="906">
        <f ca="1">SUM(C36:Q36)</f>
        <v>5229.4375533493821</v>
      </c>
    </row>
    <row r="37" spans="1:18">
      <c r="A37" s="874" t="s">
        <v>225</v>
      </c>
      <c r="B37" s="881"/>
      <c r="C37" s="703">
        <f ca="1">huishoudens!B12</f>
        <v>5869.3087934470077</v>
      </c>
      <c r="D37" s="703">
        <f ca="1">huishoudens!C12</f>
        <v>0</v>
      </c>
      <c r="E37" s="703">
        <f>huishoudens!D12</f>
        <v>7765.199370663041</v>
      </c>
      <c r="F37" s="703">
        <f>huishoudens!E12</f>
        <v>628.75796448531889</v>
      </c>
      <c r="G37" s="703">
        <f>huishoudens!F12</f>
        <v>4473.1150256962028</v>
      </c>
      <c r="H37" s="703">
        <f>huishoudens!G12</f>
        <v>0</v>
      </c>
      <c r="I37" s="703">
        <f>huishoudens!H12</f>
        <v>0</v>
      </c>
      <c r="J37" s="703">
        <f>huishoudens!I12</f>
        <v>0</v>
      </c>
      <c r="K37" s="703">
        <f>huishoudens!J12</f>
        <v>2449.8407965552351</v>
      </c>
      <c r="L37" s="703">
        <f>huishoudens!K12</f>
        <v>0</v>
      </c>
      <c r="M37" s="703">
        <f>huishoudens!L12</f>
        <v>0</v>
      </c>
      <c r="N37" s="703">
        <f>huishoudens!M12</f>
        <v>0</v>
      </c>
      <c r="O37" s="703">
        <f>huishoudens!N12</f>
        <v>0</v>
      </c>
      <c r="P37" s="703">
        <f>huishoudens!O12</f>
        <v>0</v>
      </c>
      <c r="Q37" s="813">
        <f>huishoudens!P12</f>
        <v>0</v>
      </c>
      <c r="R37" s="906">
        <f ca="1">SUM(C37:Q37)</f>
        <v>21186.221950846808</v>
      </c>
    </row>
    <row r="38" spans="1:18">
      <c r="A38" s="874" t="s">
        <v>515</v>
      </c>
      <c r="B38" s="881"/>
      <c r="C38" s="703">
        <f ca="1">'Eigen openbare verlichting'!B19</f>
        <v>0</v>
      </c>
      <c r="D38" s="703"/>
      <c r="E38" s="703"/>
      <c r="F38" s="703"/>
      <c r="G38" s="703"/>
      <c r="H38" s="703"/>
      <c r="I38" s="703"/>
      <c r="J38" s="703"/>
      <c r="K38" s="703"/>
      <c r="L38" s="703"/>
      <c r="M38" s="703"/>
      <c r="N38" s="703"/>
      <c r="O38" s="703"/>
      <c r="P38" s="703"/>
      <c r="Q38" s="813"/>
      <c r="R38" s="906">
        <f ca="1">SUM(C38:Q38)</f>
        <v>0</v>
      </c>
    </row>
    <row r="39" spans="1:18">
      <c r="A39" s="874" t="s">
        <v>690</v>
      </c>
      <c r="B39" s="889" t="s">
        <v>687</v>
      </c>
      <c r="C39" s="703">
        <f ca="1">industrie!B22</f>
        <v>728.27203957525091</v>
      </c>
      <c r="D39" s="703">
        <f ca="1">industrie!C22</f>
        <v>0</v>
      </c>
      <c r="E39" s="703">
        <f>industrie!D22</f>
        <v>4237.4848167482814</v>
      </c>
      <c r="F39" s="703">
        <f>industrie!E22</f>
        <v>6.112653691975896</v>
      </c>
      <c r="G39" s="703">
        <f>industrie!F22</f>
        <v>400.64729978936072</v>
      </c>
      <c r="H39" s="703">
        <f>industrie!G22</f>
        <v>0</v>
      </c>
      <c r="I39" s="703">
        <f>industrie!H22</f>
        <v>0</v>
      </c>
      <c r="J39" s="703">
        <f>industrie!I22</f>
        <v>0</v>
      </c>
      <c r="K39" s="703">
        <f>industrie!J22</f>
        <v>5.25984550175035</v>
      </c>
      <c r="L39" s="703">
        <f>industrie!K22</f>
        <v>0</v>
      </c>
      <c r="M39" s="703">
        <f>industrie!L22</f>
        <v>0</v>
      </c>
      <c r="N39" s="703">
        <f>industrie!M22</f>
        <v>0</v>
      </c>
      <c r="O39" s="703">
        <f>industrie!N22</f>
        <v>0</v>
      </c>
      <c r="P39" s="703">
        <f>industrie!O22</f>
        <v>0</v>
      </c>
      <c r="Q39" s="813">
        <f>industrie!P22</f>
        <v>0</v>
      </c>
      <c r="R39" s="907">
        <f ca="1">SUM(C39:Q39)</f>
        <v>5377.7766553066194</v>
      </c>
    </row>
    <row r="40" spans="1:18" ht="15" thickBot="1">
      <c r="A40" s="883"/>
      <c r="B40" s="890" t="s">
        <v>688</v>
      </c>
      <c r="C40" s="703"/>
      <c r="D40" s="703"/>
      <c r="E40" s="703"/>
      <c r="F40" s="703"/>
      <c r="G40" s="703"/>
      <c r="H40" s="703"/>
      <c r="I40" s="703"/>
      <c r="J40" s="703"/>
      <c r="K40" s="703"/>
      <c r="L40" s="703"/>
      <c r="M40" s="703"/>
      <c r="N40" s="703"/>
      <c r="O40" s="703"/>
      <c r="P40" s="703"/>
      <c r="Q40" s="909"/>
      <c r="R40" s="908">
        <f t="shared" ref="R40" si="3">SUM(C40:Q40)</f>
        <v>0</v>
      </c>
    </row>
    <row r="41" spans="1:18" ht="15.75" thickBot="1">
      <c r="A41" s="752" t="s">
        <v>226</v>
      </c>
      <c r="B41" s="855"/>
      <c r="C41" s="748">
        <f ca="1">SUM(C35:C40)</f>
        <v>9073.3261780610701</v>
      </c>
      <c r="D41" s="748">
        <f t="shared" ref="D41:R41" ca="1" si="4">SUM(D35:D40)</f>
        <v>0</v>
      </c>
      <c r="E41" s="748">
        <f t="shared" ca="1" si="4"/>
        <v>14164.197895322222</v>
      </c>
      <c r="F41" s="748">
        <f t="shared" si="4"/>
        <v>661.17099805224041</v>
      </c>
      <c r="G41" s="748">
        <f t="shared" ca="1" si="4"/>
        <v>5439.6404460102904</v>
      </c>
      <c r="H41" s="748">
        <f t="shared" si="4"/>
        <v>0</v>
      </c>
      <c r="I41" s="748">
        <f t="shared" si="4"/>
        <v>0</v>
      </c>
      <c r="J41" s="748">
        <f t="shared" si="4"/>
        <v>0</v>
      </c>
      <c r="K41" s="748">
        <f t="shared" si="4"/>
        <v>2455.1006420569856</v>
      </c>
      <c r="L41" s="748">
        <f t="shared" si="4"/>
        <v>0</v>
      </c>
      <c r="M41" s="748">
        <f t="shared" ca="1" si="4"/>
        <v>0</v>
      </c>
      <c r="N41" s="748">
        <f t="shared" si="4"/>
        <v>0</v>
      </c>
      <c r="O41" s="748">
        <f t="shared" ca="1" si="4"/>
        <v>0</v>
      </c>
      <c r="P41" s="748">
        <f t="shared" si="4"/>
        <v>0</v>
      </c>
      <c r="Q41" s="749">
        <f t="shared" si="4"/>
        <v>0</v>
      </c>
      <c r="R41" s="750">
        <f t="shared" ca="1" si="4"/>
        <v>31793.436159502809</v>
      </c>
    </row>
    <row r="42" spans="1:18" ht="15.75">
      <c r="A42" s="876" t="s">
        <v>227</v>
      </c>
      <c r="B42" s="886"/>
      <c r="C42" s="740"/>
      <c r="D42" s="741"/>
      <c r="E42" s="741"/>
      <c r="F42" s="741"/>
      <c r="G42" s="741"/>
      <c r="H42" s="741"/>
      <c r="I42" s="741"/>
      <c r="J42" s="741"/>
      <c r="K42" s="741"/>
      <c r="L42" s="741"/>
      <c r="M42" s="751"/>
      <c r="N42" s="751"/>
      <c r="O42" s="741"/>
      <c r="P42" s="751"/>
      <c r="Q42" s="751"/>
      <c r="R42" s="745"/>
    </row>
    <row r="43" spans="1:18">
      <c r="A43" s="874" t="s">
        <v>228</v>
      </c>
      <c r="B43" s="881"/>
      <c r="C43" s="703">
        <f ca="1">'Eigen vloot'!B31</f>
        <v>0</v>
      </c>
      <c r="D43" s="703">
        <f>'Eigen vloot'!C31</f>
        <v>0</v>
      </c>
      <c r="E43" s="703">
        <f>'Eigen vloot'!D31</f>
        <v>0</v>
      </c>
      <c r="F43" s="703">
        <f>'Eigen vloot'!E31</f>
        <v>0</v>
      </c>
      <c r="G43" s="703">
        <f>'Eigen vloot'!F31</f>
        <v>0</v>
      </c>
      <c r="H43" s="703">
        <f>'Eigen vloot'!G31</f>
        <v>0</v>
      </c>
      <c r="I43" s="703">
        <f>'Eigen vloot'!H31</f>
        <v>0</v>
      </c>
      <c r="J43" s="703">
        <f>'Eigen vloot'!I31</f>
        <v>0</v>
      </c>
      <c r="K43" s="703">
        <f>'Eigen vloot'!J31</f>
        <v>0</v>
      </c>
      <c r="L43" s="703">
        <f>'Eigen vloot'!K31</f>
        <v>0</v>
      </c>
      <c r="M43" s="703">
        <f>'Eigen vloot'!L31</f>
        <v>0</v>
      </c>
      <c r="N43" s="703">
        <f>'Eigen vloot'!M31</f>
        <v>0</v>
      </c>
      <c r="O43" s="703">
        <f>'Eigen vloot'!N31</f>
        <v>0</v>
      </c>
      <c r="P43" s="703">
        <f>'Eigen vloot'!O31</f>
        <v>0</v>
      </c>
      <c r="Q43" s="703">
        <f>'Eigen vloot'!P31</f>
        <v>0</v>
      </c>
      <c r="R43" s="746">
        <f ca="1">SUM(C43:Q43)</f>
        <v>0</v>
      </c>
    </row>
    <row r="44" spans="1:18">
      <c r="A44" s="874" t="s">
        <v>229</v>
      </c>
      <c r="B44" s="881"/>
      <c r="C44" s="703">
        <f ca="1">transport!B58</f>
        <v>0</v>
      </c>
      <c r="D44" s="703">
        <f ca="1">transport!C58</f>
        <v>0</v>
      </c>
      <c r="E44" s="703">
        <f>transport!D58</f>
        <v>0</v>
      </c>
      <c r="F44" s="703">
        <f>transport!E58</f>
        <v>0</v>
      </c>
      <c r="G44" s="703">
        <f>transport!F58</f>
        <v>0</v>
      </c>
      <c r="H44" s="703">
        <f>transport!G58</f>
        <v>173.71979428317681</v>
      </c>
      <c r="I44" s="703">
        <f>transport!H58</f>
        <v>0</v>
      </c>
      <c r="J44" s="703">
        <f>transport!I58</f>
        <v>0</v>
      </c>
      <c r="K44" s="703">
        <f>transport!J58</f>
        <v>0</v>
      </c>
      <c r="L44" s="703">
        <f>transport!K58</f>
        <v>0</v>
      </c>
      <c r="M44" s="703">
        <f>transport!L58</f>
        <v>0</v>
      </c>
      <c r="N44" s="703">
        <f>transport!M58</f>
        <v>0</v>
      </c>
      <c r="O44" s="703">
        <f>transport!N58</f>
        <v>0</v>
      </c>
      <c r="P44" s="703">
        <f>transport!O58</f>
        <v>0</v>
      </c>
      <c r="Q44" s="704">
        <f>transport!P58</f>
        <v>0</v>
      </c>
      <c r="R44" s="746">
        <f ca="1">SUM(C44:Q44)</f>
        <v>173.71979428317681</v>
      </c>
    </row>
    <row r="45" spans="1:18" ht="15" thickBot="1">
      <c r="A45" s="877" t="s">
        <v>307</v>
      </c>
      <c r="B45" s="887"/>
      <c r="C45" s="712">
        <f ca="1">transport!B18</f>
        <v>0.63201744869706356</v>
      </c>
      <c r="D45" s="712">
        <f>transport!C18</f>
        <v>0</v>
      </c>
      <c r="E45" s="712">
        <f>transport!D18</f>
        <v>1.7614423201104008</v>
      </c>
      <c r="F45" s="712">
        <f>transport!E18</f>
        <v>127.46666863823114</v>
      </c>
      <c r="G45" s="712">
        <f>transport!F18</f>
        <v>0</v>
      </c>
      <c r="H45" s="712">
        <f>transport!G18</f>
        <v>37754.554493926473</v>
      </c>
      <c r="I45" s="712">
        <f>transport!H18</f>
        <v>4937.5645282453415</v>
      </c>
      <c r="J45" s="712">
        <f>transport!I18</f>
        <v>0</v>
      </c>
      <c r="K45" s="712">
        <f>transport!J18</f>
        <v>0</v>
      </c>
      <c r="L45" s="712">
        <f>transport!K18</f>
        <v>0</v>
      </c>
      <c r="M45" s="712">
        <f>transport!L18</f>
        <v>0</v>
      </c>
      <c r="N45" s="712">
        <f>transport!M18</f>
        <v>0</v>
      </c>
      <c r="O45" s="712">
        <f>transport!N18</f>
        <v>0</v>
      </c>
      <c r="P45" s="712">
        <f>transport!O18</f>
        <v>0</v>
      </c>
      <c r="Q45" s="713">
        <f>transport!P18</f>
        <v>0</v>
      </c>
      <c r="R45" s="747">
        <f ca="1">SUM(C45:Q45)</f>
        <v>42821.979150578853</v>
      </c>
    </row>
    <row r="46" spans="1:18" ht="15.75" thickBot="1">
      <c r="A46" s="875" t="s">
        <v>230</v>
      </c>
      <c r="B46" s="888"/>
      <c r="C46" s="748">
        <f t="shared" ref="C46:R46" ca="1" si="5">SUM(C43:C45)</f>
        <v>0.63201744869706356</v>
      </c>
      <c r="D46" s="748">
        <f t="shared" ca="1" si="5"/>
        <v>0</v>
      </c>
      <c r="E46" s="748">
        <f t="shared" si="5"/>
        <v>1.7614423201104008</v>
      </c>
      <c r="F46" s="748">
        <f t="shared" si="5"/>
        <v>127.46666863823114</v>
      </c>
      <c r="G46" s="748">
        <f t="shared" si="5"/>
        <v>0</v>
      </c>
      <c r="H46" s="748">
        <f t="shared" si="5"/>
        <v>37928.27428820965</v>
      </c>
      <c r="I46" s="748">
        <f t="shared" si="5"/>
        <v>4937.5645282453415</v>
      </c>
      <c r="J46" s="748">
        <f t="shared" si="5"/>
        <v>0</v>
      </c>
      <c r="K46" s="748">
        <f t="shared" si="5"/>
        <v>0</v>
      </c>
      <c r="L46" s="748">
        <f t="shared" si="5"/>
        <v>0</v>
      </c>
      <c r="M46" s="748">
        <f t="shared" si="5"/>
        <v>0</v>
      </c>
      <c r="N46" s="748">
        <f t="shared" si="5"/>
        <v>0</v>
      </c>
      <c r="O46" s="748">
        <f t="shared" si="5"/>
        <v>0</v>
      </c>
      <c r="P46" s="748">
        <f t="shared" si="5"/>
        <v>0</v>
      </c>
      <c r="Q46" s="749">
        <f t="shared" si="5"/>
        <v>0</v>
      </c>
      <c r="R46" s="750">
        <f t="shared" ca="1" si="5"/>
        <v>42995.69894486203</v>
      </c>
    </row>
    <row r="47" spans="1:18" ht="15.75">
      <c r="A47" s="876" t="s">
        <v>237</v>
      </c>
      <c r="B47" s="852"/>
      <c r="C47" s="740"/>
      <c r="D47" s="741"/>
      <c r="E47" s="741"/>
      <c r="F47" s="741"/>
      <c r="G47" s="741"/>
      <c r="H47" s="741"/>
      <c r="I47" s="741"/>
      <c r="J47" s="741"/>
      <c r="K47" s="741"/>
      <c r="L47" s="741"/>
      <c r="M47" s="751"/>
      <c r="N47" s="751"/>
      <c r="O47" s="741"/>
      <c r="P47" s="751"/>
      <c r="Q47" s="751"/>
      <c r="R47" s="745"/>
    </row>
    <row r="48" spans="1:18" ht="15" thickBot="1">
      <c r="A48" s="874" t="s">
        <v>678</v>
      </c>
      <c r="B48" s="893"/>
      <c r="C48" s="703">
        <f ca="1">+landbouw!B12</f>
        <v>512.77436170387182</v>
      </c>
      <c r="D48" s="703">
        <f ca="1">+landbouw!C12</f>
        <v>1339.8201680672271</v>
      </c>
      <c r="E48" s="703">
        <f>+landbouw!D12</f>
        <v>321.58107940609636</v>
      </c>
      <c r="F48" s="703">
        <f>+landbouw!E12</f>
        <v>5.1634159229272125</v>
      </c>
      <c r="G48" s="703">
        <f>+landbouw!F12</f>
        <v>2103.7879551327505</v>
      </c>
      <c r="H48" s="703">
        <f>+landbouw!G12</f>
        <v>0</v>
      </c>
      <c r="I48" s="703">
        <f>+landbouw!H12</f>
        <v>0</v>
      </c>
      <c r="J48" s="703">
        <f>+landbouw!I12</f>
        <v>0</v>
      </c>
      <c r="K48" s="703">
        <f>+landbouw!J12</f>
        <v>105.73517749660935</v>
      </c>
      <c r="L48" s="703">
        <f>+landbouw!K12</f>
        <v>0</v>
      </c>
      <c r="M48" s="703">
        <f>+landbouw!L12</f>
        <v>0</v>
      </c>
      <c r="N48" s="703">
        <f>+landbouw!M12</f>
        <v>0</v>
      </c>
      <c r="O48" s="703">
        <f>+landbouw!N12</f>
        <v>0</v>
      </c>
      <c r="P48" s="703">
        <f>+landbouw!O12</f>
        <v>0</v>
      </c>
      <c r="Q48" s="704">
        <f>+landbouw!P12</f>
        <v>0</v>
      </c>
      <c r="R48" s="746">
        <f ca="1">SUM(C48:Q48)</f>
        <v>4388.8621577294825</v>
      </c>
    </row>
    <row r="49" spans="1:18" ht="15.75">
      <c r="A49" s="852" t="s">
        <v>679</v>
      </c>
      <c r="B49" s="852"/>
      <c r="C49" s="754"/>
      <c r="D49" s="741"/>
      <c r="E49" s="741"/>
      <c r="F49" s="741"/>
      <c r="G49" s="741"/>
      <c r="H49" s="741"/>
      <c r="I49" s="741"/>
      <c r="J49" s="741"/>
      <c r="K49" s="741"/>
      <c r="L49" s="741"/>
      <c r="M49" s="751"/>
      <c r="N49" s="751"/>
      <c r="O49" s="741"/>
      <c r="P49" s="751"/>
      <c r="Q49" s="751"/>
      <c r="R49" s="745"/>
    </row>
    <row r="50" spans="1:18" ht="15">
      <c r="A50" s="878" t="s">
        <v>238</v>
      </c>
      <c r="B50" s="894"/>
      <c r="C50" s="1047"/>
      <c r="D50" s="1048"/>
      <c r="E50" s="1048"/>
      <c r="F50" s="1048"/>
      <c r="G50" s="1048"/>
      <c r="H50" s="1048"/>
      <c r="I50" s="1048"/>
      <c r="J50" s="1048"/>
      <c r="K50" s="1048"/>
      <c r="L50" s="1048"/>
      <c r="M50" s="1048"/>
      <c r="N50" s="1048"/>
      <c r="O50" s="1048"/>
      <c r="P50" s="1048"/>
      <c r="Q50" s="1048"/>
      <c r="R50" s="755"/>
    </row>
    <row r="51" spans="1:18" ht="15">
      <c r="A51" s="879" t="s">
        <v>239</v>
      </c>
      <c r="B51" s="864"/>
      <c r="C51" s="1049"/>
      <c r="D51" s="1050"/>
      <c r="E51" s="1050"/>
      <c r="F51" s="1050"/>
      <c r="G51" s="1050"/>
      <c r="H51" s="1050"/>
      <c r="I51" s="1050"/>
      <c r="J51" s="1050"/>
      <c r="K51" s="1050"/>
      <c r="L51" s="1050"/>
      <c r="M51" s="1050"/>
      <c r="N51" s="1050"/>
      <c r="O51" s="1050"/>
      <c r="P51" s="1050"/>
      <c r="Q51" s="1050"/>
      <c r="R51" s="756"/>
    </row>
    <row r="52" spans="1:18" ht="15" thickBot="1">
      <c r="A52" s="891" t="s">
        <v>240</v>
      </c>
      <c r="B52" s="892"/>
      <c r="C52" s="1049"/>
      <c r="D52" s="1050"/>
      <c r="E52" s="1050"/>
      <c r="F52" s="1050"/>
      <c r="G52" s="1050"/>
      <c r="H52" s="1050"/>
      <c r="I52" s="1050"/>
      <c r="J52" s="1050"/>
      <c r="K52" s="1050"/>
      <c r="L52" s="1050"/>
      <c r="M52" s="1050"/>
      <c r="N52" s="1050"/>
      <c r="O52" s="1050"/>
      <c r="P52" s="1050"/>
      <c r="Q52" s="1050"/>
      <c r="R52" s="747"/>
    </row>
    <row r="53" spans="1:18" ht="16.5" thickBot="1">
      <c r="A53" s="895" t="s">
        <v>116</v>
      </c>
      <c r="B53" s="896"/>
      <c r="C53" s="757">
        <f ca="1">C41+C46+C48</f>
        <v>9586.7325572136397</v>
      </c>
      <c r="D53" s="758">
        <f t="shared" ref="D53:Q53" ca="1" si="6">D41+D46+D48</f>
        <v>1339.8201680672271</v>
      </c>
      <c r="E53" s="758">
        <f t="shared" ca="1" si="6"/>
        <v>14487.540417048429</v>
      </c>
      <c r="F53" s="758">
        <f t="shared" si="6"/>
        <v>793.80108261339876</v>
      </c>
      <c r="G53" s="758">
        <f t="shared" ca="1" si="6"/>
        <v>7543.4284011430409</v>
      </c>
      <c r="H53" s="758">
        <f t="shared" si="6"/>
        <v>37928.27428820965</v>
      </c>
      <c r="I53" s="758">
        <f t="shared" si="6"/>
        <v>4937.5645282453415</v>
      </c>
      <c r="J53" s="758">
        <f t="shared" si="6"/>
        <v>0</v>
      </c>
      <c r="K53" s="758">
        <f t="shared" si="6"/>
        <v>2560.8358195535948</v>
      </c>
      <c r="L53" s="758">
        <f t="shared" si="6"/>
        <v>0</v>
      </c>
      <c r="M53" s="758">
        <f t="shared" ca="1" si="6"/>
        <v>0</v>
      </c>
      <c r="N53" s="758">
        <f t="shared" si="6"/>
        <v>0</v>
      </c>
      <c r="O53" s="758">
        <f t="shared" ca="1" si="6"/>
        <v>0</v>
      </c>
      <c r="P53" s="758">
        <f>P41+P46+P48</f>
        <v>0</v>
      </c>
      <c r="Q53" s="759">
        <f t="shared" si="6"/>
        <v>0</v>
      </c>
      <c r="R53" s="760">
        <f ca="1">R41+R46+R48</f>
        <v>79177.997262094315</v>
      </c>
    </row>
    <row r="54" spans="1:18" ht="15.75" thickTop="1" thickBot="1">
      <c r="A54" s="845"/>
      <c r="B54" s="845"/>
      <c r="C54" s="762"/>
      <c r="D54" s="762"/>
      <c r="E54" s="763"/>
      <c r="F54" s="763"/>
      <c r="G54" s="763"/>
      <c r="H54" s="763"/>
      <c r="I54" s="763"/>
      <c r="J54" s="763"/>
      <c r="K54" s="763"/>
      <c r="L54" s="763"/>
      <c r="M54" s="763"/>
      <c r="N54" s="763"/>
      <c r="O54" s="763"/>
      <c r="P54" s="763"/>
      <c r="Q54" s="763"/>
      <c r="R54" s="763"/>
    </row>
    <row r="55" spans="1:18" ht="20.25" thickTop="1" thickBot="1">
      <c r="A55" s="764" t="s">
        <v>348</v>
      </c>
      <c r="B55" s="873"/>
      <c r="C55" s="824">
        <f t="shared" ref="C55:Q55" ca="1" si="7">IF(ISERROR(C53/C23),0,C53/C23)</f>
        <v>0.21237179715617377</v>
      </c>
      <c r="D55" s="824">
        <f t="shared" ca="1" si="7"/>
        <v>0.23764705882352943</v>
      </c>
      <c r="E55" s="824">
        <f t="shared" ca="1" si="7"/>
        <v>0.20199999999999999</v>
      </c>
      <c r="F55" s="824">
        <f t="shared" si="7"/>
        <v>0.22699999999999998</v>
      </c>
      <c r="G55" s="824">
        <f t="shared" ca="1" si="7"/>
        <v>0.26700000000000007</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3"/>
    </row>
    <row r="56" spans="1:18" ht="33" thickTop="1" thickBot="1">
      <c r="A56" s="880" t="s">
        <v>349</v>
      </c>
      <c r="B56" s="856"/>
      <c r="C56" s="825">
        <f>'EF ele_warmte'!B6</f>
        <v>0.221</v>
      </c>
      <c r="D56" s="826"/>
      <c r="E56" s="827"/>
      <c r="F56" s="828"/>
      <c r="G56" s="828"/>
      <c r="H56" s="828"/>
      <c r="I56" s="828"/>
      <c r="J56" s="828"/>
      <c r="K56" s="828"/>
      <c r="L56" s="828"/>
      <c r="M56" s="828"/>
      <c r="N56" s="828"/>
      <c r="O56" s="828"/>
      <c r="P56" s="828"/>
      <c r="Q56" s="828"/>
      <c r="R56" s="763"/>
    </row>
    <row r="57" spans="1:18" ht="15" thickTop="1">
      <c r="A57" s="765"/>
      <c r="B57" s="765"/>
      <c r="C57" s="763"/>
      <c r="D57" s="763"/>
      <c r="E57" s="763"/>
      <c r="F57" s="763"/>
      <c r="G57" s="763"/>
      <c r="H57" s="763"/>
      <c r="I57" s="763"/>
      <c r="J57" s="763"/>
      <c r="K57" s="763"/>
      <c r="L57" s="763"/>
      <c r="M57" s="763"/>
      <c r="N57" s="763"/>
      <c r="O57" s="763"/>
      <c r="P57" s="763"/>
      <c r="Q57" s="763"/>
      <c r="R57" s="763"/>
    </row>
    <row r="58" spans="1:18" ht="18.75">
      <c r="A58" s="766" t="s">
        <v>350</v>
      </c>
      <c r="B58" s="766"/>
      <c r="C58" s="733"/>
      <c r="D58" s="767"/>
      <c r="E58" s="733"/>
      <c r="F58" s="733"/>
      <c r="G58" s="733"/>
      <c r="H58" s="733"/>
      <c r="I58" s="733"/>
      <c r="J58" s="733"/>
      <c r="K58" s="733"/>
      <c r="L58" s="733"/>
      <c r="M58" s="733"/>
      <c r="N58" s="733"/>
      <c r="O58" s="733"/>
      <c r="P58" s="768"/>
      <c r="Q58" s="768"/>
      <c r="R58" s="768"/>
    </row>
    <row r="59" spans="1:18">
      <c r="A59" s="1023"/>
      <c r="B59" s="1023"/>
      <c r="C59" s="1023"/>
      <c r="D59" s="1023"/>
      <c r="E59" s="1023"/>
      <c r="F59" s="1023"/>
      <c r="G59" s="1023"/>
      <c r="H59" s="1023"/>
      <c r="I59" s="1023"/>
      <c r="J59" s="1023"/>
      <c r="K59" s="1023"/>
      <c r="L59" s="1023"/>
      <c r="M59" s="1023"/>
      <c r="N59" s="1023"/>
      <c r="O59" s="1023"/>
      <c r="P59" s="1023"/>
      <c r="Q59" s="1023"/>
      <c r="R59" s="769"/>
    </row>
    <row r="60" spans="1:18" ht="16.5" customHeight="1" thickBot="1">
      <c r="A60" s="736"/>
      <c r="B60" s="736"/>
      <c r="C60" s="737"/>
      <c r="D60" s="737"/>
      <c r="E60" s="737"/>
      <c r="F60" s="737"/>
      <c r="G60" s="737"/>
      <c r="H60" s="737"/>
      <c r="I60" s="737"/>
      <c r="J60" s="737"/>
      <c r="K60" s="737"/>
      <c r="L60" s="737"/>
      <c r="M60" s="737"/>
      <c r="N60" s="737"/>
      <c r="O60" s="737"/>
      <c r="P60" s="737"/>
      <c r="Q60" s="737"/>
      <c r="R60" s="737"/>
    </row>
    <row r="61" spans="1:18" ht="48.75" customHeight="1" thickTop="1" thickBot="1">
      <c r="A61" s="1036" t="s">
        <v>241</v>
      </c>
      <c r="B61" s="1061" t="s">
        <v>351</v>
      </c>
      <c r="C61" s="1052"/>
      <c r="D61" s="1058" t="s">
        <v>352</v>
      </c>
      <c r="E61" s="1059"/>
      <c r="F61" s="1059"/>
      <c r="G61" s="1059"/>
      <c r="H61" s="1059"/>
      <c r="I61" s="1059"/>
      <c r="J61" s="1059"/>
      <c r="K61" s="1059"/>
      <c r="L61" s="1059"/>
      <c r="M61" s="1060"/>
      <c r="N61" s="1052" t="s">
        <v>693</v>
      </c>
      <c r="O61" s="1063" t="s">
        <v>692</v>
      </c>
      <c r="P61" s="1064"/>
      <c r="Q61" s="770"/>
      <c r="R61" s="727"/>
    </row>
    <row r="62" spans="1:18" ht="31.5" thickTop="1" thickBot="1">
      <c r="A62" s="1051"/>
      <c r="B62" s="1062"/>
      <c r="C62" s="1054"/>
      <c r="D62" s="1055" t="s">
        <v>197</v>
      </c>
      <c r="E62" s="1056"/>
      <c r="F62" s="1056"/>
      <c r="G62" s="1056"/>
      <c r="H62" s="1057"/>
      <c r="I62" s="771" t="s">
        <v>245</v>
      </c>
      <c r="J62" s="772" t="s">
        <v>246</v>
      </c>
      <c r="K62" s="772" t="s">
        <v>234</v>
      </c>
      <c r="L62" s="772" t="s">
        <v>247</v>
      </c>
      <c r="M62" s="1068" t="s">
        <v>127</v>
      </c>
      <c r="N62" s="1053"/>
      <c r="O62" s="915"/>
      <c r="P62" s="916"/>
      <c r="Q62" s="770"/>
      <c r="R62" s="727"/>
    </row>
    <row r="63" spans="1:18" ht="95.25" customHeight="1" thickTop="1" thickBot="1">
      <c r="A63" s="1037"/>
      <c r="B63" s="843" t="s">
        <v>573</v>
      </c>
      <c r="C63" s="843" t="s">
        <v>691</v>
      </c>
      <c r="D63" s="773" t="s">
        <v>199</v>
      </c>
      <c r="E63" s="774" t="s">
        <v>200</v>
      </c>
      <c r="F63" s="775" t="s">
        <v>201</v>
      </c>
      <c r="G63" s="776" t="s">
        <v>203</v>
      </c>
      <c r="H63" s="777" t="s">
        <v>204</v>
      </c>
      <c r="I63" s="778"/>
      <c r="J63" s="774"/>
      <c r="K63" s="774"/>
      <c r="L63" s="774"/>
      <c r="M63" s="1069"/>
      <c r="N63" s="1054"/>
      <c r="O63" s="846" t="s">
        <v>694</v>
      </c>
      <c r="P63" s="844" t="s">
        <v>695</v>
      </c>
      <c r="Q63" s="770"/>
      <c r="R63" s="727"/>
    </row>
    <row r="64" spans="1:18" ht="15.75" thickTop="1">
      <c r="A64" s="779" t="s">
        <v>249</v>
      </c>
      <c r="B64" s="897">
        <f>'lokale energieproductie'!B4</f>
        <v>0</v>
      </c>
      <c r="C64" s="780">
        <f>'lokale energieproductie'!B4</f>
        <v>0</v>
      </c>
      <c r="D64" s="1070"/>
      <c r="E64" s="1038"/>
      <c r="F64" s="1038"/>
      <c r="G64" s="1041"/>
      <c r="H64" s="1044"/>
      <c r="I64" s="781"/>
      <c r="J64" s="781"/>
      <c r="K64" s="781"/>
      <c r="L64" s="781"/>
      <c r="M64" s="1065"/>
      <c r="N64" s="910">
        <v>0</v>
      </c>
      <c r="O64" s="917"/>
      <c r="P64" s="910">
        <v>0</v>
      </c>
      <c r="Q64" s="770"/>
      <c r="R64" s="768"/>
    </row>
    <row r="65" spans="1:18" ht="15">
      <c r="A65" s="782" t="s">
        <v>250</v>
      </c>
      <c r="B65" s="779">
        <f>'lokale energieproductie'!B5</f>
        <v>0</v>
      </c>
      <c r="C65" s="780">
        <f>'lokale energieproductie'!B5</f>
        <v>0</v>
      </c>
      <c r="D65" s="1071"/>
      <c r="E65" s="1039"/>
      <c r="F65" s="1039"/>
      <c r="G65" s="1042"/>
      <c r="H65" s="1045"/>
      <c r="I65" s="783"/>
      <c r="J65" s="783"/>
      <c r="K65" s="783"/>
      <c r="L65" s="783"/>
      <c r="M65" s="1066"/>
      <c r="N65" s="911">
        <v>0</v>
      </c>
      <c r="O65" s="917"/>
      <c r="P65" s="911">
        <v>0</v>
      </c>
      <c r="Q65" s="770"/>
      <c r="R65" s="733"/>
    </row>
    <row r="66" spans="1:18" ht="15">
      <c r="A66" s="782" t="s">
        <v>251</v>
      </c>
      <c r="B66" s="779">
        <f>'lokale energieproductie'!B6</f>
        <v>2059.6635685145056</v>
      </c>
      <c r="C66" s="780">
        <f>'lokale energieproductie'!B6</f>
        <v>2059.6635685145056</v>
      </c>
      <c r="D66" s="1072"/>
      <c r="E66" s="1040"/>
      <c r="F66" s="1040"/>
      <c r="G66" s="1043"/>
      <c r="H66" s="1046"/>
      <c r="I66" s="784"/>
      <c r="J66" s="784"/>
      <c r="K66" s="784"/>
      <c r="L66" s="784"/>
      <c r="M66" s="1067"/>
      <c r="N66" s="911">
        <v>0</v>
      </c>
      <c r="O66" s="917"/>
      <c r="P66" s="911">
        <v>0</v>
      </c>
      <c r="Q66" s="770"/>
      <c r="R66" s="768"/>
    </row>
    <row r="67" spans="1:18" ht="15">
      <c r="A67" s="785" t="s">
        <v>252</v>
      </c>
      <c r="B67" s="779">
        <f>'lokale energieproductie'!B7</f>
        <v>3946.5</v>
      </c>
      <c r="C67" s="779">
        <f>B67*IFERROR(SUM(J67:L67)/SUM(D67:M67),0)</f>
        <v>0</v>
      </c>
      <c r="D67" s="811">
        <f>'lokale energieproductie'!C7</f>
        <v>4642.9411764705883</v>
      </c>
      <c r="E67" s="812">
        <f>'lokale energieproductie'!D7</f>
        <v>0</v>
      </c>
      <c r="F67" s="812">
        <f>'lokale energieproductie'!E7</f>
        <v>0</v>
      </c>
      <c r="G67" s="812">
        <f>'lokale energieproductie'!F7</f>
        <v>0</v>
      </c>
      <c r="H67" s="812">
        <f>'lokale energieproductie'!G7</f>
        <v>0</v>
      </c>
      <c r="I67" s="812">
        <f>'lokale energieproductie'!H7</f>
        <v>0</v>
      </c>
      <c r="J67" s="812">
        <f>'lokale energieproductie'!I7</f>
        <v>0</v>
      </c>
      <c r="K67" s="812">
        <f>'lokale energieproductie'!J7</f>
        <v>0</v>
      </c>
      <c r="L67" s="812">
        <f>'lokale energieproductie'!K7</f>
        <v>0</v>
      </c>
      <c r="M67" s="813">
        <f>'lokale energieproductie'!L7</f>
        <v>0</v>
      </c>
      <c r="N67" s="900"/>
      <c r="O67" s="912">
        <f>D67*EF_CO2_aardgas+E67*EF_VLgas_CO2+'SEAP template'!F67*EF_stookolie_CO2+EF_bruinkool_CO2*'SEAP template'!G67+'SEAP template'!H67*EF_steenkool_CO2+'EF brandstof'!M4*'SEAP template'!I67+'SEAP template'!M67*EF_anderfossiel_CO2</f>
        <v>937.87411764705894</v>
      </c>
      <c r="P67" s="911">
        <v>0</v>
      </c>
      <c r="Q67" s="770"/>
      <c r="R67" s="727"/>
    </row>
    <row r="68" spans="1:18" ht="30.75" thickBot="1">
      <c r="A68" s="786" t="s">
        <v>353</v>
      </c>
      <c r="B68" s="779">
        <f>'lokale energieproductie'!B8</f>
        <v>0</v>
      </c>
      <c r="C68" s="779">
        <f>B68*IFERROR(SUM(J68:L68)/SUM(D68:M68),0)</f>
        <v>0</v>
      </c>
      <c r="D68" s="814">
        <f>'lokale energieproductie'!C8</f>
        <v>0</v>
      </c>
      <c r="E68" s="815">
        <f>'lokale energieproductie'!D8</f>
        <v>0</v>
      </c>
      <c r="F68" s="815">
        <f>'lokale energieproductie'!E8</f>
        <v>0</v>
      </c>
      <c r="G68" s="815">
        <f>'lokale energieproductie'!F8</f>
        <v>0</v>
      </c>
      <c r="H68" s="815">
        <f>'lokale energieproductie'!G8</f>
        <v>0</v>
      </c>
      <c r="I68" s="815">
        <f>'lokale energieproductie'!H8</f>
        <v>0</v>
      </c>
      <c r="J68" s="815">
        <f>'lokale energieproductie'!I8</f>
        <v>0</v>
      </c>
      <c r="K68" s="815">
        <f>'lokale energieproductie'!J8</f>
        <v>0</v>
      </c>
      <c r="L68" s="815">
        <f>'lokale energieproductie'!K8</f>
        <v>0</v>
      </c>
      <c r="M68" s="816">
        <f>'lokale energieproductie'!L8</f>
        <v>0</v>
      </c>
      <c r="N68" s="901"/>
      <c r="O68" s="912">
        <f>D68*EF_CO2_aardgas+E68*EF_VLgas_CO2+'SEAP template'!F68*EF_stookolie_CO2+EF_bruinkool_CO2*'SEAP template'!G68+'SEAP template'!H68*EF_steenkool_CO2+'EF brandstof'!M4*'SEAP template'!I68+'SEAP template'!M68*EF_anderfossiel_CO2</f>
        <v>0</v>
      </c>
      <c r="P68" s="914">
        <v>0</v>
      </c>
      <c r="Q68" s="770"/>
      <c r="R68" s="727"/>
    </row>
    <row r="69" spans="1:18" ht="16.5" thickTop="1" thickBot="1">
      <c r="A69" s="787" t="s">
        <v>116</v>
      </c>
      <c r="B69" s="788">
        <f>SUM(B64:B68)</f>
        <v>6006.1635685145056</v>
      </c>
      <c r="C69" s="788">
        <f>SUM(C64:C68)</f>
        <v>2059.6635685145056</v>
      </c>
      <c r="D69" s="789">
        <f t="shared" ref="D69:M69" si="8">SUM(D67:D68)</f>
        <v>4642.9411764705883</v>
      </c>
      <c r="E69" s="789">
        <f t="shared" si="8"/>
        <v>0</v>
      </c>
      <c r="F69" s="789">
        <f t="shared" si="8"/>
        <v>0</v>
      </c>
      <c r="G69" s="789">
        <f t="shared" si="8"/>
        <v>0</v>
      </c>
      <c r="H69" s="789">
        <f t="shared" si="8"/>
        <v>0</v>
      </c>
      <c r="I69" s="789">
        <f t="shared" si="8"/>
        <v>0</v>
      </c>
      <c r="J69" s="789">
        <f t="shared" si="8"/>
        <v>0</v>
      </c>
      <c r="K69" s="789">
        <f t="shared" si="8"/>
        <v>0</v>
      </c>
      <c r="L69" s="789">
        <f t="shared" si="8"/>
        <v>0</v>
      </c>
      <c r="M69" s="919">
        <f t="shared" si="8"/>
        <v>0</v>
      </c>
      <c r="N69" s="790">
        <v>0</v>
      </c>
      <c r="O69" s="790">
        <f>SUM(O67:O68)</f>
        <v>937.87411764705894</v>
      </c>
      <c r="P69" s="790">
        <f>SUM(P64:P68)</f>
        <v>0</v>
      </c>
      <c r="Q69" s="770"/>
      <c r="R69" s="727"/>
    </row>
    <row r="70" spans="1:18" ht="15.75" thickTop="1">
      <c r="A70" s="791"/>
      <c r="B70" s="857"/>
      <c r="C70" s="792"/>
      <c r="D70" s="792"/>
      <c r="E70" s="734"/>
      <c r="F70" s="733"/>
      <c r="G70" s="733"/>
      <c r="H70" s="733"/>
      <c r="I70" s="793"/>
      <c r="J70" s="733"/>
      <c r="K70" s="733"/>
      <c r="L70" s="733"/>
      <c r="M70" s="733"/>
      <c r="N70" s="794"/>
      <c r="O70" s="733"/>
      <c r="P70" s="733"/>
      <c r="Q70" s="733"/>
      <c r="R70" s="733"/>
    </row>
    <row r="71" spans="1:18" ht="15">
      <c r="A71" s="761"/>
      <c r="B71" s="845"/>
      <c r="C71" s="792"/>
      <c r="D71" s="792"/>
      <c r="E71" s="733"/>
      <c r="F71" s="733"/>
      <c r="G71" s="733"/>
      <c r="H71" s="733"/>
      <c r="I71" s="733"/>
      <c r="J71" s="733"/>
      <c r="K71" s="733"/>
      <c r="L71" s="733"/>
      <c r="M71" s="733"/>
      <c r="N71" s="733"/>
      <c r="O71" s="733"/>
      <c r="P71" s="733"/>
      <c r="Q71" s="733"/>
      <c r="R71" s="733"/>
    </row>
    <row r="72" spans="1:18" ht="18.75">
      <c r="A72" s="795" t="s">
        <v>354</v>
      </c>
      <c r="B72" s="795"/>
      <c r="C72" s="796"/>
      <c r="D72" s="767"/>
      <c r="E72" s="733"/>
      <c r="F72" s="733"/>
      <c r="G72" s="733"/>
      <c r="H72" s="733"/>
      <c r="I72" s="733"/>
      <c r="J72" s="733"/>
      <c r="K72" s="733"/>
      <c r="L72" s="733"/>
      <c r="M72" s="733"/>
      <c r="N72" s="733"/>
      <c r="O72" s="733"/>
      <c r="P72" s="733"/>
      <c r="Q72" s="733"/>
      <c r="R72" s="733"/>
    </row>
    <row r="73" spans="1:18">
      <c r="A73" s="1023"/>
      <c r="B73" s="1023"/>
      <c r="C73" s="1023"/>
      <c r="D73" s="1023"/>
      <c r="E73" s="1023"/>
      <c r="F73" s="1023"/>
      <c r="G73" s="1023"/>
      <c r="H73" s="1023"/>
      <c r="I73" s="1023"/>
      <c r="J73" s="1023"/>
      <c r="K73" s="1023"/>
      <c r="L73" s="1023"/>
      <c r="M73" s="1023"/>
      <c r="N73" s="1023"/>
      <c r="O73" s="1023"/>
      <c r="P73" s="1023"/>
      <c r="Q73" s="769"/>
      <c r="R73" s="769"/>
    </row>
    <row r="74" spans="1:18" ht="15.75" thickBot="1">
      <c r="A74" s="736"/>
      <c r="B74" s="736"/>
      <c r="C74" s="737"/>
      <c r="D74" s="737"/>
      <c r="E74" s="737"/>
      <c r="F74" s="737"/>
      <c r="G74" s="737"/>
      <c r="H74" s="737"/>
      <c r="I74" s="737"/>
      <c r="J74" s="737"/>
      <c r="K74" s="737"/>
      <c r="L74" s="737"/>
      <c r="M74" s="737"/>
      <c r="N74" s="737"/>
      <c r="O74" s="737"/>
      <c r="P74" s="737"/>
      <c r="Q74" s="737"/>
      <c r="R74" s="737"/>
    </row>
    <row r="75" spans="1:18" ht="48.2" customHeight="1" thickTop="1" thickBot="1">
      <c r="A75" s="1036" t="s">
        <v>253</v>
      </c>
      <c r="B75" s="1061" t="s">
        <v>355</v>
      </c>
      <c r="C75" s="1052"/>
      <c r="D75" s="1058" t="s">
        <v>356</v>
      </c>
      <c r="E75" s="1059"/>
      <c r="F75" s="1059"/>
      <c r="G75" s="1059"/>
      <c r="H75" s="1059"/>
      <c r="I75" s="1059"/>
      <c r="J75" s="1059"/>
      <c r="K75" s="1059"/>
      <c r="L75" s="1059"/>
      <c r="M75" s="1060"/>
      <c r="N75" s="1052" t="s">
        <v>693</v>
      </c>
      <c r="O75" s="1061" t="s">
        <v>692</v>
      </c>
      <c r="P75" s="1052"/>
      <c r="Q75" s="797"/>
      <c r="R75" s="727"/>
    </row>
    <row r="76" spans="1:18" ht="16.5" thickTop="1" thickBot="1">
      <c r="A76" s="1051"/>
      <c r="B76" s="1078"/>
      <c r="C76" s="1053"/>
      <c r="D76" s="1073" t="s">
        <v>197</v>
      </c>
      <c r="E76" s="1074"/>
      <c r="F76" s="1074"/>
      <c r="G76" s="1074"/>
      <c r="H76" s="1075"/>
      <c r="I76" s="1076" t="s">
        <v>245</v>
      </c>
      <c r="J76" s="1076" t="s">
        <v>246</v>
      </c>
      <c r="K76" s="1031" t="s">
        <v>234</v>
      </c>
      <c r="L76" s="1080" t="s">
        <v>257</v>
      </c>
      <c r="M76" s="1068" t="s">
        <v>127</v>
      </c>
      <c r="N76" s="1053"/>
      <c r="O76" s="915"/>
      <c r="P76" s="916"/>
      <c r="Q76" s="797"/>
      <c r="R76" s="727"/>
    </row>
    <row r="77" spans="1:18" ht="110.25" customHeight="1" thickTop="1" thickBot="1">
      <c r="A77" s="1037"/>
      <c r="B77" s="898" t="s">
        <v>573</v>
      </c>
      <c r="C77" s="898" t="s">
        <v>691</v>
      </c>
      <c r="D77" s="798" t="s">
        <v>199</v>
      </c>
      <c r="E77" s="774" t="s">
        <v>200</v>
      </c>
      <c r="F77" s="799" t="s">
        <v>201</v>
      </c>
      <c r="G77" s="774" t="s">
        <v>203</v>
      </c>
      <c r="H77" s="800" t="s">
        <v>204</v>
      </c>
      <c r="I77" s="1077"/>
      <c r="J77" s="1077"/>
      <c r="K77" s="1079"/>
      <c r="L77" s="1032"/>
      <c r="M77" s="1081"/>
      <c r="N77" s="1054"/>
      <c r="O77" s="846" t="s">
        <v>694</v>
      </c>
      <c r="P77" s="844" t="s">
        <v>695</v>
      </c>
      <c r="Q77" s="797"/>
      <c r="R77" s="727"/>
    </row>
    <row r="78" spans="1:18" ht="15.75" thickTop="1">
      <c r="A78" s="801" t="s">
        <v>252</v>
      </c>
      <c r="B78" s="802">
        <f>'lokale energieproductie'!B16</f>
        <v>5637.8571428571431</v>
      </c>
      <c r="C78" s="802">
        <f>B78*IFERROR(SUM(I78:L78)/SUM(D78:M78),0)</f>
        <v>0</v>
      </c>
      <c r="D78" s="817">
        <f>'lokale energieproductie'!C16</f>
        <v>6632.7731092436979</v>
      </c>
      <c r="E78" s="817">
        <f>'lokale energieproductie'!D16</f>
        <v>0</v>
      </c>
      <c r="F78" s="817">
        <f>'lokale energieproductie'!E16</f>
        <v>0</v>
      </c>
      <c r="G78" s="817">
        <f>'lokale energieproductie'!F16</f>
        <v>0</v>
      </c>
      <c r="H78" s="817">
        <f>'lokale energieproductie'!G16</f>
        <v>0</v>
      </c>
      <c r="I78" s="817">
        <f>'lokale energieproductie'!H16</f>
        <v>0</v>
      </c>
      <c r="J78" s="817">
        <f>'lokale energieproductie'!I16</f>
        <v>0</v>
      </c>
      <c r="K78" s="817">
        <f>'lokale energieproductie'!J16</f>
        <v>0</v>
      </c>
      <c r="L78" s="817">
        <f>'lokale energieproductie'!K16</f>
        <v>0</v>
      </c>
      <c r="M78" s="817">
        <f>'lokale energieproductie'!L16</f>
        <v>0</v>
      </c>
      <c r="N78" s="899"/>
      <c r="O78" s="918">
        <f>D78*EF_CO2_aardgas+E78*EF_VLgas_CO2+'SEAP template'!F78*EF_stookolie_CO2+EF_bruinkool_CO2*'SEAP template'!G78+'SEAP template'!H78*EF_steenkool_CO2+'EF brandstof'!M4*'SEAP template'!I78+'SEAP template'!M78*EF_anderfossiel_CO2</f>
        <v>1339.8201680672271</v>
      </c>
      <c r="P78" s="902">
        <v>0</v>
      </c>
      <c r="Q78" s="797"/>
      <c r="R78" s="727"/>
    </row>
    <row r="79" spans="1:18" ht="15">
      <c r="A79" s="803" t="s">
        <v>258</v>
      </c>
      <c r="B79" s="802">
        <f>'lokale energieproductie'!B17</f>
        <v>0</v>
      </c>
      <c r="C79" s="802">
        <f>B79*IFERROR(SUM(J79:L79)/SUM(D79:M79),0)</f>
        <v>0</v>
      </c>
      <c r="D79" s="817">
        <f>'lokale energieproductie'!C17</f>
        <v>0</v>
      </c>
      <c r="E79" s="817">
        <f>'lokale energieproductie'!D17</f>
        <v>0</v>
      </c>
      <c r="F79" s="817">
        <f>'lokale energieproductie'!E17</f>
        <v>0</v>
      </c>
      <c r="G79" s="817">
        <f>'lokale energieproductie'!F17</f>
        <v>0</v>
      </c>
      <c r="H79" s="817">
        <f>'lokale energieproductie'!G17</f>
        <v>0</v>
      </c>
      <c r="I79" s="817">
        <f>'lokale energieproductie'!H17</f>
        <v>0</v>
      </c>
      <c r="J79" s="817">
        <f>'lokale energieproductie'!I17</f>
        <v>0</v>
      </c>
      <c r="K79" s="817">
        <f>'lokale energieproductie'!J17</f>
        <v>0</v>
      </c>
      <c r="L79" s="817">
        <f>'lokale energieproductie'!K17</f>
        <v>0</v>
      </c>
      <c r="M79" s="817">
        <f>'lokale energieproductie'!L17</f>
        <v>0</v>
      </c>
      <c r="N79" s="900"/>
      <c r="O79" s="912">
        <f>D79*EF_CO2_aardgas+E79*EF_VLgas_CO2+'SEAP template'!F79*EF_stookolie_CO2+EF_bruinkool_CO2*'SEAP template'!G79+'SEAP template'!H79*EF_steenkool_CO2+'EF brandstof'!M4*'SEAP template'!I79+'SEAP template'!M79*EF_anderfossiel_CO2</f>
        <v>0</v>
      </c>
      <c r="P79" s="903">
        <v>0</v>
      </c>
      <c r="Q79" s="804"/>
      <c r="R79" s="727"/>
    </row>
    <row r="80" spans="1:18" ht="30.75" thickBot="1">
      <c r="A80" s="786" t="s">
        <v>353</v>
      </c>
      <c r="B80" s="802">
        <f>'lokale energieproductie'!B18</f>
        <v>0</v>
      </c>
      <c r="C80" s="802">
        <f>B80*IFERROR(SUM(J80:L80)/SUM(D80:M80),0)</f>
        <v>0</v>
      </c>
      <c r="D80" s="817">
        <f>'lokale energieproductie'!C18</f>
        <v>0</v>
      </c>
      <c r="E80" s="817">
        <f>'lokale energieproductie'!D18</f>
        <v>0</v>
      </c>
      <c r="F80" s="817">
        <f>'lokale energieproductie'!E18</f>
        <v>0</v>
      </c>
      <c r="G80" s="817">
        <f>'lokale energieproductie'!F18</f>
        <v>0</v>
      </c>
      <c r="H80" s="817">
        <f>'lokale energieproductie'!G18</f>
        <v>0</v>
      </c>
      <c r="I80" s="817">
        <f>'lokale energieproductie'!H18</f>
        <v>0</v>
      </c>
      <c r="J80" s="817">
        <f>'lokale energieproductie'!I18</f>
        <v>0</v>
      </c>
      <c r="K80" s="817">
        <f>'lokale energieproductie'!J18</f>
        <v>0</v>
      </c>
      <c r="L80" s="817">
        <f>'lokale energieproductie'!K18</f>
        <v>0</v>
      </c>
      <c r="M80" s="817">
        <f>'lokale energieproductie'!L18</f>
        <v>0</v>
      </c>
      <c r="N80" s="900"/>
      <c r="O80" s="913">
        <f>D80*EF_CO2_aardgas+E80*EF_VLgas_CO2+'SEAP template'!F80*EF_stookolie_CO2+EF_bruinkool_CO2*'SEAP template'!G80+'SEAP template'!H80*EF_steenkool_CO2+'EF brandstof'!M4*'SEAP template'!I80+'SEAP template'!M80*EF_anderfossiel_CO2</f>
        <v>0</v>
      </c>
      <c r="P80" s="904">
        <v>0</v>
      </c>
      <c r="Q80" s="804"/>
      <c r="R80" s="727"/>
    </row>
    <row r="81" spans="1:18" ht="16.5" thickTop="1" thickBot="1">
      <c r="A81" s="805" t="s">
        <v>116</v>
      </c>
      <c r="B81" s="788">
        <f>SUM(B78:B80)</f>
        <v>5637.8571428571431</v>
      </c>
      <c r="C81" s="788">
        <f>SUM(C78:C80)</f>
        <v>0</v>
      </c>
      <c r="D81" s="788">
        <f t="shared" ref="D81:P81" si="9">SUM(D78:D80)</f>
        <v>6632.7731092436979</v>
      </c>
      <c r="E81" s="788">
        <f t="shared" si="9"/>
        <v>0</v>
      </c>
      <c r="F81" s="788">
        <f t="shared" si="9"/>
        <v>0</v>
      </c>
      <c r="G81" s="788">
        <f t="shared" si="9"/>
        <v>0</v>
      </c>
      <c r="H81" s="788">
        <f t="shared" si="9"/>
        <v>0</v>
      </c>
      <c r="I81" s="788">
        <f t="shared" si="9"/>
        <v>0</v>
      </c>
      <c r="J81" s="788">
        <f t="shared" si="9"/>
        <v>0</v>
      </c>
      <c r="K81" s="788">
        <f t="shared" si="9"/>
        <v>0</v>
      </c>
      <c r="L81" s="788">
        <f t="shared" si="9"/>
        <v>0</v>
      </c>
      <c r="M81" s="788">
        <f t="shared" si="9"/>
        <v>0</v>
      </c>
      <c r="N81" s="788">
        <v>0</v>
      </c>
      <c r="O81" s="788">
        <f>SUM(O78:O80)</f>
        <v>1339.8201680672271</v>
      </c>
      <c r="P81" s="919">
        <f t="shared" si="9"/>
        <v>0</v>
      </c>
      <c r="Q81" s="804"/>
      <c r="R81" s="727"/>
    </row>
    <row r="82" spans="1:18" ht="15.75" thickTop="1">
      <c r="A82" s="806"/>
      <c r="B82" s="806"/>
      <c r="C82" s="807"/>
      <c r="D82" s="808"/>
      <c r="E82" s="809"/>
      <c r="F82" s="793"/>
      <c r="G82" s="793"/>
      <c r="H82" s="793"/>
      <c r="I82" s="793"/>
      <c r="J82" s="793"/>
      <c r="K82" s="793"/>
      <c r="L82" s="793"/>
      <c r="M82" s="733"/>
      <c r="N82" s="793"/>
      <c r="O82" s="733"/>
      <c r="P82" s="768"/>
      <c r="Q82" s="733"/>
      <c r="R82" s="733"/>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B7" sqref="B7"/>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082" t="s">
        <v>568</v>
      </c>
      <c r="B1" s="1083" t="s">
        <v>564</v>
      </c>
      <c r="C1" s="1083"/>
      <c r="D1" s="1083"/>
      <c r="E1" s="1083"/>
      <c r="F1" s="1083"/>
      <c r="G1" s="1083"/>
      <c r="H1" s="1083"/>
      <c r="I1" s="1083"/>
      <c r="J1" s="1083"/>
      <c r="K1" s="1083"/>
      <c r="L1" s="1083"/>
      <c r="M1" s="1083"/>
      <c r="N1" s="1083"/>
      <c r="O1" s="1083"/>
      <c r="P1" s="1084"/>
      <c r="Q1" s="459"/>
    </row>
    <row r="2" spans="1:17">
      <c r="A2" s="1082"/>
      <c r="B2" s="1085" t="s">
        <v>21</v>
      </c>
      <c r="C2" s="1087" t="s">
        <v>196</v>
      </c>
      <c r="D2" s="1089" t="s">
        <v>197</v>
      </c>
      <c r="E2" s="1090"/>
      <c r="F2" s="1090"/>
      <c r="G2" s="1090"/>
      <c r="H2" s="1090"/>
      <c r="I2" s="1090"/>
      <c r="J2" s="1090"/>
      <c r="K2" s="1086"/>
      <c r="L2" s="1089" t="s">
        <v>198</v>
      </c>
      <c r="M2" s="1090"/>
      <c r="N2" s="1090"/>
      <c r="O2" s="1090"/>
      <c r="P2" s="1086"/>
      <c r="Q2" s="459"/>
    </row>
    <row r="3" spans="1:17" ht="45">
      <c r="A3" s="1082"/>
      <c r="B3" s="1086"/>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c r="Q3" s="459" t="s">
        <v>116</v>
      </c>
    </row>
    <row r="4" spans="1:17">
      <c r="A4" s="461" t="s">
        <v>155</v>
      </c>
      <c r="B4" s="462">
        <f>huishoudens!B8</f>
        <v>27636.950254420284</v>
      </c>
      <c r="C4" s="462">
        <f>huishoudens!C8</f>
        <v>0</v>
      </c>
      <c r="D4" s="462">
        <f>huishoudens!D8</f>
        <v>38441.581042886341</v>
      </c>
      <c r="E4" s="462">
        <f>huishoudens!E8</f>
        <v>2769.8588743846649</v>
      </c>
      <c r="F4" s="462">
        <f>huishoudens!F8</f>
        <v>16753.239796614991</v>
      </c>
      <c r="G4" s="462">
        <f>huishoudens!G8</f>
        <v>0</v>
      </c>
      <c r="H4" s="462">
        <f>huishoudens!H8</f>
        <v>0</v>
      </c>
      <c r="I4" s="462">
        <f>huishoudens!I8</f>
        <v>0</v>
      </c>
      <c r="J4" s="462">
        <f>huishoudens!J8</f>
        <v>6920.4542275571612</v>
      </c>
      <c r="K4" s="462">
        <f>huishoudens!K8</f>
        <v>0</v>
      </c>
      <c r="L4" s="462">
        <f>huishoudens!L8</f>
        <v>0</v>
      </c>
      <c r="M4" s="462">
        <f>huishoudens!M8</f>
        <v>0</v>
      </c>
      <c r="N4" s="462">
        <f>huishoudens!N8</f>
        <v>10135.475189904499</v>
      </c>
      <c r="O4" s="462">
        <f>huishoudens!O8</f>
        <v>131.32000000000002</v>
      </c>
      <c r="P4" s="463">
        <f>huishoudens!P8</f>
        <v>343.2</v>
      </c>
      <c r="Q4" s="464">
        <f>SUM(B4:P4)</f>
        <v>103132.07938576792</v>
      </c>
    </row>
    <row r="5" spans="1:17">
      <c r="A5" s="461" t="s">
        <v>156</v>
      </c>
      <c r="B5" s="462">
        <f ca="1">tertiair!B16</f>
        <v>10665.870446776822</v>
      </c>
      <c r="C5" s="462">
        <f ca="1">tertiair!C16</f>
        <v>0</v>
      </c>
      <c r="D5" s="462">
        <f ca="1">tertiair!D16</f>
        <v>10700.562910450002</v>
      </c>
      <c r="E5" s="462">
        <f>tertiair!E16</f>
        <v>115.8607042949149</v>
      </c>
      <c r="F5" s="462">
        <f ca="1">tertiair!F16</f>
        <v>2119.3937098304359</v>
      </c>
      <c r="G5" s="462">
        <f>tertiair!G16</f>
        <v>0</v>
      </c>
      <c r="H5" s="462">
        <f>tertiair!H16</f>
        <v>0</v>
      </c>
      <c r="I5" s="462">
        <f>tertiair!I16</f>
        <v>0</v>
      </c>
      <c r="J5" s="462">
        <f>tertiair!J16</f>
        <v>0</v>
      </c>
      <c r="K5" s="462">
        <f>tertiair!K16</f>
        <v>0</v>
      </c>
      <c r="L5" s="462">
        <f ca="1">tertiair!L16</f>
        <v>0</v>
      </c>
      <c r="M5" s="462">
        <f>tertiair!M16</f>
        <v>0</v>
      </c>
      <c r="N5" s="462">
        <f ca="1">tertiair!N16</f>
        <v>612.37116672037303</v>
      </c>
      <c r="O5" s="462">
        <f>tertiair!O16</f>
        <v>0</v>
      </c>
      <c r="P5" s="463">
        <f>tertiair!P16</f>
        <v>0</v>
      </c>
      <c r="Q5" s="461">
        <f t="shared" ref="Q5:Q13" ca="1" si="0">SUM(B5:P5)</f>
        <v>24214.058938072547</v>
      </c>
    </row>
    <row r="6" spans="1:17">
      <c r="A6" s="461" t="s">
        <v>194</v>
      </c>
      <c r="B6" s="462">
        <f>'openbare verlichting'!B8</f>
        <v>991.72900000000004</v>
      </c>
      <c r="C6" s="462"/>
      <c r="D6" s="462"/>
      <c r="E6" s="462"/>
      <c r="F6" s="462"/>
      <c r="G6" s="462"/>
      <c r="H6" s="462"/>
      <c r="I6" s="462"/>
      <c r="J6" s="462"/>
      <c r="K6" s="462"/>
      <c r="L6" s="462"/>
      <c r="M6" s="462"/>
      <c r="N6" s="462"/>
      <c r="O6" s="462"/>
      <c r="P6" s="463"/>
      <c r="Q6" s="461">
        <f t="shared" si="0"/>
        <v>991.72900000000004</v>
      </c>
    </row>
    <row r="7" spans="1:17">
      <c r="A7" s="461" t="s">
        <v>112</v>
      </c>
      <c r="B7" s="462">
        <f>landbouw!B8</f>
        <v>2414.5125132919056</v>
      </c>
      <c r="C7" s="462">
        <f>landbouw!C8</f>
        <v>5637.8571428571431</v>
      </c>
      <c r="D7" s="462">
        <f>landbouw!D8</f>
        <v>1591.9855416143382</v>
      </c>
      <c r="E7" s="462">
        <f>landbouw!E8</f>
        <v>22.746325651661728</v>
      </c>
      <c r="F7" s="462">
        <f>landbouw!F8</f>
        <v>7879.3556372013118</v>
      </c>
      <c r="G7" s="462">
        <f>landbouw!G8</f>
        <v>0</v>
      </c>
      <c r="H7" s="462">
        <f>landbouw!H8</f>
        <v>0</v>
      </c>
      <c r="I7" s="462">
        <f>landbouw!I8</f>
        <v>0</v>
      </c>
      <c r="J7" s="462">
        <f>landbouw!J8</f>
        <v>298.6869420808174</v>
      </c>
      <c r="K7" s="462">
        <f>landbouw!K8</f>
        <v>0</v>
      </c>
      <c r="L7" s="462">
        <f>landbouw!L8</f>
        <v>0</v>
      </c>
      <c r="M7" s="462">
        <f>landbouw!M8</f>
        <v>0</v>
      </c>
      <c r="N7" s="462">
        <f>landbouw!N8</f>
        <v>0</v>
      </c>
      <c r="O7" s="462">
        <f>landbouw!O8</f>
        <v>0</v>
      </c>
      <c r="P7" s="463">
        <f>landbouw!P8</f>
        <v>0</v>
      </c>
      <c r="Q7" s="461">
        <f t="shared" si="0"/>
        <v>17845.144102697177</v>
      </c>
    </row>
    <row r="8" spans="1:17">
      <c r="A8" s="461" t="s">
        <v>685</v>
      </c>
      <c r="B8" s="462">
        <f>industrie!B18</f>
        <v>3429.2314202139332</v>
      </c>
      <c r="C8" s="462">
        <f>industrie!C18</f>
        <v>0</v>
      </c>
      <c r="D8" s="462">
        <f>industrie!D18</f>
        <v>20977.64760766476</v>
      </c>
      <c r="E8" s="462">
        <f>industrie!E18</f>
        <v>26.927989832492933</v>
      </c>
      <c r="F8" s="462">
        <f>industrie!F18</f>
        <v>1500.5516846043472</v>
      </c>
      <c r="G8" s="462">
        <f>industrie!G18</f>
        <v>0</v>
      </c>
      <c r="H8" s="462">
        <f>industrie!H18</f>
        <v>0</v>
      </c>
      <c r="I8" s="462">
        <f>industrie!I18</f>
        <v>0</v>
      </c>
      <c r="J8" s="462">
        <f>industrie!J18</f>
        <v>14.85832062641342</v>
      </c>
      <c r="K8" s="462">
        <f>industrie!K18</f>
        <v>0</v>
      </c>
      <c r="L8" s="462">
        <f>industrie!L18</f>
        <v>0</v>
      </c>
      <c r="M8" s="462">
        <f>industrie!M18</f>
        <v>0</v>
      </c>
      <c r="N8" s="462">
        <f>industrie!N18</f>
        <v>155.14331174512745</v>
      </c>
      <c r="O8" s="462">
        <f>industrie!O18</f>
        <v>0</v>
      </c>
      <c r="P8" s="463">
        <f>industrie!P18</f>
        <v>0</v>
      </c>
      <c r="Q8" s="461">
        <f t="shared" si="0"/>
        <v>26104.36033468707</v>
      </c>
    </row>
    <row r="9" spans="1:17" s="467" customFormat="1">
      <c r="A9" s="465" t="s">
        <v>579</v>
      </c>
      <c r="B9" s="466">
        <f>transport!B14</f>
        <v>2.9759951987988846</v>
      </c>
      <c r="C9" s="466">
        <f>transport!C14</f>
        <v>0</v>
      </c>
      <c r="D9" s="466">
        <f>transport!D14</f>
        <v>8.7200114856950535</v>
      </c>
      <c r="E9" s="466">
        <f>transport!E14</f>
        <v>561.52717461775831</v>
      </c>
      <c r="F9" s="466">
        <f>transport!F14</f>
        <v>0</v>
      </c>
      <c r="G9" s="466">
        <f>transport!G14</f>
        <v>141402.82581994933</v>
      </c>
      <c r="H9" s="466">
        <f>transport!H14</f>
        <v>19829.57641865599</v>
      </c>
      <c r="I9" s="466">
        <f>transport!I14</f>
        <v>0</v>
      </c>
      <c r="J9" s="466">
        <f>transport!J14</f>
        <v>0</v>
      </c>
      <c r="K9" s="466">
        <f>transport!K14</f>
        <v>0</v>
      </c>
      <c r="L9" s="466">
        <f>transport!L14</f>
        <v>0</v>
      </c>
      <c r="M9" s="466">
        <f>transport!M14</f>
        <v>7203.8096576972557</v>
      </c>
      <c r="N9" s="466">
        <f>transport!N14</f>
        <v>0</v>
      </c>
      <c r="O9" s="466">
        <f>transport!O14</f>
        <v>0</v>
      </c>
      <c r="P9" s="466">
        <f>transport!P14</f>
        <v>0</v>
      </c>
      <c r="Q9" s="465">
        <f>SUM(B9:P9)</f>
        <v>169009.43507760481</v>
      </c>
    </row>
    <row r="10" spans="1:17">
      <c r="A10" s="461" t="s">
        <v>569</v>
      </c>
      <c r="B10" s="462">
        <f>transport!B54</f>
        <v>0</v>
      </c>
      <c r="C10" s="462">
        <f>transport!C54</f>
        <v>0</v>
      </c>
      <c r="D10" s="462">
        <f>transport!D54</f>
        <v>0</v>
      </c>
      <c r="E10" s="462">
        <f>transport!E54</f>
        <v>0</v>
      </c>
      <c r="F10" s="462">
        <f>transport!F54</f>
        <v>0</v>
      </c>
      <c r="G10" s="462">
        <f>transport!G54</f>
        <v>650.63593364485689</v>
      </c>
      <c r="H10" s="462">
        <f>transport!H54</f>
        <v>0</v>
      </c>
      <c r="I10" s="462">
        <f>transport!I54</f>
        <v>0</v>
      </c>
      <c r="J10" s="462">
        <f>transport!J54</f>
        <v>0</v>
      </c>
      <c r="K10" s="462">
        <f>transport!K54</f>
        <v>0</v>
      </c>
      <c r="L10" s="462">
        <f>transport!L54</f>
        <v>0</v>
      </c>
      <c r="M10" s="462">
        <f>transport!M54</f>
        <v>28.570497137453749</v>
      </c>
      <c r="N10" s="462">
        <f>transport!N54</f>
        <v>0</v>
      </c>
      <c r="O10" s="462">
        <f>transport!O54</f>
        <v>0</v>
      </c>
      <c r="P10" s="463">
        <f>transport!P54</f>
        <v>0</v>
      </c>
      <c r="Q10" s="461">
        <f t="shared" si="0"/>
        <v>679.20643078231069</v>
      </c>
    </row>
    <row r="11" spans="1:17">
      <c r="A11" s="461" t="s">
        <v>570</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571</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8" t="s">
        <v>572</v>
      </c>
      <c r="B13" s="469">
        <f>'Eigen vloot'!B27</f>
        <v>0</v>
      </c>
      <c r="C13" s="469">
        <f>'Eigen vloot'!C27</f>
        <v>0</v>
      </c>
      <c r="D13" s="469">
        <f>'Eigen vloot'!D27</f>
        <v>0</v>
      </c>
      <c r="E13" s="469">
        <f>'Eigen vloot'!E27</f>
        <v>0</v>
      </c>
      <c r="F13" s="469">
        <f>'Eigen vloot'!F27</f>
        <v>0</v>
      </c>
      <c r="G13" s="469">
        <f>'Eigen vloot'!G27</f>
        <v>0</v>
      </c>
      <c r="H13" s="469">
        <f>'Eigen vloot'!H27</f>
        <v>0</v>
      </c>
      <c r="I13" s="469">
        <f>'Eigen vloot'!I27</f>
        <v>0</v>
      </c>
      <c r="J13" s="469">
        <f>'Eigen vloot'!J27</f>
        <v>0</v>
      </c>
      <c r="K13" s="469">
        <f>'Eigen vloot'!K27</f>
        <v>0</v>
      </c>
      <c r="L13" s="469">
        <f>'Eigen vloot'!L27</f>
        <v>0</v>
      </c>
      <c r="M13" s="469">
        <f>'Eigen vloot'!M27</f>
        <v>0</v>
      </c>
      <c r="N13" s="469">
        <f>'Eigen vloot'!N27</f>
        <v>0</v>
      </c>
      <c r="O13" s="469">
        <f>'Eigen vloot'!O27</f>
        <v>0</v>
      </c>
      <c r="P13" s="470">
        <f>'Eigen vloot'!P27</f>
        <v>0</v>
      </c>
      <c r="Q13" s="468">
        <f t="shared" si="0"/>
        <v>0</v>
      </c>
    </row>
    <row r="14" spans="1:17" s="474" customFormat="1">
      <c r="A14" s="471" t="s">
        <v>573</v>
      </c>
      <c r="B14" s="472">
        <f ca="1">SUM(B4:B13)</f>
        <v>45141.269629901748</v>
      </c>
      <c r="C14" s="472">
        <f t="shared" ref="C14:Q14" ca="1" si="1">SUM(C4:C13)</f>
        <v>5637.8571428571431</v>
      </c>
      <c r="D14" s="472">
        <f t="shared" ca="1" si="1"/>
        <v>71720.497114101148</v>
      </c>
      <c r="E14" s="472">
        <f t="shared" si="1"/>
        <v>3496.9210687814925</v>
      </c>
      <c r="F14" s="472">
        <f t="shared" ca="1" si="1"/>
        <v>28252.540828251083</v>
      </c>
      <c r="G14" s="472">
        <f t="shared" si="1"/>
        <v>142053.46175359419</v>
      </c>
      <c r="H14" s="472">
        <f t="shared" si="1"/>
        <v>19829.57641865599</v>
      </c>
      <c r="I14" s="472">
        <f t="shared" si="1"/>
        <v>0</v>
      </c>
      <c r="J14" s="472">
        <f t="shared" si="1"/>
        <v>7233.9994902643921</v>
      </c>
      <c r="K14" s="472">
        <f t="shared" si="1"/>
        <v>0</v>
      </c>
      <c r="L14" s="472">
        <f t="shared" ca="1" si="1"/>
        <v>0</v>
      </c>
      <c r="M14" s="472">
        <f t="shared" si="1"/>
        <v>7232.3801548347092</v>
      </c>
      <c r="N14" s="472">
        <f t="shared" ca="1" si="1"/>
        <v>10902.989668369999</v>
      </c>
      <c r="O14" s="472">
        <f t="shared" si="1"/>
        <v>131.32000000000002</v>
      </c>
      <c r="P14" s="473">
        <f t="shared" si="1"/>
        <v>343.2</v>
      </c>
      <c r="Q14" s="473">
        <f t="shared" ca="1" si="1"/>
        <v>341976.01326961187</v>
      </c>
    </row>
    <row r="16" spans="1:17">
      <c r="A16" s="475" t="s">
        <v>574</v>
      </c>
      <c r="B16" s="829">
        <f ca="1">huishoudens!B10</f>
        <v>0.21237179715617371</v>
      </c>
      <c r="C16" s="829">
        <f ca="1">huishoudens!C10</f>
        <v>0.23764705882352943</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2" t="s">
        <v>576</v>
      </c>
      <c r="B18" s="1083" t="s">
        <v>575</v>
      </c>
      <c r="C18" s="1083"/>
      <c r="D18" s="1083"/>
      <c r="E18" s="1083"/>
      <c r="F18" s="1083"/>
      <c r="G18" s="1083"/>
      <c r="H18" s="1083"/>
      <c r="I18" s="1083"/>
      <c r="J18" s="1083"/>
      <c r="K18" s="1083"/>
      <c r="L18" s="1083"/>
      <c r="M18" s="1083"/>
      <c r="N18" s="1083"/>
      <c r="O18" s="1083"/>
      <c r="P18" s="1084"/>
      <c r="Q18" s="459"/>
    </row>
    <row r="19" spans="1:17" ht="15" customHeight="1">
      <c r="A19" s="1082"/>
      <c r="B19" s="1085" t="s">
        <v>21</v>
      </c>
      <c r="C19" s="1087" t="s">
        <v>196</v>
      </c>
      <c r="D19" s="1089" t="s">
        <v>197</v>
      </c>
      <c r="E19" s="1090"/>
      <c r="F19" s="1090"/>
      <c r="G19" s="1090"/>
      <c r="H19" s="1090"/>
      <c r="I19" s="1090"/>
      <c r="J19" s="1090"/>
      <c r="K19" s="1086"/>
      <c r="L19" s="1089" t="s">
        <v>198</v>
      </c>
      <c r="M19" s="1090"/>
      <c r="N19" s="1090"/>
      <c r="O19" s="1090"/>
      <c r="P19" s="1086"/>
      <c r="Q19" s="459"/>
    </row>
    <row r="20" spans="1:17" ht="45">
      <c r="A20" s="1082"/>
      <c r="B20" s="1086"/>
      <c r="C20" s="1088"/>
      <c r="D20" s="459" t="s">
        <v>199</v>
      </c>
      <c r="E20" s="459" t="s">
        <v>200</v>
      </c>
      <c r="F20" s="459" t="s">
        <v>201</v>
      </c>
      <c r="G20" s="459" t="s">
        <v>202</v>
      </c>
      <c r="H20" s="459" t="s">
        <v>120</v>
      </c>
      <c r="I20" s="459" t="s">
        <v>203</v>
      </c>
      <c r="J20" s="459" t="s">
        <v>204</v>
      </c>
      <c r="K20" s="459" t="s">
        <v>205</v>
      </c>
      <c r="L20" s="459" t="s">
        <v>206</v>
      </c>
      <c r="M20" s="459" t="s">
        <v>207</v>
      </c>
      <c r="N20" s="459" t="s">
        <v>208</v>
      </c>
      <c r="O20" s="459" t="s">
        <v>209</v>
      </c>
      <c r="P20" s="459" t="s">
        <v>210</v>
      </c>
      <c r="Q20" s="459" t="s">
        <v>116</v>
      </c>
    </row>
    <row r="21" spans="1:17">
      <c r="A21" s="461" t="s">
        <v>155</v>
      </c>
      <c r="B21" s="462">
        <f t="shared" ref="B21:B30" ca="1" si="2">B4*$B$16</f>
        <v>5869.3087934470077</v>
      </c>
      <c r="C21" s="462">
        <f t="shared" ref="C21:C30" ca="1" si="3">C4*$C$16</f>
        <v>0</v>
      </c>
      <c r="D21" s="462">
        <f t="shared" ref="D21:D30" si="4">D4*$D$16</f>
        <v>7765.199370663041</v>
      </c>
      <c r="E21" s="462">
        <f t="shared" ref="E21:E30" si="5">E4*$E$16</f>
        <v>628.75796448531889</v>
      </c>
      <c r="F21" s="462">
        <f t="shared" ref="F21:F30" si="6">F4*$F$16</f>
        <v>4473.1150256962028</v>
      </c>
      <c r="G21" s="462">
        <f t="shared" ref="G21:G30" si="7">G4*$G$16</f>
        <v>0</v>
      </c>
      <c r="H21" s="462">
        <f t="shared" ref="H21:H30" si="8">H4*$H$16</f>
        <v>0</v>
      </c>
      <c r="I21" s="462">
        <f t="shared" ref="I21:I30" si="9">I4*$I$16</f>
        <v>0</v>
      </c>
      <c r="J21" s="462">
        <f t="shared" ref="J21:J30" si="10">J4*$J$16</f>
        <v>2449.8407965552351</v>
      </c>
      <c r="K21" s="462">
        <f t="shared" ref="K21:K30" si="11">K4*$K$16</f>
        <v>0</v>
      </c>
      <c r="L21" s="462">
        <f t="shared" ref="L21:L30" si="12">L4*$L$16</f>
        <v>0</v>
      </c>
      <c r="M21" s="462">
        <f t="shared" ref="M21:M30" si="13">M4*$M$16</f>
        <v>0</v>
      </c>
      <c r="N21" s="462">
        <f t="shared" ref="N21:N30" si="14">N4*$N$16</f>
        <v>0</v>
      </c>
      <c r="O21" s="462">
        <f t="shared" ref="O21:O30" si="15">O4*$O$16</f>
        <v>0</v>
      </c>
      <c r="P21" s="476">
        <f t="shared" ref="P21:P30" si="16">P4*$P$16</f>
        <v>0</v>
      </c>
      <c r="Q21" s="464">
        <f ca="1">SUM(B21:P21)</f>
        <v>21186.221950846808</v>
      </c>
    </row>
    <row r="22" spans="1:17">
      <c r="A22" s="461" t="s">
        <v>156</v>
      </c>
      <c r="B22" s="462">
        <f t="shared" ca="1" si="2"/>
        <v>2265.1300750169153</v>
      </c>
      <c r="C22" s="462">
        <f t="shared" ca="1" si="3"/>
        <v>0</v>
      </c>
      <c r="D22" s="462">
        <f t="shared" ca="1" si="4"/>
        <v>2161.5137079109004</v>
      </c>
      <c r="E22" s="462">
        <f t="shared" si="5"/>
        <v>26.300379874945683</v>
      </c>
      <c r="F22" s="462">
        <f t="shared" ca="1" si="6"/>
        <v>565.87812052472646</v>
      </c>
      <c r="G22" s="462">
        <f t="shared" si="7"/>
        <v>0</v>
      </c>
      <c r="H22" s="462">
        <f t="shared" si="8"/>
        <v>0</v>
      </c>
      <c r="I22" s="462">
        <f t="shared" si="9"/>
        <v>0</v>
      </c>
      <c r="J22" s="462">
        <f t="shared" si="10"/>
        <v>0</v>
      </c>
      <c r="K22" s="462">
        <f t="shared" si="11"/>
        <v>0</v>
      </c>
      <c r="L22" s="462">
        <f t="shared" ca="1" si="12"/>
        <v>0</v>
      </c>
      <c r="M22" s="462">
        <f t="shared" si="13"/>
        <v>0</v>
      </c>
      <c r="N22" s="462">
        <f t="shared" ca="1" si="14"/>
        <v>0</v>
      </c>
      <c r="O22" s="462">
        <f t="shared" si="15"/>
        <v>0</v>
      </c>
      <c r="P22" s="463">
        <f t="shared" si="16"/>
        <v>0</v>
      </c>
      <c r="Q22" s="461">
        <f t="shared" ref="Q22:Q30" ca="1" si="17">SUM(B22:P22)</f>
        <v>5018.8222833274885</v>
      </c>
    </row>
    <row r="23" spans="1:17">
      <c r="A23" s="461" t="s">
        <v>194</v>
      </c>
      <c r="B23" s="462">
        <f t="shared" ca="1" si="2"/>
        <v>210.61527002189501</v>
      </c>
      <c r="C23" s="462">
        <f t="shared" ca="1" si="3"/>
        <v>0</v>
      </c>
      <c r="D23" s="462">
        <f t="shared" si="4"/>
        <v>0</v>
      </c>
      <c r="E23" s="462">
        <f t="shared" si="5"/>
        <v>0</v>
      </c>
      <c r="F23" s="462">
        <f t="shared" si="6"/>
        <v>0</v>
      </c>
      <c r="G23" s="462">
        <f t="shared" si="7"/>
        <v>0</v>
      </c>
      <c r="H23" s="462">
        <f t="shared" si="8"/>
        <v>0</v>
      </c>
      <c r="I23" s="462">
        <f t="shared" si="9"/>
        <v>0</v>
      </c>
      <c r="J23" s="462">
        <f t="shared" si="10"/>
        <v>0</v>
      </c>
      <c r="K23" s="462">
        <f t="shared" si="11"/>
        <v>0</v>
      </c>
      <c r="L23" s="462">
        <f t="shared" si="12"/>
        <v>0</v>
      </c>
      <c r="M23" s="462">
        <f t="shared" si="13"/>
        <v>0</v>
      </c>
      <c r="N23" s="462">
        <f t="shared" si="14"/>
        <v>0</v>
      </c>
      <c r="O23" s="462">
        <f t="shared" si="15"/>
        <v>0</v>
      </c>
      <c r="P23" s="463">
        <f t="shared" si="16"/>
        <v>0</v>
      </c>
      <c r="Q23" s="461">
        <f t="shared" ca="1" si="17"/>
        <v>210.61527002189501</v>
      </c>
    </row>
    <row r="24" spans="1:17">
      <c r="A24" s="461" t="s">
        <v>112</v>
      </c>
      <c r="B24" s="462">
        <f t="shared" ca="1" si="2"/>
        <v>512.77436170387182</v>
      </c>
      <c r="C24" s="462">
        <f t="shared" ca="1" si="3"/>
        <v>1339.8201680672271</v>
      </c>
      <c r="D24" s="462">
        <f t="shared" si="4"/>
        <v>321.58107940609636</v>
      </c>
      <c r="E24" s="462">
        <f t="shared" si="5"/>
        <v>5.1634159229272125</v>
      </c>
      <c r="F24" s="462">
        <f t="shared" si="6"/>
        <v>2103.7879551327505</v>
      </c>
      <c r="G24" s="462">
        <f t="shared" si="7"/>
        <v>0</v>
      </c>
      <c r="H24" s="462">
        <f t="shared" si="8"/>
        <v>0</v>
      </c>
      <c r="I24" s="462">
        <f t="shared" si="9"/>
        <v>0</v>
      </c>
      <c r="J24" s="462">
        <f t="shared" si="10"/>
        <v>105.73517749660935</v>
      </c>
      <c r="K24" s="462">
        <f t="shared" si="11"/>
        <v>0</v>
      </c>
      <c r="L24" s="462">
        <f t="shared" si="12"/>
        <v>0</v>
      </c>
      <c r="M24" s="462">
        <f t="shared" si="13"/>
        <v>0</v>
      </c>
      <c r="N24" s="462">
        <f t="shared" si="14"/>
        <v>0</v>
      </c>
      <c r="O24" s="462">
        <f t="shared" si="15"/>
        <v>0</v>
      </c>
      <c r="P24" s="463">
        <f t="shared" si="16"/>
        <v>0</v>
      </c>
      <c r="Q24" s="461">
        <f t="shared" ca="1" si="17"/>
        <v>4388.8621577294825</v>
      </c>
    </row>
    <row r="25" spans="1:17">
      <c r="A25" s="461" t="s">
        <v>685</v>
      </c>
      <c r="B25" s="462">
        <f t="shared" ca="1" si="2"/>
        <v>728.27203957525091</v>
      </c>
      <c r="C25" s="462">
        <f t="shared" ca="1" si="3"/>
        <v>0</v>
      </c>
      <c r="D25" s="462">
        <f t="shared" si="4"/>
        <v>4237.4848167482814</v>
      </c>
      <c r="E25" s="462">
        <f t="shared" si="5"/>
        <v>6.112653691975896</v>
      </c>
      <c r="F25" s="462">
        <f t="shared" si="6"/>
        <v>400.64729978936072</v>
      </c>
      <c r="G25" s="462">
        <f t="shared" si="7"/>
        <v>0</v>
      </c>
      <c r="H25" s="462">
        <f t="shared" si="8"/>
        <v>0</v>
      </c>
      <c r="I25" s="462">
        <f t="shared" si="9"/>
        <v>0</v>
      </c>
      <c r="J25" s="462">
        <f t="shared" si="10"/>
        <v>5.25984550175035</v>
      </c>
      <c r="K25" s="462">
        <f t="shared" si="11"/>
        <v>0</v>
      </c>
      <c r="L25" s="462">
        <f t="shared" si="12"/>
        <v>0</v>
      </c>
      <c r="M25" s="462">
        <f t="shared" si="13"/>
        <v>0</v>
      </c>
      <c r="N25" s="462">
        <f t="shared" si="14"/>
        <v>0</v>
      </c>
      <c r="O25" s="462">
        <f t="shared" si="15"/>
        <v>0</v>
      </c>
      <c r="P25" s="463">
        <f t="shared" si="16"/>
        <v>0</v>
      </c>
      <c r="Q25" s="461">
        <f t="shared" ca="1" si="17"/>
        <v>5377.7766553066194</v>
      </c>
    </row>
    <row r="26" spans="1:17" s="467" customFormat="1">
      <c r="A26" s="465" t="s">
        <v>579</v>
      </c>
      <c r="B26" s="823">
        <f t="shared" ca="1" si="2"/>
        <v>0.63201744869706356</v>
      </c>
      <c r="C26" s="466">
        <f t="shared" ca="1" si="3"/>
        <v>0</v>
      </c>
      <c r="D26" s="466">
        <f t="shared" si="4"/>
        <v>1.7614423201104008</v>
      </c>
      <c r="E26" s="466">
        <f t="shared" si="5"/>
        <v>127.46666863823114</v>
      </c>
      <c r="F26" s="466">
        <f t="shared" si="6"/>
        <v>0</v>
      </c>
      <c r="G26" s="466">
        <f t="shared" si="7"/>
        <v>37754.554493926473</v>
      </c>
      <c r="H26" s="466">
        <f t="shared" si="8"/>
        <v>4937.5645282453415</v>
      </c>
      <c r="I26" s="466">
        <f t="shared" si="9"/>
        <v>0</v>
      </c>
      <c r="J26" s="466">
        <f t="shared" si="10"/>
        <v>0</v>
      </c>
      <c r="K26" s="466">
        <f t="shared" si="11"/>
        <v>0</v>
      </c>
      <c r="L26" s="466">
        <f t="shared" si="12"/>
        <v>0</v>
      </c>
      <c r="M26" s="466">
        <f t="shared" si="13"/>
        <v>0</v>
      </c>
      <c r="N26" s="466">
        <f t="shared" si="14"/>
        <v>0</v>
      </c>
      <c r="O26" s="466">
        <f t="shared" si="15"/>
        <v>0</v>
      </c>
      <c r="P26" s="477">
        <f t="shared" si="16"/>
        <v>0</v>
      </c>
      <c r="Q26" s="465">
        <f t="shared" ca="1" si="17"/>
        <v>42821.979150578853</v>
      </c>
    </row>
    <row r="27" spans="1:17">
      <c r="A27" s="461" t="s">
        <v>569</v>
      </c>
      <c r="B27" s="462">
        <f t="shared" ca="1" si="2"/>
        <v>0</v>
      </c>
      <c r="C27" s="462">
        <f t="shared" ca="1" si="3"/>
        <v>0</v>
      </c>
      <c r="D27" s="462">
        <f t="shared" si="4"/>
        <v>0</v>
      </c>
      <c r="E27" s="462">
        <f t="shared" si="5"/>
        <v>0</v>
      </c>
      <c r="F27" s="462">
        <f t="shared" si="6"/>
        <v>0</v>
      </c>
      <c r="G27" s="462">
        <f t="shared" si="7"/>
        <v>173.71979428317681</v>
      </c>
      <c r="H27" s="462">
        <f t="shared" si="8"/>
        <v>0</v>
      </c>
      <c r="I27" s="462">
        <f t="shared" si="9"/>
        <v>0</v>
      </c>
      <c r="J27" s="462">
        <f t="shared" si="10"/>
        <v>0</v>
      </c>
      <c r="K27" s="462">
        <f t="shared" si="11"/>
        <v>0</v>
      </c>
      <c r="L27" s="462">
        <f t="shared" si="12"/>
        <v>0</v>
      </c>
      <c r="M27" s="462">
        <f t="shared" si="13"/>
        <v>0</v>
      </c>
      <c r="N27" s="462">
        <f t="shared" si="14"/>
        <v>0</v>
      </c>
      <c r="O27" s="462">
        <f t="shared" si="15"/>
        <v>0</v>
      </c>
      <c r="P27" s="463">
        <f t="shared" si="16"/>
        <v>0</v>
      </c>
      <c r="Q27" s="461">
        <f t="shared" ca="1" si="17"/>
        <v>173.71979428317681</v>
      </c>
    </row>
    <row r="28" spans="1:17">
      <c r="A28" s="461" t="s">
        <v>570</v>
      </c>
      <c r="B28" s="462">
        <f t="shared" ca="1" si="2"/>
        <v>0</v>
      </c>
      <c r="C28" s="462">
        <f t="shared" ca="1" si="3"/>
        <v>0</v>
      </c>
      <c r="D28" s="462">
        <f t="shared" si="4"/>
        <v>0</v>
      </c>
      <c r="E28" s="462">
        <f t="shared" si="5"/>
        <v>0</v>
      </c>
      <c r="F28" s="462">
        <f t="shared" si="6"/>
        <v>0</v>
      </c>
      <c r="G28" s="462">
        <f t="shared" si="7"/>
        <v>0</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0</v>
      </c>
    </row>
    <row r="29" spans="1:17">
      <c r="A29" s="461" t="s">
        <v>571</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8" t="s">
        <v>572</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s="474" customFormat="1">
      <c r="A31" s="471" t="s">
        <v>573</v>
      </c>
      <c r="B31" s="472">
        <f t="shared" ref="B31:Q31" ca="1" si="18">SUM(B21:B30)</f>
        <v>9586.7325572136397</v>
      </c>
      <c r="C31" s="472">
        <f t="shared" ca="1" si="18"/>
        <v>1339.8201680672271</v>
      </c>
      <c r="D31" s="472">
        <f t="shared" ca="1" si="18"/>
        <v>14487.540417048429</v>
      </c>
      <c r="E31" s="472">
        <f t="shared" si="18"/>
        <v>793.80108261339876</v>
      </c>
      <c r="F31" s="472">
        <f t="shared" ca="1" si="18"/>
        <v>7543.4284011430409</v>
      </c>
      <c r="G31" s="472">
        <f t="shared" si="18"/>
        <v>37928.27428820965</v>
      </c>
      <c r="H31" s="472">
        <f t="shared" si="18"/>
        <v>4937.5645282453415</v>
      </c>
      <c r="I31" s="472">
        <f t="shared" si="18"/>
        <v>0</v>
      </c>
      <c r="J31" s="472">
        <f t="shared" si="18"/>
        <v>2560.8358195535948</v>
      </c>
      <c r="K31" s="472">
        <f t="shared" si="18"/>
        <v>0</v>
      </c>
      <c r="L31" s="472">
        <f t="shared" ca="1" si="18"/>
        <v>0</v>
      </c>
      <c r="M31" s="472">
        <f t="shared" si="18"/>
        <v>0</v>
      </c>
      <c r="N31" s="472">
        <f t="shared" ca="1" si="18"/>
        <v>0</v>
      </c>
      <c r="O31" s="472">
        <f t="shared" si="18"/>
        <v>0</v>
      </c>
      <c r="P31" s="473">
        <f t="shared" si="18"/>
        <v>0</v>
      </c>
      <c r="Q31" s="473">
        <f t="shared" ca="1" si="18"/>
        <v>79177.997262094315</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98" t="s">
        <v>628</v>
      </c>
      <c r="B4" s="478"/>
      <c r="C4" s="478"/>
      <c r="D4" s="478"/>
      <c r="E4" s="478"/>
      <c r="F4" s="478"/>
      <c r="G4" s="510"/>
      <c r="H4" s="510"/>
      <c r="I4" s="478"/>
      <c r="J4" s="478"/>
      <c r="K4" s="478"/>
      <c r="L4" s="478"/>
      <c r="M4" s="478"/>
      <c r="N4" s="478"/>
      <c r="O4" s="478"/>
      <c r="P4" s="478"/>
    </row>
    <row r="5" spans="1:16" outlineLevel="1">
      <c r="A5" s="698" t="s">
        <v>629</v>
      </c>
      <c r="B5" s="478"/>
      <c r="C5" s="478"/>
      <c r="D5" s="478"/>
      <c r="E5" s="478"/>
      <c r="F5" s="478"/>
      <c r="G5" s="510"/>
      <c r="H5" s="510"/>
      <c r="I5" s="478"/>
      <c r="J5" s="478"/>
      <c r="K5" s="478"/>
      <c r="L5" s="478"/>
      <c r="M5" s="478"/>
      <c r="N5" s="478"/>
      <c r="O5" s="478"/>
      <c r="P5" s="478"/>
    </row>
    <row r="6" spans="1:16" outlineLevel="1">
      <c r="A6" s="698" t="s">
        <v>630</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99" t="s">
        <v>631</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632</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594</v>
      </c>
      <c r="B13" s="462"/>
      <c r="C13" s="482"/>
      <c r="D13" s="482"/>
      <c r="E13" s="482"/>
      <c r="F13" s="482"/>
      <c r="G13" s="482"/>
      <c r="H13" s="482"/>
      <c r="I13" s="482"/>
      <c r="J13" s="482"/>
      <c r="K13" s="482"/>
      <c r="L13" s="482"/>
      <c r="M13" s="482"/>
      <c r="N13" s="482"/>
      <c r="O13" s="830" t="s">
        <v>654</v>
      </c>
      <c r="P13" s="830" t="s">
        <v>653</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0.21237179715617371</v>
      </c>
      <c r="C17" s="512">
        <f ca="1">'EF ele_warmte'!B22</f>
        <v>0.23764705882352943</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497</v>
      </c>
      <c r="B22" s="491"/>
      <c r="C22" s="492"/>
      <c r="D22" s="493"/>
      <c r="E22" s="494"/>
    </row>
    <row r="23" spans="1:16" s="49" customFormat="1" ht="15" customHeight="1" outlineLevel="1">
      <c r="A23" s="495"/>
      <c r="B23" s="496"/>
      <c r="C23" s="497" t="s">
        <v>379</v>
      </c>
      <c r="D23" s="497" t="s">
        <v>182</v>
      </c>
      <c r="E23" s="498"/>
    </row>
    <row r="24" spans="1:16" s="462" customFormat="1" ht="15" customHeight="1" outlineLevel="1">
      <c r="A24" s="499" t="s">
        <v>266</v>
      </c>
      <c r="B24" s="48">
        <f>EigenZB</f>
        <v>0</v>
      </c>
      <c r="C24" s="500"/>
      <c r="D24" s="962" t="s">
        <v>742</v>
      </c>
      <c r="E24" s="463"/>
    </row>
    <row r="25" spans="1:16" s="462" customFormat="1" outlineLevel="1">
      <c r="A25" s="499" t="s">
        <v>464</v>
      </c>
      <c r="B25" s="49">
        <v>4.2</v>
      </c>
      <c r="C25" s="500"/>
      <c r="D25" s="501" t="s">
        <v>525</v>
      </c>
      <c r="E25" s="477"/>
    </row>
    <row r="26" spans="1:16" s="462" customFormat="1" outlineLevel="1">
      <c r="A26" s="835" t="s">
        <v>465</v>
      </c>
      <c r="B26" s="836">
        <f>1.34/3.6</f>
        <v>0.37222222222222223</v>
      </c>
      <c r="C26" s="500" t="s">
        <v>218</v>
      </c>
      <c r="D26" s="501" t="s">
        <v>525</v>
      </c>
      <c r="E26" s="477"/>
    </row>
    <row r="27" spans="1:16" s="462" customFormat="1" outlineLevel="1">
      <c r="A27" s="502" t="s">
        <v>640</v>
      </c>
      <c r="B27" s="838">
        <f>B24*B25*B26</f>
        <v>0</v>
      </c>
      <c r="C27" s="503" t="s">
        <v>641</v>
      </c>
      <c r="D27" s="504"/>
      <c r="E27" s="505"/>
    </row>
    <row r="28" spans="1:16" s="462" customFormat="1" outlineLevel="1">
      <c r="A28" s="49"/>
      <c r="B28" s="49"/>
      <c r="C28" s="506"/>
      <c r="D28" s="500"/>
    </row>
    <row r="29" spans="1:16" s="462" customFormat="1" outlineLevel="1">
      <c r="A29" s="507" t="s">
        <v>498</v>
      </c>
      <c r="B29" s="491"/>
      <c r="C29" s="492"/>
      <c r="D29" s="493"/>
      <c r="E29" s="494"/>
    </row>
    <row r="30" spans="1:16" s="49" customFormat="1" outlineLevel="1">
      <c r="A30" s="508"/>
      <c r="B30" s="496"/>
      <c r="C30" s="497" t="s">
        <v>379</v>
      </c>
      <c r="D30" s="497" t="s">
        <v>182</v>
      </c>
      <c r="E30" s="498"/>
    </row>
    <row r="31" spans="1:16" s="462" customFormat="1" outlineLevel="1">
      <c r="A31" s="499" t="s">
        <v>463</v>
      </c>
      <c r="B31" s="48">
        <f>EigenWP</f>
        <v>0</v>
      </c>
      <c r="C31" s="500"/>
      <c r="D31" s="962" t="s">
        <v>415</v>
      </c>
      <c r="E31" s="463"/>
    </row>
    <row r="32" spans="1:16" s="462" customFormat="1" outlineLevel="1">
      <c r="A32" s="499" t="s">
        <v>461</v>
      </c>
      <c r="B32" s="49">
        <v>13</v>
      </c>
      <c r="C32" s="506" t="s">
        <v>263</v>
      </c>
      <c r="D32" s="501" t="s">
        <v>525</v>
      </c>
      <c r="E32" s="463"/>
    </row>
    <row r="33" spans="1:5" s="462" customFormat="1" outlineLevel="1">
      <c r="A33" s="499" t="s">
        <v>462</v>
      </c>
      <c r="B33" s="49">
        <v>2000</v>
      </c>
      <c r="C33" s="506" t="s">
        <v>265</v>
      </c>
      <c r="D33" s="501" t="s">
        <v>525</v>
      </c>
      <c r="E33" s="463"/>
    </row>
    <row r="34" spans="1:5" s="462" customFormat="1" outlineLevel="1">
      <c r="A34" s="835" t="s">
        <v>384</v>
      </c>
      <c r="B34" s="49">
        <v>3.75</v>
      </c>
      <c r="C34" s="506"/>
      <c r="D34" s="501" t="s">
        <v>525</v>
      </c>
      <c r="E34" s="463"/>
    </row>
    <row r="35" spans="1:5" s="462" customFormat="1" outlineLevel="1">
      <c r="A35" s="502" t="s">
        <v>640</v>
      </c>
      <c r="B35" s="837">
        <f>B31*B32*B33/1000-B31*B32*B33/1000/B34</f>
        <v>0</v>
      </c>
      <c r="C35" s="509" t="s">
        <v>641</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99"/>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594</v>
      </c>
      <c r="B13" s="462"/>
      <c r="C13" s="482"/>
      <c r="D13" s="482"/>
      <c r="E13" s="482"/>
      <c r="F13" s="482"/>
      <c r="G13" s="482"/>
      <c r="H13" s="482"/>
      <c r="I13" s="482"/>
      <c r="J13" s="482"/>
      <c r="K13" s="482"/>
      <c r="L13" s="482"/>
      <c r="M13" s="482"/>
      <c r="N13" s="482"/>
      <c r="O13" s="1097"/>
      <c r="P13" s="1097"/>
    </row>
    <row r="14" spans="1:16" outlineLevel="1">
      <c r="A14" s="480"/>
      <c r="B14" s="53"/>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0.21237179715617371</v>
      </c>
      <c r="C17" s="512">
        <f ca="1">'EF ele_warmte'!B22</f>
        <v>0.23764705882352943</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082" t="s">
        <v>328</v>
      </c>
      <c r="B1" s="1091" t="s">
        <v>195</v>
      </c>
      <c r="C1" s="1092"/>
      <c r="D1" s="1092"/>
      <c r="E1" s="1092"/>
      <c r="F1" s="1092"/>
      <c r="G1" s="1092"/>
      <c r="H1" s="1092"/>
      <c r="I1" s="1092"/>
      <c r="J1" s="1092"/>
      <c r="K1" s="1092"/>
      <c r="L1" s="1092"/>
      <c r="M1" s="1092"/>
      <c r="N1" s="1092"/>
      <c r="O1" s="1092"/>
      <c r="P1" s="1092"/>
    </row>
    <row r="2" spans="1:16" ht="15" customHeight="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3"/>
      <c r="D5" s="478"/>
      <c r="E5" s="478"/>
      <c r="F5" s="53"/>
      <c r="G5" s="478"/>
      <c r="H5" s="478"/>
      <c r="I5" s="53"/>
      <c r="J5" s="53"/>
      <c r="K5" s="53"/>
      <c r="L5" s="53"/>
      <c r="M5" s="53"/>
      <c r="N5" s="53"/>
      <c r="O5" s="53"/>
      <c r="P5" s="53"/>
    </row>
    <row r="6" spans="1:16">
      <c r="B6" s="478"/>
      <c r="C6" s="53"/>
      <c r="D6" s="478"/>
      <c r="E6" s="478"/>
      <c r="F6" s="53"/>
      <c r="G6" s="478"/>
      <c r="H6" s="478"/>
      <c r="I6" s="53"/>
      <c r="J6" s="53"/>
      <c r="K6" s="53"/>
      <c r="L6" s="53"/>
      <c r="M6" s="53"/>
      <c r="N6" s="53"/>
      <c r="O6" s="53"/>
      <c r="P6" s="53"/>
    </row>
    <row r="7" spans="1:16">
      <c r="B7" s="478"/>
      <c r="C7" s="53"/>
      <c r="D7" s="478"/>
      <c r="E7" s="478"/>
      <c r="F7" s="53"/>
      <c r="G7" s="478"/>
      <c r="H7" s="478"/>
      <c r="I7" s="53"/>
      <c r="J7" s="53"/>
      <c r="K7" s="53"/>
      <c r="L7" s="53"/>
      <c r="M7" s="53"/>
      <c r="N7" s="53"/>
      <c r="O7" s="53"/>
      <c r="P7" s="53"/>
    </row>
    <row r="8" spans="1:16">
      <c r="A8" s="474"/>
      <c r="B8" s="478"/>
      <c r="C8" s="53"/>
      <c r="D8" s="478"/>
      <c r="E8" s="478"/>
      <c r="F8" s="53"/>
      <c r="G8" s="478"/>
      <c r="H8" s="478"/>
      <c r="I8" s="53"/>
      <c r="J8" s="53"/>
      <c r="K8" s="53"/>
      <c r="L8" s="53"/>
      <c r="M8" s="53"/>
      <c r="N8" s="53"/>
      <c r="O8" s="53"/>
      <c r="P8" s="53"/>
    </row>
    <row r="9" spans="1:16">
      <c r="B9" s="478"/>
      <c r="C9" s="53"/>
      <c r="D9" s="478"/>
      <c r="E9" s="478"/>
      <c r="F9" s="53"/>
      <c r="G9" s="478"/>
      <c r="H9" s="478"/>
      <c r="I9" s="53"/>
      <c r="J9" s="53"/>
      <c r="K9" s="53"/>
      <c r="L9" s="53"/>
      <c r="M9" s="53"/>
      <c r="N9" s="53"/>
      <c r="O9" s="53"/>
      <c r="P9" s="53"/>
    </row>
    <row r="10" spans="1:16">
      <c r="B10" s="478"/>
      <c r="C10" s="53"/>
      <c r="D10" s="478"/>
      <c r="E10" s="478"/>
      <c r="F10" s="53"/>
      <c r="G10" s="478"/>
      <c r="H10" s="478"/>
      <c r="I10" s="53"/>
      <c r="J10" s="53"/>
      <c r="K10" s="53"/>
      <c r="L10" s="53"/>
      <c r="M10" s="53"/>
      <c r="N10" s="53"/>
      <c r="O10" s="53"/>
      <c r="P10" s="53"/>
    </row>
    <row r="11" spans="1:16">
      <c r="B11" s="478"/>
      <c r="C11" s="53"/>
      <c r="D11" s="478"/>
      <c r="E11" s="478"/>
      <c r="F11" s="53"/>
      <c r="G11" s="478"/>
      <c r="H11" s="478"/>
      <c r="I11" s="53"/>
      <c r="J11" s="53"/>
      <c r="K11" s="53"/>
      <c r="L11" s="53"/>
      <c r="M11" s="53"/>
      <c r="N11" s="53"/>
      <c r="O11" s="53"/>
      <c r="P11" s="53"/>
    </row>
    <row r="12" spans="1:16">
      <c r="B12" s="478"/>
      <c r="C12" s="53"/>
      <c r="D12" s="478"/>
      <c r="E12" s="478"/>
      <c r="F12" s="53"/>
      <c r="G12" s="478"/>
      <c r="H12" s="478"/>
      <c r="I12" s="53"/>
      <c r="J12" s="53"/>
      <c r="K12" s="53"/>
      <c r="L12" s="53"/>
      <c r="M12" s="53"/>
      <c r="N12" s="53"/>
      <c r="O12" s="53"/>
      <c r="P12" s="53"/>
    </row>
    <row r="13" spans="1:16">
      <c r="B13" s="478"/>
      <c r="C13" s="53"/>
      <c r="D13" s="478"/>
      <c r="E13" s="478"/>
      <c r="F13" s="53"/>
      <c r="G13" s="478"/>
      <c r="H13" s="478"/>
      <c r="I13" s="53"/>
      <c r="J13" s="53"/>
      <c r="K13" s="53"/>
      <c r="L13" s="53"/>
      <c r="M13" s="53"/>
      <c r="N13" s="53"/>
      <c r="O13" s="53"/>
      <c r="P13" s="53"/>
    </row>
    <row r="14" spans="1:16">
      <c r="B14" s="478"/>
      <c r="C14" s="53"/>
      <c r="D14" s="478"/>
      <c r="E14" s="478"/>
      <c r="F14" s="53"/>
      <c r="G14" s="478"/>
      <c r="H14" s="478"/>
      <c r="I14" s="53"/>
      <c r="J14" s="53"/>
      <c r="K14" s="53"/>
      <c r="L14" s="53"/>
      <c r="M14" s="53"/>
      <c r="N14" s="53"/>
      <c r="O14" s="53"/>
      <c r="P14" s="53"/>
    </row>
    <row r="15" spans="1:16">
      <c r="B15" s="478"/>
      <c r="C15" s="53"/>
      <c r="D15" s="478"/>
      <c r="E15" s="478"/>
      <c r="F15" s="53"/>
      <c r="G15" s="478"/>
      <c r="H15" s="478"/>
      <c r="I15" s="53"/>
      <c r="J15" s="53"/>
      <c r="K15" s="53"/>
      <c r="L15" s="53"/>
      <c r="M15" s="53"/>
      <c r="N15" s="53"/>
      <c r="O15" s="53"/>
      <c r="P15" s="53"/>
    </row>
    <row r="16" spans="1:16">
      <c r="B16" s="478"/>
      <c r="C16" s="53"/>
      <c r="D16" s="478"/>
      <c r="E16" s="478"/>
      <c r="F16" s="53"/>
      <c r="G16" s="478"/>
      <c r="H16" s="478"/>
      <c r="I16" s="53"/>
      <c r="J16" s="53"/>
      <c r="K16" s="53"/>
      <c r="L16" s="53"/>
      <c r="M16" s="53"/>
      <c r="N16" s="53"/>
      <c r="O16" s="53"/>
      <c r="P16" s="53"/>
    </row>
    <row r="17" spans="1:16">
      <c r="B17" s="478"/>
      <c r="C17" s="53"/>
      <c r="D17" s="478"/>
      <c r="E17" s="478"/>
      <c r="F17" s="53"/>
      <c r="G17" s="478"/>
      <c r="H17" s="478"/>
      <c r="I17" s="53"/>
      <c r="J17" s="53"/>
      <c r="K17" s="53"/>
      <c r="L17" s="53"/>
      <c r="M17" s="53"/>
      <c r="N17" s="53"/>
      <c r="O17" s="53"/>
      <c r="P17" s="53"/>
    </row>
    <row r="18" spans="1:16">
      <c r="B18" s="478"/>
      <c r="C18" s="53"/>
      <c r="D18" s="478"/>
      <c r="E18" s="478"/>
      <c r="F18" s="53"/>
      <c r="G18" s="478"/>
      <c r="H18" s="478"/>
      <c r="I18" s="53"/>
      <c r="J18" s="53"/>
      <c r="K18" s="53"/>
      <c r="L18" s="53"/>
      <c r="M18" s="53"/>
      <c r="N18" s="53"/>
      <c r="O18" s="53"/>
      <c r="P18" s="53"/>
    </row>
    <row r="19" spans="1:16">
      <c r="B19" s="478"/>
      <c r="C19" s="53"/>
      <c r="D19" s="478"/>
      <c r="E19" s="478"/>
      <c r="F19" s="53"/>
      <c r="G19" s="478"/>
      <c r="H19" s="478"/>
      <c r="I19" s="53"/>
      <c r="J19" s="53"/>
      <c r="K19" s="53"/>
      <c r="L19" s="53"/>
      <c r="M19" s="53"/>
      <c r="N19" s="53"/>
      <c r="O19" s="53"/>
      <c r="P19" s="53"/>
    </row>
    <row r="20" spans="1:16">
      <c r="B20" s="478"/>
      <c r="C20" s="53"/>
      <c r="D20" s="478"/>
      <c r="E20" s="478"/>
      <c r="F20" s="53"/>
      <c r="G20" s="478"/>
      <c r="H20" s="478"/>
      <c r="I20" s="53"/>
      <c r="J20" s="53"/>
      <c r="K20" s="53"/>
      <c r="L20" s="53"/>
      <c r="M20" s="53"/>
      <c r="N20" s="53"/>
      <c r="O20" s="53"/>
      <c r="P20" s="53"/>
    </row>
    <row r="21" spans="1:16">
      <c r="B21" s="478"/>
      <c r="C21" s="53"/>
      <c r="D21" s="478"/>
      <c r="E21" s="478"/>
      <c r="F21" s="53"/>
      <c r="G21" s="478"/>
      <c r="H21" s="478"/>
      <c r="I21" s="53"/>
      <c r="J21" s="53"/>
      <c r="K21" s="53"/>
      <c r="L21" s="53"/>
      <c r="M21" s="53"/>
      <c r="N21" s="53"/>
      <c r="O21" s="53"/>
      <c r="P21" s="53"/>
    </row>
    <row r="22" spans="1:16">
      <c r="B22" s="478"/>
      <c r="C22" s="53"/>
      <c r="D22" s="478"/>
      <c r="E22" s="478"/>
      <c r="F22" s="53"/>
      <c r="G22" s="478"/>
      <c r="H22" s="478"/>
      <c r="I22" s="53"/>
      <c r="J22" s="53"/>
      <c r="K22" s="53"/>
      <c r="L22" s="53"/>
      <c r="M22" s="53"/>
      <c r="N22" s="53"/>
      <c r="O22" s="53"/>
      <c r="P22" s="53"/>
    </row>
    <row r="23" spans="1:16" ht="15.75" thickBot="1">
      <c r="B23" s="478"/>
      <c r="C23" s="53"/>
      <c r="D23" s="478"/>
      <c r="E23" s="478"/>
      <c r="F23" s="53"/>
      <c r="G23" s="478"/>
      <c r="H23" s="478"/>
      <c r="I23" s="53"/>
      <c r="J23" s="53"/>
      <c r="K23" s="53"/>
      <c r="L23" s="53"/>
      <c r="M23" s="53"/>
      <c r="N23" s="53"/>
      <c r="O23" s="53"/>
      <c r="P23" s="53"/>
    </row>
    <row r="24" spans="1:16" ht="15.75" thickBot="1">
      <c r="A24" s="481" t="s">
        <v>594</v>
      </c>
    </row>
    <row r="26" spans="1:16" s="474" customFormat="1">
      <c r="A26" s="483" t="s">
        <v>543</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612</v>
      </c>
      <c r="B27" s="483">
        <f>B26</f>
        <v>0</v>
      </c>
      <c r="C27" s="483"/>
      <c r="D27" s="483">
        <f>D26</f>
        <v>0</v>
      </c>
      <c r="E27" s="483">
        <f>E26</f>
        <v>0</v>
      </c>
      <c r="F27" s="483"/>
      <c r="G27" s="483">
        <f>(1-transport!C35)*'Eigen vloot'!G26</f>
        <v>0</v>
      </c>
      <c r="H27" s="483">
        <f>(1-transport!C42)*'Eigen vloot'!H26</f>
        <v>0</v>
      </c>
      <c r="I27" s="483"/>
      <c r="J27" s="483"/>
      <c r="K27" s="483"/>
      <c r="L27" s="483"/>
      <c r="M27" s="700">
        <f>G26*transport!C35+'Eigen vloot'!H26*transport!C42</f>
        <v>0</v>
      </c>
      <c r="N27" s="483"/>
      <c r="O27" s="483"/>
      <c r="P27" s="483"/>
    </row>
    <row r="29" spans="1:16">
      <c r="A29" s="488" t="s">
        <v>621</v>
      </c>
      <c r="B29" s="513">
        <f ca="1">'EF ele_warmte'!B12</f>
        <v>0.21237179715617371</v>
      </c>
      <c r="C29" s="513">
        <f ca="1">'EF ele_warmte'!B22</f>
        <v>0.23764705882352943</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701">
        <f ca="1">B27*B29</f>
        <v>0</v>
      </c>
      <c r="C31" s="701"/>
      <c r="D31" s="701">
        <f>D27*D29</f>
        <v>0</v>
      </c>
      <c r="E31" s="701">
        <f>E27*E29</f>
        <v>0</v>
      </c>
      <c r="F31" s="701"/>
      <c r="G31" s="701">
        <f>G27*G29</f>
        <v>0</v>
      </c>
      <c r="H31" s="701">
        <f>H27*H29</f>
        <v>0</v>
      </c>
      <c r="I31" s="701"/>
      <c r="J31" s="701"/>
      <c r="K31" s="701"/>
      <c r="L31" s="701"/>
      <c r="M31" s="701">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 workbookViewId="0">
      <selection activeCell="B24" sqref="B24"/>
    </sheetView>
  </sheetViews>
  <sheetFormatPr defaultRowHeight="15"/>
  <cols>
    <col min="1" max="1" width="54" bestFit="1" customWidth="1"/>
    <col min="2" max="2" width="26" style="460" bestFit="1" customWidth="1"/>
    <col min="3" max="3" width="26" customWidth="1"/>
    <col min="4" max="4" width="69.42578125" customWidth="1"/>
  </cols>
  <sheetData>
    <row r="1" spans="1:11" s="44" customFormat="1" ht="15.75" thickBot="1">
      <c r="B1" s="462"/>
    </row>
    <row r="2" spans="1:11" s="44" customFormat="1">
      <c r="A2" s="187" t="s">
        <v>540</v>
      </c>
      <c r="B2" s="514"/>
      <c r="C2" s="188"/>
      <c r="D2" s="189"/>
    </row>
    <row r="3" spans="1:11">
      <c r="A3" s="102"/>
      <c r="B3" s="515"/>
      <c r="C3" s="143" t="s">
        <v>182</v>
      </c>
      <c r="D3" s="146" t="s">
        <v>393</v>
      </c>
    </row>
    <row r="4" spans="1:11">
      <c r="A4" s="45" t="s">
        <v>455</v>
      </c>
      <c r="B4" s="48"/>
      <c r="C4" s="33"/>
      <c r="D4" s="145" t="s">
        <v>395</v>
      </c>
    </row>
    <row r="5" spans="1:11">
      <c r="A5" s="45"/>
      <c r="B5" s="49"/>
      <c r="C5" s="33"/>
      <c r="D5" s="145"/>
    </row>
    <row r="6" spans="1:11" s="11" customFormat="1" ht="21.75" thickBot="1">
      <c r="A6" s="192" t="s">
        <v>488</v>
      </c>
      <c r="B6" s="516"/>
      <c r="C6" s="193"/>
      <c r="D6" s="194"/>
    </row>
    <row r="7" spans="1:11" s="44" customFormat="1" ht="15.75" thickBot="1">
      <c r="B7" s="462"/>
    </row>
    <row r="8" spans="1:11" s="44" customFormat="1">
      <c r="A8" s="187" t="s">
        <v>553</v>
      </c>
      <c r="B8" s="514"/>
      <c r="C8" s="188"/>
      <c r="D8" s="189"/>
    </row>
    <row r="9" spans="1:11" s="33" customFormat="1">
      <c r="A9" s="47"/>
      <c r="B9" s="517"/>
      <c r="C9" s="43"/>
      <c r="D9" s="305"/>
    </row>
    <row r="10" spans="1:11">
      <c r="A10" s="306" t="s">
        <v>582</v>
      </c>
      <c r="B10" s="515"/>
      <c r="C10" s="143" t="s">
        <v>182</v>
      </c>
      <c r="D10" s="146" t="s">
        <v>393</v>
      </c>
      <c r="I10" s="1098"/>
      <c r="K10" s="59"/>
    </row>
    <row r="11" spans="1:11" s="44" customFormat="1">
      <c r="A11" s="45" t="s">
        <v>583</v>
      </c>
      <c r="B11" s="48"/>
      <c r="D11" s="144" t="s">
        <v>394</v>
      </c>
      <c r="I11" s="1098"/>
      <c r="K11" s="59"/>
    </row>
    <row r="12" spans="1:11" s="44" customFormat="1">
      <c r="A12" s="45" t="s">
        <v>584</v>
      </c>
      <c r="B12" s="48"/>
      <c r="D12" s="144" t="s">
        <v>394</v>
      </c>
      <c r="I12" s="1098"/>
      <c r="K12" s="59"/>
    </row>
    <row r="13" spans="1:11" s="44" customFormat="1">
      <c r="A13" s="45"/>
      <c r="B13" s="462"/>
      <c r="D13" s="97"/>
      <c r="I13" s="1098"/>
    </row>
    <row r="14" spans="1:11" s="44" customFormat="1">
      <c r="A14" s="306" t="s">
        <v>581</v>
      </c>
      <c r="B14" s="515"/>
      <c r="C14" s="143" t="s">
        <v>182</v>
      </c>
      <c r="D14" s="146" t="s">
        <v>393</v>
      </c>
      <c r="I14" s="1098"/>
    </row>
    <row r="15" spans="1:11" s="44" customFormat="1">
      <c r="A15" s="45" t="s">
        <v>71</v>
      </c>
      <c r="B15" s="48"/>
      <c r="D15" s="144" t="s">
        <v>394</v>
      </c>
      <c r="I15" s="1098"/>
      <c r="J15" s="1098"/>
    </row>
    <row r="16" spans="1:11" s="44" customFormat="1">
      <c r="A16" s="45" t="s">
        <v>545</v>
      </c>
      <c r="B16" s="48"/>
      <c r="D16" s="144" t="s">
        <v>394</v>
      </c>
      <c r="I16" s="1098"/>
      <c r="J16" s="1098"/>
    </row>
    <row r="17" spans="1:11" s="44" customFormat="1">
      <c r="A17" s="45" t="s">
        <v>78</v>
      </c>
      <c r="B17" s="48"/>
      <c r="D17" s="144" t="s">
        <v>394</v>
      </c>
      <c r="I17" s="1098"/>
      <c r="J17" s="1098"/>
    </row>
    <row r="18" spans="1:11" s="44" customFormat="1">
      <c r="A18" s="45" t="s">
        <v>546</v>
      </c>
      <c r="B18" s="48"/>
      <c r="D18" s="144" t="s">
        <v>394</v>
      </c>
      <c r="I18" s="1098"/>
      <c r="J18" s="1098"/>
      <c r="K18" s="59"/>
    </row>
    <row r="19" spans="1:11" s="44" customFormat="1">
      <c r="A19" s="45" t="s">
        <v>77</v>
      </c>
      <c r="B19" s="48"/>
      <c r="D19" s="144" t="s">
        <v>394</v>
      </c>
      <c r="I19" s="1098"/>
      <c r="J19" s="1099"/>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8"/>
      <c r="C26" s="109"/>
      <c r="D26" s="110"/>
      <c r="I26" s="59"/>
      <c r="J26" s="59"/>
      <c r="K26" s="59"/>
    </row>
    <row r="28" spans="1:11" ht="15.75" thickBot="1"/>
    <row r="29" spans="1:11" s="44" customFormat="1">
      <c r="A29" s="187" t="s">
        <v>541</v>
      </c>
      <c r="B29" s="514"/>
      <c r="C29" s="188"/>
      <c r="D29" s="189"/>
    </row>
    <row r="30" spans="1:11" s="33" customFormat="1">
      <c r="A30" s="47"/>
      <c r="B30" s="517"/>
      <c r="C30" s="43"/>
      <c r="D30" s="305"/>
    </row>
    <row r="31" spans="1:11">
      <c r="A31" s="306" t="s">
        <v>582</v>
      </c>
      <c r="B31" s="515"/>
      <c r="C31" s="143" t="s">
        <v>182</v>
      </c>
      <c r="D31" s="146" t="s">
        <v>393</v>
      </c>
    </row>
    <row r="32" spans="1:11">
      <c r="A32" s="451" t="s">
        <v>583</v>
      </c>
      <c r="B32" s="48"/>
      <c r="C32" s="49"/>
      <c r="D32" s="144" t="s">
        <v>394</v>
      </c>
    </row>
    <row r="33" spans="1:11">
      <c r="A33" s="45"/>
      <c r="B33" s="49"/>
      <c r="C33" s="49"/>
      <c r="D33" s="144"/>
    </row>
    <row r="34" spans="1:11" s="44" customFormat="1">
      <c r="A34" s="306" t="s">
        <v>581</v>
      </c>
      <c r="B34" s="515"/>
      <c r="C34" s="143" t="s">
        <v>182</v>
      </c>
      <c r="D34" s="146" t="s">
        <v>393</v>
      </c>
      <c r="I34"/>
    </row>
    <row r="35" spans="1:11" s="44" customFormat="1">
      <c r="A35" s="450" t="s">
        <v>71</v>
      </c>
      <c r="B35" s="48"/>
      <c r="D35" s="144" t="s">
        <v>394</v>
      </c>
      <c r="I35" s="1098"/>
      <c r="J35" s="1098"/>
    </row>
    <row r="36" spans="1:11" s="44" customFormat="1">
      <c r="A36" s="450" t="s">
        <v>545</v>
      </c>
      <c r="B36" s="48"/>
      <c r="D36" s="144" t="s">
        <v>394</v>
      </c>
      <c r="I36" s="1098"/>
      <c r="J36" s="1098"/>
    </row>
    <row r="37" spans="1:11" s="44" customFormat="1">
      <c r="A37" s="450" t="s">
        <v>78</v>
      </c>
      <c r="B37" s="48"/>
      <c r="D37" s="144" t="s">
        <v>394</v>
      </c>
      <c r="I37" s="1098"/>
      <c r="J37" s="1098"/>
    </row>
    <row r="38" spans="1:11" s="44" customFormat="1">
      <c r="A38" s="450" t="s">
        <v>546</v>
      </c>
      <c r="B38" s="48"/>
      <c r="D38" s="144" t="s">
        <v>394</v>
      </c>
      <c r="I38" s="1098"/>
      <c r="J38" s="1098"/>
      <c r="K38" s="59"/>
    </row>
    <row r="39" spans="1:11" s="44" customFormat="1">
      <c r="A39" s="450" t="s">
        <v>77</v>
      </c>
      <c r="B39" s="48"/>
      <c r="D39" s="144" t="s">
        <v>394</v>
      </c>
      <c r="I39" s="1098"/>
      <c r="J39" s="1099"/>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4"/>
      <c r="C48" s="188"/>
      <c r="D48" s="189"/>
    </row>
    <row r="49" spans="1:4">
      <c r="A49" s="102"/>
      <c r="B49" s="515"/>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4"/>
      <c r="C55" s="188"/>
      <c r="D55" s="189"/>
    </row>
    <row r="56" spans="1:4">
      <c r="A56" s="102"/>
      <c r="B56" s="515"/>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2" t="s">
        <v>607</v>
      </c>
      <c r="B1" s="663"/>
      <c r="C1" s="663"/>
      <c r="D1" s="663"/>
      <c r="E1" s="664"/>
    </row>
    <row r="2" spans="1:5">
      <c r="A2" s="675" t="s">
        <v>396</v>
      </c>
      <c r="B2" s="680" t="s">
        <v>532</v>
      </c>
      <c r="C2" s="676"/>
      <c r="D2" s="676"/>
      <c r="E2" s="677"/>
    </row>
    <row r="3" spans="1:5">
      <c r="A3" s="678"/>
      <c r="B3" s="679"/>
      <c r="C3" s="667"/>
      <c r="D3" s="667"/>
      <c r="E3" s="668"/>
    </row>
    <row r="4" spans="1:5" s="335" customFormat="1" ht="45">
      <c r="A4" s="666" t="s">
        <v>611</v>
      </c>
      <c r="B4" s="674" t="s">
        <v>600</v>
      </c>
      <c r="C4" s="695" t="s">
        <v>622</v>
      </c>
      <c r="D4" s="696" t="s">
        <v>623</v>
      </c>
      <c r="E4" s="697" t="s">
        <v>624</v>
      </c>
    </row>
    <row r="5" spans="1:5">
      <c r="A5" s="669" t="s">
        <v>601</v>
      </c>
      <c r="B5" s="661" t="s">
        <v>602</v>
      </c>
      <c r="C5" s="692">
        <v>3.678273E-2</v>
      </c>
      <c r="D5" s="693">
        <v>0.27778000000000003</v>
      </c>
      <c r="E5" s="685">
        <f>C5*D5</f>
        <v>1.0217506739400001E-2</v>
      </c>
    </row>
    <row r="6" spans="1:5">
      <c r="A6" s="669" t="s">
        <v>601</v>
      </c>
      <c r="B6" s="661" t="s">
        <v>603</v>
      </c>
      <c r="C6" s="692">
        <v>4.2278999999999997E-2</v>
      </c>
      <c r="D6" s="693">
        <v>0.27778000000000003</v>
      </c>
      <c r="E6" s="685">
        <f t="shared" ref="E6:E21" si="0">C6*D6</f>
        <v>1.174426062E-2</v>
      </c>
    </row>
    <row r="7" spans="1:5">
      <c r="A7" s="669" t="s">
        <v>601</v>
      </c>
      <c r="B7" s="661" t="s">
        <v>604</v>
      </c>
      <c r="C7" s="692">
        <v>42.279000000000003</v>
      </c>
      <c r="D7" s="693">
        <v>0.27778000000000003</v>
      </c>
      <c r="E7" s="685">
        <f t="shared" si="0"/>
        <v>11.744260620000002</v>
      </c>
    </row>
    <row r="8" spans="1:5">
      <c r="A8" s="669" t="s">
        <v>605</v>
      </c>
      <c r="B8" s="661" t="s">
        <v>602</v>
      </c>
      <c r="C8" s="692">
        <v>3.8573799999999998E-2</v>
      </c>
      <c r="D8" s="693">
        <v>0.27778000000000003</v>
      </c>
      <c r="E8" s="685">
        <f t="shared" si="0"/>
        <v>1.0715030164E-2</v>
      </c>
    </row>
    <row r="9" spans="1:5">
      <c r="A9" s="669" t="s">
        <v>605</v>
      </c>
      <c r="B9" s="661" t="s">
        <v>603</v>
      </c>
      <c r="C9" s="692">
        <v>4.0604000000000001E-2</v>
      </c>
      <c r="D9" s="693">
        <v>0.27778000000000003</v>
      </c>
      <c r="E9" s="685">
        <f t="shared" si="0"/>
        <v>1.1278979120000001E-2</v>
      </c>
    </row>
    <row r="10" spans="1:5">
      <c r="A10" s="669" t="s">
        <v>605</v>
      </c>
      <c r="B10" s="661" t="s">
        <v>604</v>
      </c>
      <c r="C10" s="692">
        <v>40.603999999999999</v>
      </c>
      <c r="D10" s="693">
        <v>0.27778000000000003</v>
      </c>
      <c r="E10" s="685">
        <f t="shared" si="0"/>
        <v>11.278979120000001</v>
      </c>
    </row>
    <row r="11" spans="1:5">
      <c r="A11" s="669" t="s">
        <v>625</v>
      </c>
      <c r="B11" s="661" t="s">
        <v>602</v>
      </c>
      <c r="C11" s="692">
        <v>2.3511000000000001E-2</v>
      </c>
      <c r="D11" s="693">
        <v>0.27778000000000003</v>
      </c>
      <c r="E11" s="685">
        <f t="shared" si="0"/>
        <v>6.5308855800000004E-3</v>
      </c>
    </row>
    <row r="12" spans="1:5">
      <c r="A12" s="669" t="s">
        <v>625</v>
      </c>
      <c r="B12" s="661" t="s">
        <v>603</v>
      </c>
      <c r="C12" s="692">
        <v>4.6100000000000002E-2</v>
      </c>
      <c r="D12" s="693">
        <v>0.27778000000000003</v>
      </c>
      <c r="E12" s="685">
        <f t="shared" si="0"/>
        <v>1.2805658000000001E-2</v>
      </c>
    </row>
    <row r="13" spans="1:5">
      <c r="A13" s="669" t="s">
        <v>625</v>
      </c>
      <c r="B13" s="661" t="s">
        <v>604</v>
      </c>
      <c r="C13" s="692">
        <v>46.1</v>
      </c>
      <c r="D13" s="693">
        <v>0.27778000000000003</v>
      </c>
      <c r="E13" s="685">
        <f t="shared" si="0"/>
        <v>12.805658000000001</v>
      </c>
    </row>
    <row r="14" spans="1:5">
      <c r="A14" s="669" t="s">
        <v>626</v>
      </c>
      <c r="B14" s="661" t="s">
        <v>602</v>
      </c>
      <c r="C14" s="692">
        <v>2.6525139999999999E-2</v>
      </c>
      <c r="D14" s="693">
        <v>0.27778000000000003</v>
      </c>
      <c r="E14" s="685">
        <f t="shared" si="0"/>
        <v>7.3681533892000009E-3</v>
      </c>
    </row>
    <row r="15" spans="1:5">
      <c r="A15" s="669" t="s">
        <v>626</v>
      </c>
      <c r="B15" s="661" t="s">
        <v>603</v>
      </c>
      <c r="C15" s="692">
        <v>4.5733000000000003E-2</v>
      </c>
      <c r="D15" s="693">
        <v>0.27778000000000003</v>
      </c>
      <c r="E15" s="685">
        <f t="shared" si="0"/>
        <v>1.2703712740000001E-2</v>
      </c>
    </row>
    <row r="16" spans="1:5">
      <c r="A16" s="669" t="s">
        <v>626</v>
      </c>
      <c r="B16" s="661" t="s">
        <v>604</v>
      </c>
      <c r="C16" s="692">
        <v>45.732999999999997</v>
      </c>
      <c r="D16" s="693">
        <v>0.27778000000000003</v>
      </c>
      <c r="E16" s="685">
        <f t="shared" si="0"/>
        <v>12.70371274</v>
      </c>
    </row>
    <row r="17" spans="1:10">
      <c r="A17" s="669" t="s">
        <v>609</v>
      </c>
      <c r="B17" s="661" t="s">
        <v>606</v>
      </c>
      <c r="C17" s="692">
        <v>3.2923000000000001E-2</v>
      </c>
      <c r="D17" s="693">
        <f>0.27778</f>
        <v>0.27778000000000003</v>
      </c>
      <c r="E17" s="685">
        <f t="shared" si="0"/>
        <v>9.1453509400000015E-3</v>
      </c>
    </row>
    <row r="18" spans="1:10">
      <c r="A18" s="669" t="s">
        <v>610</v>
      </c>
      <c r="B18" s="661" t="s">
        <v>606</v>
      </c>
      <c r="C18" s="692">
        <v>3.8852400000000002E-2</v>
      </c>
      <c r="D18" s="693">
        <f>0.27778</f>
        <v>0.27778000000000003</v>
      </c>
      <c r="E18" s="685">
        <f t="shared" si="0"/>
        <v>1.0792419672000002E-2</v>
      </c>
    </row>
    <row r="19" spans="1:10">
      <c r="A19" s="669" t="s">
        <v>613</v>
      </c>
      <c r="B19" s="661" t="s">
        <v>602</v>
      </c>
      <c r="C19" s="692">
        <v>2.4812460000000001E-2</v>
      </c>
      <c r="D19" s="693">
        <v>0.27778000000000003</v>
      </c>
      <c r="E19" s="685">
        <f t="shared" si="0"/>
        <v>6.8924051388000009E-3</v>
      </c>
    </row>
    <row r="20" spans="1:10">
      <c r="A20" s="669" t="s">
        <v>613</v>
      </c>
      <c r="B20" s="661" t="s">
        <v>603</v>
      </c>
      <c r="C20" s="692">
        <v>4.5948999999999997E-2</v>
      </c>
      <c r="D20" s="693">
        <v>0.27778000000000003</v>
      </c>
      <c r="E20" s="685">
        <f t="shared" si="0"/>
        <v>1.276371322E-2</v>
      </c>
    </row>
    <row r="21" spans="1:10">
      <c r="A21" s="669" t="s">
        <v>613</v>
      </c>
      <c r="B21" s="661" t="s">
        <v>604</v>
      </c>
      <c r="C21" s="692">
        <v>45.948999999999998</v>
      </c>
      <c r="D21" s="693">
        <v>0.27778000000000003</v>
      </c>
      <c r="E21" s="685">
        <f t="shared" si="0"/>
        <v>12.763713220000001</v>
      </c>
    </row>
    <row r="22" spans="1:10" ht="15.75" thickBot="1">
      <c r="A22" s="690"/>
      <c r="B22" s="672"/>
      <c r="C22" s="694"/>
      <c r="D22" s="694"/>
      <c r="E22" s="673"/>
    </row>
    <row r="23" spans="1:10" ht="15.75" thickBot="1">
      <c r="A23" s="665"/>
      <c r="B23" s="665"/>
      <c r="C23" s="665"/>
      <c r="D23" s="665"/>
      <c r="E23" s="665"/>
    </row>
    <row r="24" spans="1:10" ht="15.75" thickBot="1">
      <c r="A24" s="662" t="s">
        <v>608</v>
      </c>
      <c r="B24" s="663"/>
      <c r="C24" s="663"/>
      <c r="D24" s="663"/>
      <c r="E24" s="664"/>
    </row>
    <row r="25" spans="1:10">
      <c r="A25" s="689" t="s">
        <v>396</v>
      </c>
      <c r="B25" s="667" t="s">
        <v>741</v>
      </c>
      <c r="C25" s="667"/>
      <c r="D25" s="667"/>
      <c r="E25" s="668"/>
    </row>
    <row r="26" spans="1:10">
      <c r="A26" s="45"/>
      <c r="B26" s="44"/>
      <c r="C26" s="44"/>
      <c r="D26" s="44"/>
      <c r="E26" s="97"/>
    </row>
    <row r="27" spans="1:10" s="335" customFormat="1">
      <c r="A27" s="666" t="s">
        <v>611</v>
      </c>
      <c r="B27" s="674" t="s">
        <v>600</v>
      </c>
      <c r="C27" s="682"/>
      <c r="D27" s="681"/>
      <c r="E27" s="697" t="s">
        <v>615</v>
      </c>
    </row>
    <row r="28" spans="1:10">
      <c r="A28" s="669" t="s">
        <v>202</v>
      </c>
      <c r="B28" s="661" t="s">
        <v>602</v>
      </c>
      <c r="C28" s="683"/>
      <c r="D28" s="684"/>
      <c r="E28" s="691">
        <f>E29*0.853</f>
        <v>1.0116343055555555E-2</v>
      </c>
      <c r="G28" s="665"/>
      <c r="H28" s="841"/>
      <c r="I28" s="841"/>
      <c r="J28" s="841"/>
    </row>
    <row r="29" spans="1:10">
      <c r="A29" s="669" t="s">
        <v>202</v>
      </c>
      <c r="B29" s="661" t="s">
        <v>603</v>
      </c>
      <c r="C29" s="683"/>
      <c r="D29" s="684"/>
      <c r="E29" s="691">
        <f>0.042695/3.6</f>
        <v>1.1859722222222221E-2</v>
      </c>
      <c r="G29" s="665"/>
      <c r="H29" s="841"/>
      <c r="I29" s="841"/>
      <c r="J29" s="841"/>
    </row>
    <row r="30" spans="1:10">
      <c r="A30" s="669" t="s">
        <v>120</v>
      </c>
      <c r="B30" s="661" t="s">
        <v>602</v>
      </c>
      <c r="C30" s="683"/>
      <c r="D30" s="684"/>
      <c r="E30" s="691">
        <f>E31*0.755</f>
        <v>9.1803805555555566E-3</v>
      </c>
      <c r="H30" s="841"/>
      <c r="I30" s="841"/>
      <c r="J30" s="841"/>
    </row>
    <row r="31" spans="1:10">
      <c r="A31" s="669" t="s">
        <v>120</v>
      </c>
      <c r="B31" s="661" t="s">
        <v>603</v>
      </c>
      <c r="C31" s="683"/>
      <c r="D31" s="684"/>
      <c r="E31" s="691">
        <f>0.043774/3.6</f>
        <v>1.2159444444444445E-2</v>
      </c>
      <c r="H31" s="841"/>
      <c r="I31" s="841"/>
      <c r="J31" s="841"/>
    </row>
    <row r="32" spans="1:10">
      <c r="A32" s="669" t="s">
        <v>613</v>
      </c>
      <c r="B32" s="661" t="s">
        <v>602</v>
      </c>
      <c r="C32" s="683"/>
      <c r="D32" s="684"/>
      <c r="E32" s="691">
        <f>E33*0.55</f>
        <v>7.1139444444444453E-3</v>
      </c>
      <c r="H32" s="841"/>
    </row>
    <row r="33" spans="1:8">
      <c r="A33" s="669" t="s">
        <v>613</v>
      </c>
      <c r="B33" s="661" t="s">
        <v>603</v>
      </c>
      <c r="C33" s="683"/>
      <c r="D33" s="684"/>
      <c r="E33" s="691">
        <f>0.046564/3.6</f>
        <v>1.2934444444444445E-2</v>
      </c>
      <c r="H33" s="841"/>
    </row>
    <row r="34" spans="1:8">
      <c r="A34" s="669" t="s">
        <v>614</v>
      </c>
      <c r="B34" s="661" t="s">
        <v>602</v>
      </c>
      <c r="C34" s="683"/>
      <c r="D34" s="684"/>
      <c r="E34" s="691">
        <f>E35*0.0007</f>
        <v>9.3333333333333326E-6</v>
      </c>
      <c r="H34" s="841"/>
    </row>
    <row r="35" spans="1:8">
      <c r="A35" s="669" t="s">
        <v>614</v>
      </c>
      <c r="B35" s="661" t="s">
        <v>603</v>
      </c>
      <c r="C35" s="683"/>
      <c r="D35" s="684"/>
      <c r="E35" s="691">
        <f>0.048/3.6</f>
        <v>1.3333333333333332E-2</v>
      </c>
      <c r="H35" s="841"/>
    </row>
    <row r="36" spans="1:8" ht="15.75" thickBot="1">
      <c r="A36" s="670"/>
      <c r="B36" s="671"/>
      <c r="C36" s="686"/>
      <c r="D36" s="687"/>
      <c r="E36" s="688"/>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42010</v>
      </c>
      <c r="B1" s="1194"/>
      <c r="C1" s="1194"/>
      <c r="D1" s="1194"/>
      <c r="E1" s="1194"/>
      <c r="F1" s="1195"/>
    </row>
    <row r="3" spans="1:6" ht="19.5">
      <c r="A3" s="1196" t="s">
        <v>0</v>
      </c>
    </row>
    <row r="4" spans="1:6" ht="22.5">
      <c r="A4" s="1197" t="s">
        <v>871</v>
      </c>
    </row>
    <row r="5" spans="1:6" ht="22.5">
      <c r="A5" s="1197" t="s">
        <v>872</v>
      </c>
    </row>
    <row r="6" spans="1:6" ht="15.75" thickBot="1"/>
    <row r="7" spans="1:6" ht="20.25" thickBot="1">
      <c r="A7" s="1198" t="s">
        <v>1</v>
      </c>
      <c r="B7" s="336" t="s">
        <v>396</v>
      </c>
      <c r="C7" s="336" t="s">
        <v>664</v>
      </c>
      <c r="D7" s="336"/>
      <c r="E7" s="336"/>
      <c r="F7" s="337"/>
    </row>
    <row r="8" spans="1:6" ht="16.5" thickTop="1" thickBot="1">
      <c r="A8" s="1199" t="s">
        <v>4</v>
      </c>
      <c r="B8" s="1200">
        <v>2012</v>
      </c>
      <c r="C8" s="1200">
        <v>2020</v>
      </c>
      <c r="D8" s="1194"/>
      <c r="E8" s="1194"/>
      <c r="F8" s="1195"/>
    </row>
    <row r="9" spans="1:6">
      <c r="A9" s="1201" t="s">
        <v>2</v>
      </c>
      <c r="B9" s="338">
        <v>5145</v>
      </c>
      <c r="C9" s="338">
        <v>5275</v>
      </c>
      <c r="D9" s="338"/>
      <c r="E9" s="338"/>
      <c r="F9" s="338"/>
    </row>
    <row r="10" spans="1:6">
      <c r="A10" s="339"/>
    </row>
    <row r="11" spans="1:6" ht="15.75" thickBot="1">
      <c r="A11" s="339"/>
    </row>
    <row r="12" spans="1:6" ht="20.25" thickBot="1">
      <c r="A12" s="1198" t="s">
        <v>3</v>
      </c>
      <c r="B12" s="336" t="s">
        <v>396</v>
      </c>
      <c r="C12" s="336" t="s">
        <v>642</v>
      </c>
      <c r="D12" s="336"/>
      <c r="E12" s="336"/>
      <c r="F12" s="340"/>
    </row>
    <row r="13" spans="1:6" ht="16.5" thickTop="1" thickBot="1">
      <c r="A13" s="1202" t="s">
        <v>4</v>
      </c>
      <c r="B13" s="1203" t="s">
        <v>5</v>
      </c>
      <c r="C13" s="1203"/>
      <c r="D13" s="1203"/>
      <c r="E13" s="1203"/>
      <c r="F13" s="1204"/>
    </row>
    <row r="14" spans="1:6">
      <c r="A14" s="1205" t="s">
        <v>785</v>
      </c>
      <c r="B14" s="335">
        <v>1827</v>
      </c>
    </row>
    <row r="15" spans="1:6">
      <c r="A15" s="1205" t="s">
        <v>184</v>
      </c>
      <c r="B15" s="335">
        <v>18</v>
      </c>
    </row>
    <row r="16" spans="1:6">
      <c r="A16" s="1205" t="s">
        <v>6</v>
      </c>
      <c r="B16" s="335">
        <v>533</v>
      </c>
    </row>
    <row r="17" spans="1:6">
      <c r="A17" s="1205" t="s">
        <v>7</v>
      </c>
      <c r="B17" s="335">
        <v>264</v>
      </c>
    </row>
    <row r="18" spans="1:6">
      <c r="A18" s="1205" t="s">
        <v>8</v>
      </c>
      <c r="B18" s="335">
        <v>432</v>
      </c>
    </row>
    <row r="19" spans="1:6">
      <c r="A19" s="1205" t="s">
        <v>9</v>
      </c>
      <c r="B19" s="335">
        <v>572</v>
      </c>
    </row>
    <row r="20" spans="1:6">
      <c r="A20" s="1205" t="s">
        <v>10</v>
      </c>
      <c r="B20" s="335">
        <v>434</v>
      </c>
    </row>
    <row r="21" spans="1:6">
      <c r="A21" s="1205" t="s">
        <v>11</v>
      </c>
      <c r="B21" s="335">
        <v>227</v>
      </c>
    </row>
    <row r="22" spans="1:6">
      <c r="A22" s="1205" t="s">
        <v>12</v>
      </c>
      <c r="B22" s="335">
        <v>1945</v>
      </c>
    </row>
    <row r="23" spans="1:6">
      <c r="A23" s="1205" t="s">
        <v>13</v>
      </c>
      <c r="B23" s="335">
        <v>19</v>
      </c>
    </row>
    <row r="24" spans="1:6">
      <c r="A24" s="1205" t="s">
        <v>14</v>
      </c>
      <c r="B24" s="335">
        <v>2</v>
      </c>
    </row>
    <row r="25" spans="1:6">
      <c r="A25" s="1205" t="s">
        <v>15</v>
      </c>
      <c r="B25" s="335">
        <v>107</v>
      </c>
    </row>
    <row r="26" spans="1:6">
      <c r="A26" s="1205" t="s">
        <v>16</v>
      </c>
      <c r="B26" s="335">
        <v>49</v>
      </c>
    </row>
    <row r="27" spans="1:6">
      <c r="A27" s="1205" t="s">
        <v>17</v>
      </c>
      <c r="B27" s="335">
        <v>0</v>
      </c>
    </row>
    <row r="28" spans="1:6" s="341" customFormat="1">
      <c r="A28" s="1206" t="s">
        <v>18</v>
      </c>
      <c r="B28" s="1206">
        <v>18147</v>
      </c>
    </row>
    <row r="29" spans="1:6">
      <c r="A29" s="1206" t="s">
        <v>873</v>
      </c>
      <c r="B29" s="1206">
        <v>295</v>
      </c>
      <c r="C29" s="341"/>
      <c r="D29" s="341"/>
      <c r="E29" s="341"/>
      <c r="F29" s="341"/>
    </row>
    <row r="30" spans="1:6">
      <c r="A30" s="1201" t="s">
        <v>874</v>
      </c>
      <c r="B30" s="1201">
        <v>62</v>
      </c>
      <c r="C30" s="338"/>
      <c r="D30" s="338"/>
      <c r="E30" s="338"/>
      <c r="F30" s="338"/>
    </row>
    <row r="31" spans="1:6" ht="15.75" thickBot="1">
      <c r="A31" s="339"/>
    </row>
    <row r="32" spans="1:6" ht="20.25" thickBot="1">
      <c r="A32" s="1198" t="s">
        <v>19</v>
      </c>
      <c r="B32" s="336" t="s">
        <v>396</v>
      </c>
      <c r="C32" s="336" t="s">
        <v>671</v>
      </c>
      <c r="D32" s="336"/>
      <c r="E32" s="336"/>
      <c r="F32" s="340"/>
    </row>
    <row r="33" spans="1:6" ht="16.5" thickTop="1" thickBot="1">
      <c r="A33" s="1207"/>
      <c r="B33" s="1208"/>
      <c r="C33" s="1208" t="s">
        <v>20</v>
      </c>
      <c r="D33" s="1208"/>
      <c r="E33" s="1208" t="s">
        <v>21</v>
      </c>
      <c r="F33" s="1209"/>
    </row>
    <row r="34" spans="1:6" ht="16.5" thickTop="1" thickBot="1">
      <c r="A34" s="1210" t="s">
        <v>22</v>
      </c>
      <c r="B34" s="1211" t="s">
        <v>23</v>
      </c>
      <c r="C34" s="1211" t="s">
        <v>5</v>
      </c>
      <c r="D34" s="1211" t="s">
        <v>24</v>
      </c>
      <c r="E34" s="1211" t="s">
        <v>5</v>
      </c>
      <c r="F34" s="1212" t="s">
        <v>24</v>
      </c>
    </row>
    <row r="35" spans="1:6">
      <c r="A35" s="1205" t="s">
        <v>25</v>
      </c>
      <c r="B35" s="1205" t="s">
        <v>26</v>
      </c>
      <c r="C35" s="335">
        <v>0</v>
      </c>
      <c r="D35" s="335">
        <v>0</v>
      </c>
      <c r="E35" s="335">
        <v>0</v>
      </c>
      <c r="F35" s="335">
        <v>0</v>
      </c>
    </row>
    <row r="36" spans="1:6">
      <c r="A36" s="1205" t="s">
        <v>25</v>
      </c>
      <c r="B36" s="1205" t="s">
        <v>27</v>
      </c>
      <c r="C36" s="335">
        <v>0</v>
      </c>
      <c r="D36" s="335">
        <v>0</v>
      </c>
      <c r="E36" s="335">
        <v>0</v>
      </c>
      <c r="F36" s="335">
        <v>0</v>
      </c>
    </row>
    <row r="37" spans="1:6">
      <c r="A37" s="1205" t="s">
        <v>25</v>
      </c>
      <c r="B37" s="1205" t="s">
        <v>28</v>
      </c>
      <c r="C37" s="335">
        <v>0</v>
      </c>
      <c r="D37" s="335">
        <v>0</v>
      </c>
      <c r="E37" s="335">
        <v>0</v>
      </c>
      <c r="F37" s="335">
        <v>0</v>
      </c>
    </row>
    <row r="38" spans="1:6">
      <c r="A38" s="1205" t="s">
        <v>25</v>
      </c>
      <c r="B38" s="1205" t="s">
        <v>29</v>
      </c>
      <c r="C38" s="335">
        <v>1</v>
      </c>
      <c r="D38" s="335">
        <v>7193.6624363421997</v>
      </c>
      <c r="E38" s="335">
        <v>2</v>
      </c>
      <c r="F38" s="335">
        <v>13647.5815394414</v>
      </c>
    </row>
    <row r="39" spans="1:6">
      <c r="A39" s="1205" t="s">
        <v>30</v>
      </c>
      <c r="B39" s="1205" t="s">
        <v>31</v>
      </c>
      <c r="C39" s="335">
        <v>2471</v>
      </c>
      <c r="D39" s="335">
        <v>42618160.801426098</v>
      </c>
      <c r="E39" s="335">
        <v>4928</v>
      </c>
      <c r="F39" s="335">
        <v>25814325.768691301</v>
      </c>
    </row>
    <row r="40" spans="1:6">
      <c r="A40" s="1205" t="s">
        <v>30</v>
      </c>
      <c r="B40" s="1205" t="s">
        <v>29</v>
      </c>
      <c r="C40" s="335">
        <v>0</v>
      </c>
      <c r="D40" s="335">
        <v>0</v>
      </c>
      <c r="E40" s="335">
        <v>0</v>
      </c>
      <c r="F40" s="335">
        <v>0</v>
      </c>
    </row>
    <row r="41" spans="1:6">
      <c r="A41" s="1205" t="s">
        <v>32</v>
      </c>
      <c r="B41" s="1205" t="s">
        <v>33</v>
      </c>
      <c r="C41" s="335">
        <v>17</v>
      </c>
      <c r="D41" s="335">
        <v>436861.38978123502</v>
      </c>
      <c r="E41" s="335">
        <v>89</v>
      </c>
      <c r="F41" s="335">
        <v>1474325.7539246399</v>
      </c>
    </row>
    <row r="42" spans="1:6">
      <c r="A42" s="1205" t="s">
        <v>32</v>
      </c>
      <c r="B42" s="1205" t="s">
        <v>34</v>
      </c>
      <c r="C42" s="335">
        <v>0</v>
      </c>
      <c r="D42" s="335">
        <v>0</v>
      </c>
      <c r="E42" s="335">
        <v>0</v>
      </c>
      <c r="F42" s="335">
        <v>0</v>
      </c>
    </row>
    <row r="43" spans="1:6">
      <c r="A43" s="1205" t="s">
        <v>32</v>
      </c>
      <c r="B43" s="1205" t="s">
        <v>35</v>
      </c>
      <c r="C43" s="335">
        <v>0</v>
      </c>
      <c r="D43" s="335">
        <v>0</v>
      </c>
      <c r="E43" s="335">
        <v>0</v>
      </c>
      <c r="F43" s="335">
        <v>0</v>
      </c>
    </row>
    <row r="44" spans="1:6">
      <c r="A44" s="1205" t="s">
        <v>32</v>
      </c>
      <c r="B44" s="1205" t="s">
        <v>36</v>
      </c>
      <c r="C44" s="335">
        <v>0</v>
      </c>
      <c r="D44" s="335">
        <v>0</v>
      </c>
      <c r="E44" s="335">
        <v>11</v>
      </c>
      <c r="F44" s="335">
        <v>548957.30380313296</v>
      </c>
    </row>
    <row r="45" spans="1:6">
      <c r="A45" s="1205" t="s">
        <v>32</v>
      </c>
      <c r="B45" s="1205" t="s">
        <v>37</v>
      </c>
      <c r="C45" s="335">
        <v>0</v>
      </c>
      <c r="D45" s="335">
        <v>0</v>
      </c>
      <c r="E45" s="335">
        <v>3</v>
      </c>
      <c r="F45" s="335">
        <v>18965.857450913601</v>
      </c>
    </row>
    <row r="46" spans="1:6">
      <c r="A46" s="1205" t="s">
        <v>32</v>
      </c>
      <c r="B46" s="1205" t="s">
        <v>38</v>
      </c>
      <c r="C46" s="335">
        <v>0</v>
      </c>
      <c r="D46" s="335">
        <v>0</v>
      </c>
      <c r="E46" s="335">
        <v>0</v>
      </c>
      <c r="F46" s="335">
        <v>0</v>
      </c>
    </row>
    <row r="47" spans="1:6">
      <c r="A47" s="1205" t="s">
        <v>32</v>
      </c>
      <c r="B47" s="1205" t="s">
        <v>39</v>
      </c>
      <c r="C47" s="335">
        <v>0</v>
      </c>
      <c r="D47" s="335">
        <v>0</v>
      </c>
      <c r="E47" s="335">
        <v>3</v>
      </c>
      <c r="F47" s="335">
        <v>9490.7369112095002</v>
      </c>
    </row>
    <row r="48" spans="1:6">
      <c r="A48" s="1205" t="s">
        <v>32</v>
      </c>
      <c r="B48" s="1205" t="s">
        <v>29</v>
      </c>
      <c r="C48" s="335">
        <v>21</v>
      </c>
      <c r="D48" s="335">
        <v>22467978.0965962</v>
      </c>
      <c r="E48" s="335">
        <v>31</v>
      </c>
      <c r="F48" s="335">
        <v>1111695.4355470899</v>
      </c>
    </row>
    <row r="49" spans="1:6">
      <c r="A49" s="1205" t="s">
        <v>32</v>
      </c>
      <c r="B49" s="1205" t="s">
        <v>40</v>
      </c>
      <c r="C49" s="335">
        <v>0</v>
      </c>
      <c r="D49" s="335">
        <v>0</v>
      </c>
      <c r="E49" s="335">
        <v>0</v>
      </c>
      <c r="F49" s="335">
        <v>0</v>
      </c>
    </row>
    <row r="50" spans="1:6">
      <c r="A50" s="1205" t="s">
        <v>32</v>
      </c>
      <c r="B50" s="1205" t="s">
        <v>41</v>
      </c>
      <c r="C50" s="335">
        <v>4</v>
      </c>
      <c r="D50" s="335">
        <v>351976.043184379</v>
      </c>
      <c r="E50" s="335">
        <v>8</v>
      </c>
      <c r="F50" s="335">
        <v>265796.33257694799</v>
      </c>
    </row>
    <row r="51" spans="1:6">
      <c r="A51" s="1205" t="s">
        <v>42</v>
      </c>
      <c r="B51" s="1205" t="s">
        <v>43</v>
      </c>
      <c r="C51" s="335">
        <v>15</v>
      </c>
      <c r="D51" s="335">
        <v>12602081.643637599</v>
      </c>
      <c r="E51" s="335">
        <v>113</v>
      </c>
      <c r="F51" s="335">
        <v>2236205.2380655198</v>
      </c>
    </row>
    <row r="52" spans="1:6">
      <c r="A52" s="1205" t="s">
        <v>42</v>
      </c>
      <c r="B52" s="1205" t="s">
        <v>29</v>
      </c>
      <c r="C52" s="335">
        <v>5</v>
      </c>
      <c r="D52" s="335">
        <v>196559.34304949301</v>
      </c>
      <c r="E52" s="335">
        <v>13</v>
      </c>
      <c r="F52" s="335">
        <v>178307.275226386</v>
      </c>
    </row>
    <row r="53" spans="1:6">
      <c r="A53" s="1205" t="s">
        <v>44</v>
      </c>
      <c r="B53" s="1205" t="s">
        <v>45</v>
      </c>
      <c r="C53" s="335">
        <v>52</v>
      </c>
      <c r="D53" s="335">
        <v>1467101.6156728</v>
      </c>
      <c r="E53" s="335">
        <v>137</v>
      </c>
      <c r="F53" s="335">
        <v>947376.24698169797</v>
      </c>
    </row>
    <row r="54" spans="1:6">
      <c r="A54" s="1205" t="s">
        <v>46</v>
      </c>
      <c r="B54" s="1205" t="s">
        <v>47</v>
      </c>
      <c r="C54" s="335">
        <v>0</v>
      </c>
      <c r="D54" s="335">
        <v>0</v>
      </c>
      <c r="E54" s="335">
        <v>1</v>
      </c>
      <c r="F54" s="335">
        <v>991729</v>
      </c>
    </row>
    <row r="55" spans="1:6">
      <c r="A55" s="1205" t="s">
        <v>46</v>
      </c>
      <c r="B55" s="1205" t="s">
        <v>29</v>
      </c>
      <c r="C55" s="335">
        <v>0</v>
      </c>
      <c r="D55" s="335">
        <v>0</v>
      </c>
      <c r="E55" s="335">
        <v>0</v>
      </c>
      <c r="F55" s="335">
        <v>0</v>
      </c>
    </row>
    <row r="56" spans="1:6">
      <c r="A56" s="1205" t="s">
        <v>48</v>
      </c>
      <c r="B56" s="1205" t="s">
        <v>29</v>
      </c>
      <c r="C56" s="335">
        <v>0</v>
      </c>
      <c r="D56" s="335">
        <v>0</v>
      </c>
      <c r="E56" s="335">
        <v>0</v>
      </c>
      <c r="F56" s="335">
        <v>0</v>
      </c>
    </row>
    <row r="57" spans="1:6">
      <c r="A57" s="1205" t="s">
        <v>49</v>
      </c>
      <c r="B57" s="1205" t="s">
        <v>50</v>
      </c>
      <c r="C57" s="335">
        <v>13</v>
      </c>
      <c r="D57" s="335">
        <v>287989.50293413101</v>
      </c>
      <c r="E57" s="335">
        <v>80</v>
      </c>
      <c r="F57" s="335">
        <v>878512.69382678997</v>
      </c>
    </row>
    <row r="58" spans="1:6">
      <c r="A58" s="1205" t="s">
        <v>49</v>
      </c>
      <c r="B58" s="1205" t="s">
        <v>51</v>
      </c>
      <c r="C58" s="335">
        <v>4</v>
      </c>
      <c r="D58" s="335">
        <v>157528.096730747</v>
      </c>
      <c r="E58" s="335">
        <v>17</v>
      </c>
      <c r="F58" s="335">
        <v>134255.11012772701</v>
      </c>
    </row>
    <row r="59" spans="1:6">
      <c r="A59" s="1205" t="s">
        <v>49</v>
      </c>
      <c r="B59" s="1205" t="s">
        <v>52</v>
      </c>
      <c r="C59" s="335">
        <v>39</v>
      </c>
      <c r="D59" s="335">
        <v>1353438.6434684701</v>
      </c>
      <c r="E59" s="335">
        <v>125</v>
      </c>
      <c r="F59" s="335">
        <v>4737663.7341137398</v>
      </c>
    </row>
    <row r="60" spans="1:6">
      <c r="A60" s="1205" t="s">
        <v>49</v>
      </c>
      <c r="B60" s="1205" t="s">
        <v>53</v>
      </c>
      <c r="C60" s="335">
        <v>28</v>
      </c>
      <c r="D60" s="335">
        <v>1101662.49626483</v>
      </c>
      <c r="E60" s="335">
        <v>53</v>
      </c>
      <c r="F60" s="335">
        <v>1324307.2174714999</v>
      </c>
    </row>
    <row r="61" spans="1:6">
      <c r="A61" s="1205" t="s">
        <v>49</v>
      </c>
      <c r="B61" s="1205" t="s">
        <v>54</v>
      </c>
      <c r="C61" s="335">
        <v>67</v>
      </c>
      <c r="D61" s="335">
        <v>4222670.3214513799</v>
      </c>
      <c r="E61" s="335">
        <v>134</v>
      </c>
      <c r="F61" s="335">
        <v>2280712.59991947</v>
      </c>
    </row>
    <row r="62" spans="1:6">
      <c r="A62" s="1205" t="s">
        <v>49</v>
      </c>
      <c r="B62" s="1205" t="s">
        <v>55</v>
      </c>
      <c r="C62" s="335">
        <v>3</v>
      </c>
      <c r="D62" s="335">
        <v>284513.20897991903</v>
      </c>
      <c r="E62" s="335">
        <v>7</v>
      </c>
      <c r="F62" s="335">
        <v>94703.342125344803</v>
      </c>
    </row>
    <row r="63" spans="1:6">
      <c r="A63" s="1205" t="s">
        <v>49</v>
      </c>
      <c r="B63" s="1205" t="s">
        <v>29</v>
      </c>
      <c r="C63" s="335">
        <v>71</v>
      </c>
      <c r="D63" s="335">
        <v>4455349.5155918105</v>
      </c>
      <c r="E63" s="335">
        <v>81</v>
      </c>
      <c r="F63" s="335">
        <v>1215715.74919225</v>
      </c>
    </row>
    <row r="64" spans="1:6">
      <c r="A64" s="1205" t="s">
        <v>56</v>
      </c>
      <c r="B64" s="1205" t="s">
        <v>57</v>
      </c>
      <c r="C64" s="335">
        <v>0</v>
      </c>
      <c r="D64" s="335">
        <v>0</v>
      </c>
      <c r="E64" s="335">
        <v>0</v>
      </c>
      <c r="F64" s="335">
        <v>0</v>
      </c>
    </row>
    <row r="65" spans="1:6">
      <c r="A65" s="1205" t="s">
        <v>56</v>
      </c>
      <c r="B65" s="1205" t="s">
        <v>29</v>
      </c>
      <c r="C65" s="335">
        <v>3</v>
      </c>
      <c r="D65" s="335">
        <v>102546.594178424</v>
      </c>
      <c r="E65" s="335">
        <v>3</v>
      </c>
      <c r="F65" s="335">
        <v>110567.095778271</v>
      </c>
    </row>
    <row r="66" spans="1:6">
      <c r="A66" s="1205" t="s">
        <v>56</v>
      </c>
      <c r="B66" s="1205" t="s">
        <v>58</v>
      </c>
      <c r="C66" s="335">
        <v>0</v>
      </c>
      <c r="D66" s="335">
        <v>0</v>
      </c>
      <c r="E66" s="335">
        <v>0</v>
      </c>
      <c r="F66" s="335">
        <v>0</v>
      </c>
    </row>
    <row r="67" spans="1:6">
      <c r="A67" s="1206" t="s">
        <v>56</v>
      </c>
      <c r="B67" s="1206" t="s">
        <v>59</v>
      </c>
      <c r="C67" s="335">
        <v>0</v>
      </c>
      <c r="D67" s="335">
        <v>0</v>
      </c>
      <c r="E67" s="335">
        <v>0</v>
      </c>
      <c r="F67" s="335">
        <v>0</v>
      </c>
    </row>
    <row r="68" spans="1:6">
      <c r="A68" s="1201" t="s">
        <v>56</v>
      </c>
      <c r="B68" s="1201" t="s">
        <v>60</v>
      </c>
      <c r="C68" s="335">
        <v>0</v>
      </c>
      <c r="D68" s="335">
        <v>0</v>
      </c>
      <c r="E68" s="335">
        <v>6</v>
      </c>
      <c r="F68" s="335">
        <v>117264.904019668</v>
      </c>
    </row>
    <row r="69" spans="1:6" ht="15.75" thickBot="1">
      <c r="A69" s="339"/>
    </row>
    <row r="70" spans="1:6" ht="19.5">
      <c r="A70" s="1198" t="s">
        <v>61</v>
      </c>
      <c r="B70" s="336"/>
      <c r="C70" s="336" t="s">
        <v>414</v>
      </c>
      <c r="D70" s="336" t="s">
        <v>828</v>
      </c>
      <c r="E70" s="336"/>
      <c r="F70" s="340"/>
    </row>
    <row r="71" spans="1:6" ht="20.25" thickBot="1">
      <c r="A71" s="1213"/>
      <c r="B71" s="342"/>
      <c r="C71" s="342"/>
      <c r="D71" s="343" t="s">
        <v>456</v>
      </c>
      <c r="E71" s="342"/>
      <c r="F71" s="344"/>
    </row>
    <row r="72" spans="1:6" ht="16.5" thickTop="1" thickBot="1">
      <c r="A72" s="1202" t="s">
        <v>62</v>
      </c>
      <c r="B72" s="1203" t="s">
        <v>63</v>
      </c>
      <c r="C72" s="1214" t="s">
        <v>764</v>
      </c>
      <c r="D72" s="1215">
        <v>2012</v>
      </c>
      <c r="E72" s="1215">
        <v>2020</v>
      </c>
      <c r="F72" s="1204"/>
    </row>
    <row r="73" spans="1:6">
      <c r="A73" s="1205" t="s">
        <v>64</v>
      </c>
      <c r="B73" s="1205" t="s">
        <v>771</v>
      </c>
      <c r="C73" s="1216" t="s">
        <v>765</v>
      </c>
      <c r="D73" s="335">
        <v>34343982</v>
      </c>
      <c r="E73" s="335">
        <v>36604031.99566038</v>
      </c>
    </row>
    <row r="74" spans="1:6">
      <c r="A74" s="1205" t="s">
        <v>64</v>
      </c>
      <c r="B74" s="1205" t="s">
        <v>772</v>
      </c>
      <c r="C74" s="1216" t="s">
        <v>766</v>
      </c>
      <c r="D74" s="335">
        <v>4236306.2180006942</v>
      </c>
      <c r="E74" s="335">
        <v>4331827.0872542383</v>
      </c>
    </row>
    <row r="75" spans="1:6">
      <c r="A75" s="1205" t="s">
        <v>65</v>
      </c>
      <c r="B75" s="1205" t="s">
        <v>771</v>
      </c>
      <c r="C75" s="1216" t="s">
        <v>767</v>
      </c>
      <c r="D75" s="335">
        <v>32308724</v>
      </c>
      <c r="E75" s="335">
        <v>29937935.196385961</v>
      </c>
    </row>
    <row r="76" spans="1:6">
      <c r="A76" s="1205" t="s">
        <v>65</v>
      </c>
      <c r="B76" s="1205" t="s">
        <v>772</v>
      </c>
      <c r="C76" s="1216" t="s">
        <v>768</v>
      </c>
      <c r="D76" s="335">
        <v>2407243.2180006942</v>
      </c>
      <c r="E76" s="335">
        <v>2025805.2850409956</v>
      </c>
    </row>
    <row r="77" spans="1:6">
      <c r="A77" s="1205" t="s">
        <v>66</v>
      </c>
      <c r="B77" s="1205" t="s">
        <v>771</v>
      </c>
      <c r="C77" s="1216" t="s">
        <v>769</v>
      </c>
      <c r="D77" s="335">
        <v>74791740</v>
      </c>
      <c r="E77" s="335">
        <v>82411902.65494363</v>
      </c>
    </row>
    <row r="78" spans="1:6">
      <c r="A78" s="1201" t="s">
        <v>66</v>
      </c>
      <c r="B78" s="1201" t="s">
        <v>772</v>
      </c>
      <c r="C78" s="1201" t="s">
        <v>770</v>
      </c>
      <c r="D78" s="1201">
        <v>18258405</v>
      </c>
      <c r="E78" s="1201">
        <v>19688991.637963887</v>
      </c>
      <c r="F78" s="338"/>
    </row>
    <row r="79" spans="1:6">
      <c r="A79" s="1217"/>
      <c r="B79" s="1217"/>
    </row>
    <row r="80" spans="1:6" ht="15.75" thickBot="1">
      <c r="A80" s="1217"/>
      <c r="B80" s="1217"/>
    </row>
    <row r="81" spans="1:6" ht="20.25" thickBot="1">
      <c r="A81" s="1198" t="s">
        <v>334</v>
      </c>
      <c r="B81" s="1218" t="s">
        <v>396</v>
      </c>
      <c r="C81" s="336" t="s">
        <v>829</v>
      </c>
      <c r="D81" s="336"/>
      <c r="E81" s="336"/>
      <c r="F81" s="340"/>
    </row>
    <row r="82" spans="1:6" ht="16.5" thickTop="1" thickBot="1">
      <c r="A82" s="1202" t="s">
        <v>335</v>
      </c>
      <c r="B82" s="1215">
        <v>2012</v>
      </c>
      <c r="C82" s="1215">
        <v>2020</v>
      </c>
      <c r="D82" s="1203"/>
      <c r="E82" s="1203"/>
      <c r="F82" s="1204"/>
    </row>
    <row r="83" spans="1:6">
      <c r="A83" s="1205" t="s">
        <v>336</v>
      </c>
      <c r="B83" s="335">
        <v>178701.56399861135</v>
      </c>
      <c r="C83" s="335">
        <v>171638.2432123179</v>
      </c>
    </row>
    <row r="84" spans="1:6">
      <c r="A84" s="1201" t="s">
        <v>337</v>
      </c>
      <c r="B84" s="338">
        <v>0</v>
      </c>
      <c r="C84" s="338">
        <v>0</v>
      </c>
      <c r="D84" s="338"/>
      <c r="E84" s="338"/>
      <c r="F84" s="338"/>
    </row>
    <row r="85" spans="1:6">
      <c r="A85" s="1217"/>
      <c r="B85" s="1219"/>
    </row>
    <row r="86" spans="1:6" ht="15.75" thickBot="1">
      <c r="A86" s="339"/>
    </row>
    <row r="87" spans="1:6" ht="20.25" thickBot="1">
      <c r="A87" s="1198" t="s">
        <v>67</v>
      </c>
      <c r="B87" s="336" t="s">
        <v>396</v>
      </c>
      <c r="C87" s="336" t="s">
        <v>875</v>
      </c>
      <c r="D87" s="336"/>
      <c r="E87" s="336"/>
      <c r="F87" s="340"/>
    </row>
    <row r="88" spans="1:6" ht="16.5" thickTop="1" thickBot="1">
      <c r="A88" s="1202" t="s">
        <v>4</v>
      </c>
      <c r="B88" s="1203" t="s">
        <v>170</v>
      </c>
      <c r="C88" s="1203"/>
      <c r="D88" s="1203"/>
      <c r="E88" s="1203"/>
      <c r="F88" s="1204"/>
    </row>
    <row r="89" spans="1:6">
      <c r="A89" s="1205" t="s">
        <v>566</v>
      </c>
      <c r="B89" s="335">
        <v>0</v>
      </c>
    </row>
    <row r="90" spans="1:6">
      <c r="A90" s="1205" t="s">
        <v>567</v>
      </c>
      <c r="B90" s="1220">
        <v>0</v>
      </c>
    </row>
    <row r="91" spans="1:6">
      <c r="A91" s="1205" t="s">
        <v>68</v>
      </c>
      <c r="B91" s="335">
        <v>1822.6244857289814</v>
      </c>
    </row>
    <row r="92" spans="1:6">
      <c r="A92" s="1201" t="s">
        <v>69</v>
      </c>
      <c r="B92" s="338">
        <v>237.03908278552416</v>
      </c>
      <c r="C92" s="338"/>
      <c r="D92" s="338"/>
      <c r="E92" s="338"/>
      <c r="F92" s="338"/>
    </row>
    <row r="93" spans="1:6">
      <c r="A93" s="339"/>
    </row>
    <row r="94" spans="1:6" ht="15.75" thickBot="1">
      <c r="A94" s="339"/>
    </row>
    <row r="95" spans="1:6" ht="20.25" thickBot="1">
      <c r="A95" s="1198" t="s">
        <v>70</v>
      </c>
      <c r="B95" s="336" t="s">
        <v>396</v>
      </c>
      <c r="C95" s="336" t="s">
        <v>419</v>
      </c>
      <c r="D95" s="336"/>
      <c r="E95" s="336"/>
      <c r="F95" s="340"/>
    </row>
    <row r="96" spans="1:6" ht="16.5" thickTop="1" thickBot="1">
      <c r="A96" s="1202" t="s">
        <v>4</v>
      </c>
      <c r="B96" s="1203" t="s">
        <v>5</v>
      </c>
      <c r="C96" s="1203"/>
      <c r="D96" s="1203"/>
      <c r="E96" s="1203"/>
      <c r="F96" s="1204"/>
    </row>
    <row r="97" spans="1:6">
      <c r="A97" s="1205" t="s">
        <v>71</v>
      </c>
      <c r="B97" s="335">
        <v>1184</v>
      </c>
    </row>
    <row r="98" spans="1:6">
      <c r="A98" s="1205" t="s">
        <v>72</v>
      </c>
      <c r="B98" s="335">
        <v>0</v>
      </c>
    </row>
    <row r="99" spans="1:6">
      <c r="A99" s="1205" t="s">
        <v>73</v>
      </c>
      <c r="B99" s="335">
        <v>71</v>
      </c>
    </row>
    <row r="100" spans="1:6">
      <c r="A100" s="1205" t="s">
        <v>74</v>
      </c>
      <c r="B100" s="335">
        <v>746</v>
      </c>
    </row>
    <row r="101" spans="1:6">
      <c r="A101" s="1205" t="s">
        <v>75</v>
      </c>
      <c r="B101" s="335">
        <v>80</v>
      </c>
    </row>
    <row r="102" spans="1:6">
      <c r="A102" s="1205" t="s">
        <v>76</v>
      </c>
      <c r="B102" s="335">
        <v>62</v>
      </c>
    </row>
    <row r="103" spans="1:6">
      <c r="A103" s="1205" t="s">
        <v>77</v>
      </c>
      <c r="B103" s="335">
        <v>348</v>
      </c>
    </row>
    <row r="104" spans="1:6">
      <c r="A104" s="1205" t="s">
        <v>78</v>
      </c>
      <c r="B104" s="335">
        <v>2007</v>
      </c>
    </row>
    <row r="105" spans="1:6">
      <c r="A105" s="1201" t="s">
        <v>79</v>
      </c>
      <c r="B105" s="1201">
        <v>9</v>
      </c>
      <c r="C105" s="338"/>
      <c r="D105" s="338"/>
      <c r="E105" s="338"/>
      <c r="F105" s="338"/>
    </row>
    <row r="106" spans="1:6">
      <c r="A106" s="339"/>
    </row>
    <row r="107" spans="1:6" ht="15.75" thickBot="1">
      <c r="A107" s="339"/>
    </row>
    <row r="108" spans="1:6" ht="20.25" thickBot="1">
      <c r="A108" s="1198" t="s">
        <v>708</v>
      </c>
      <c r="B108" s="336" t="s">
        <v>396</v>
      </c>
      <c r="C108" s="336" t="s">
        <v>415</v>
      </c>
      <c r="D108" s="336"/>
      <c r="E108" s="336"/>
      <c r="F108" s="340"/>
    </row>
    <row r="109" spans="1:6" ht="16.5" thickTop="1" thickBot="1">
      <c r="A109" s="1202" t="s">
        <v>4</v>
      </c>
      <c r="B109" s="1203" t="s">
        <v>5</v>
      </c>
      <c r="C109" s="1203"/>
      <c r="D109" s="1203"/>
      <c r="E109" s="1203"/>
      <c r="F109" s="1204"/>
    </row>
    <row r="110" spans="1:6">
      <c r="A110" s="1205" t="s">
        <v>709</v>
      </c>
      <c r="B110" s="335">
        <v>0</v>
      </c>
    </row>
    <row r="111" spans="1:6">
      <c r="A111" s="1221" t="s">
        <v>710</v>
      </c>
      <c r="B111" s="1222">
        <v>0</v>
      </c>
      <c r="C111" s="1222"/>
      <c r="D111" s="1222"/>
      <c r="E111" s="1222"/>
      <c r="F111" s="1222"/>
    </row>
    <row r="112" spans="1:6">
      <c r="A112" s="1205"/>
    </row>
    <row r="113" spans="1:6" ht="15.75" thickBot="1">
      <c r="A113" s="1201"/>
      <c r="B113" s="338"/>
      <c r="C113" s="338"/>
      <c r="D113" s="338"/>
      <c r="E113" s="338"/>
      <c r="F113" s="338"/>
    </row>
    <row r="114" spans="1:6" ht="20.25" thickBot="1">
      <c r="A114" s="1198" t="s">
        <v>80</v>
      </c>
      <c r="B114" s="336" t="s">
        <v>396</v>
      </c>
      <c r="C114" s="336" t="s">
        <v>876</v>
      </c>
      <c r="D114" s="336"/>
      <c r="E114" s="336"/>
      <c r="F114" s="340"/>
    </row>
    <row r="115" spans="1:6" ht="16.5" thickTop="1" thickBot="1">
      <c r="A115" s="345"/>
      <c r="B115" s="346" t="s">
        <v>81</v>
      </c>
      <c r="C115" s="346" t="s">
        <v>82</v>
      </c>
      <c r="D115" s="346"/>
      <c r="E115" s="346"/>
      <c r="F115" s="347"/>
    </row>
    <row r="116" spans="1:6" ht="16.5" thickTop="1" thickBot="1">
      <c r="A116" s="1202" t="s">
        <v>4</v>
      </c>
      <c r="B116" s="1203" t="s">
        <v>5</v>
      </c>
      <c r="C116" s="1203" t="s">
        <v>5</v>
      </c>
      <c r="D116" s="1203"/>
      <c r="E116" s="1203"/>
      <c r="F116" s="1204"/>
    </row>
    <row r="117" spans="1:6">
      <c r="A117" s="1205" t="s">
        <v>83</v>
      </c>
      <c r="B117" s="335">
        <v>0</v>
      </c>
      <c r="C117" s="335">
        <v>0</v>
      </c>
    </row>
    <row r="118" spans="1:6">
      <c r="A118" s="1205" t="s">
        <v>84</v>
      </c>
      <c r="B118" s="335">
        <v>0</v>
      </c>
      <c r="C118" s="335">
        <v>0</v>
      </c>
    </row>
    <row r="119" spans="1:6">
      <c r="A119" s="1205" t="s">
        <v>32</v>
      </c>
      <c r="B119" s="335">
        <v>0</v>
      </c>
      <c r="C119" s="335">
        <v>0</v>
      </c>
    </row>
    <row r="120" spans="1:6">
      <c r="A120" s="1205" t="s">
        <v>85</v>
      </c>
      <c r="B120" s="335">
        <v>0</v>
      </c>
      <c r="C120" s="335">
        <v>0</v>
      </c>
    </row>
    <row r="121" spans="1:6">
      <c r="A121" s="1205" t="s">
        <v>86</v>
      </c>
      <c r="B121" s="335">
        <v>0</v>
      </c>
      <c r="C121" s="335">
        <v>0</v>
      </c>
    </row>
    <row r="122" spans="1:6">
      <c r="A122" s="1205" t="s">
        <v>87</v>
      </c>
      <c r="B122" s="335">
        <v>0</v>
      </c>
      <c r="C122" s="335">
        <v>0</v>
      </c>
    </row>
    <row r="123" spans="1:6">
      <c r="A123" s="1205" t="s">
        <v>88</v>
      </c>
      <c r="B123" s="335">
        <v>15</v>
      </c>
      <c r="C123" s="335">
        <v>10</v>
      </c>
    </row>
    <row r="124" spans="1:6">
      <c r="A124" s="1201" t="s">
        <v>89</v>
      </c>
      <c r="B124" s="335">
        <v>0</v>
      </c>
      <c r="C124" s="335">
        <v>3</v>
      </c>
      <c r="D124" s="338"/>
      <c r="E124" s="338"/>
      <c r="F124" s="338"/>
    </row>
    <row r="125" spans="1:6">
      <c r="A125" s="1217"/>
    </row>
    <row r="126" spans="1:6" ht="15.75" thickBot="1">
      <c r="A126" s="1217"/>
    </row>
    <row r="127" spans="1:6" ht="20.25" thickBot="1">
      <c r="A127" s="1198" t="s">
        <v>293</v>
      </c>
      <c r="B127" s="336" t="s">
        <v>396</v>
      </c>
      <c r="C127" s="336" t="s">
        <v>415</v>
      </c>
      <c r="D127" s="336"/>
      <c r="E127" s="336"/>
      <c r="F127" s="340"/>
    </row>
    <row r="128" spans="1:6" ht="16.5" thickTop="1" thickBot="1">
      <c r="A128" s="1202" t="s">
        <v>4</v>
      </c>
      <c r="B128" s="1203" t="s">
        <v>5</v>
      </c>
      <c r="C128" s="1203"/>
      <c r="D128" s="1203"/>
      <c r="E128" s="1203"/>
      <c r="F128" s="1204"/>
    </row>
    <row r="129" spans="1:6">
      <c r="A129" s="1205" t="s">
        <v>294</v>
      </c>
      <c r="B129" s="335">
        <v>71</v>
      </c>
    </row>
    <row r="130" spans="1:6">
      <c r="A130" s="1205" t="s">
        <v>295</v>
      </c>
      <c r="B130" s="335">
        <v>0</v>
      </c>
    </row>
    <row r="131" spans="1:6">
      <c r="A131" s="1205" t="s">
        <v>296</v>
      </c>
      <c r="B131" s="335">
        <v>0</v>
      </c>
    </row>
    <row r="132" spans="1:6">
      <c r="A132" s="1201" t="s">
        <v>297</v>
      </c>
      <c r="B132" s="338">
        <v>3</v>
      </c>
      <c r="C132" s="338"/>
      <c r="D132" s="338"/>
      <c r="E132" s="338"/>
      <c r="F132" s="338"/>
    </row>
    <row r="134" spans="1:6">
      <c r="A134" s="1219"/>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3" customWidth="1"/>
  </cols>
  <sheetData>
    <row r="1" spans="1:12" ht="18.75" thickBot="1">
      <c r="A1" s="122" t="s">
        <v>180</v>
      </c>
      <c r="B1" s="519"/>
    </row>
    <row r="2" spans="1:12">
      <c r="A2" s="45" t="s">
        <v>751</v>
      </c>
      <c r="B2" s="520"/>
    </row>
    <row r="3" spans="1:12">
      <c r="A3" s="45"/>
      <c r="B3" s="520"/>
    </row>
    <row r="4" spans="1:12" ht="18">
      <c r="A4" s="138" t="s">
        <v>181</v>
      </c>
      <c r="B4" s="521" t="s">
        <v>390</v>
      </c>
    </row>
    <row r="5" spans="1:12" ht="21">
      <c r="A5" s="117" t="s">
        <v>183</v>
      </c>
      <c r="B5" s="522"/>
      <c r="D5" s="665"/>
      <c r="E5" s="9"/>
      <c r="F5" s="10"/>
      <c r="G5" s="10"/>
      <c r="H5" s="10"/>
      <c r="I5" s="10"/>
      <c r="J5" s="10"/>
    </row>
    <row r="6" spans="1:12">
      <c r="A6" s="118" t="s">
        <v>184</v>
      </c>
      <c r="B6" s="523">
        <v>3.9849787380274715</v>
      </c>
      <c r="D6" s="665"/>
      <c r="E6" s="11"/>
      <c r="F6" s="11"/>
      <c r="G6" s="11"/>
      <c r="H6" s="11"/>
      <c r="I6" s="11"/>
      <c r="J6" s="11"/>
      <c r="K6" s="11"/>
      <c r="L6" s="11"/>
    </row>
    <row r="7" spans="1:12">
      <c r="A7" s="118" t="s">
        <v>6</v>
      </c>
      <c r="B7" s="523">
        <v>144.75014955765147</v>
      </c>
      <c r="D7" s="665"/>
      <c r="K7" s="11"/>
      <c r="L7" s="11"/>
    </row>
    <row r="8" spans="1:12">
      <c r="A8" s="118" t="s">
        <v>7</v>
      </c>
      <c r="B8" s="523">
        <v>91.996966343583537</v>
      </c>
      <c r="D8" s="665"/>
      <c r="K8" s="11"/>
      <c r="L8" s="11"/>
    </row>
    <row r="9" spans="1:12">
      <c r="A9" s="118" t="s">
        <v>8</v>
      </c>
      <c r="B9" s="523">
        <v>31.466379225633727</v>
      </c>
      <c r="D9" s="665"/>
      <c r="E9" s="11"/>
      <c r="F9" s="11"/>
      <c r="G9" s="11"/>
      <c r="H9" s="11"/>
      <c r="I9" s="11"/>
      <c r="J9" s="11"/>
      <c r="K9" s="11"/>
      <c r="L9" s="11"/>
    </row>
    <row r="10" spans="1:12">
      <c r="A10" s="118" t="s">
        <v>9</v>
      </c>
      <c r="B10" s="523">
        <v>47.265136268950577</v>
      </c>
      <c r="D10" s="665"/>
      <c r="E10" s="12"/>
      <c r="F10" s="12"/>
      <c r="G10" s="12"/>
      <c r="H10" s="12"/>
      <c r="I10" s="12"/>
      <c r="J10" s="12"/>
      <c r="K10" s="11"/>
      <c r="L10" s="11"/>
    </row>
    <row r="11" spans="1:12">
      <c r="A11" s="118" t="s">
        <v>10</v>
      </c>
      <c r="B11" s="523">
        <v>47.685070955670071</v>
      </c>
      <c r="D11" s="665"/>
      <c r="F11" s="12"/>
      <c r="G11" s="12"/>
      <c r="H11" s="12"/>
      <c r="I11" s="12"/>
      <c r="J11" s="12"/>
      <c r="K11" s="11"/>
      <c r="L11" s="11"/>
    </row>
    <row r="12" spans="1:12">
      <c r="A12" s="119" t="s">
        <v>16</v>
      </c>
      <c r="B12" s="523">
        <v>8</v>
      </c>
      <c r="D12" s="665"/>
      <c r="E12" s="12"/>
      <c r="F12" s="11"/>
      <c r="G12" s="11"/>
      <c r="H12" s="11"/>
      <c r="I12" s="11"/>
      <c r="J12" s="11"/>
      <c r="K12" s="11"/>
      <c r="L12" s="11"/>
    </row>
    <row r="13" spans="1:12">
      <c r="A13" s="119" t="s">
        <v>17</v>
      </c>
      <c r="B13" s="523">
        <v>5</v>
      </c>
      <c r="D13" s="665"/>
      <c r="E13" s="11"/>
      <c r="F13" s="11"/>
      <c r="G13" s="11"/>
      <c r="H13" s="11"/>
      <c r="I13" s="11"/>
      <c r="J13" s="11"/>
      <c r="K13" s="11"/>
      <c r="L13" s="11"/>
    </row>
    <row r="14" spans="1:12">
      <c r="A14" s="119" t="s">
        <v>185</v>
      </c>
      <c r="B14" s="523">
        <v>1.5</v>
      </c>
      <c r="D14" s="665"/>
      <c r="E14" s="11"/>
      <c r="F14" s="11"/>
      <c r="G14" s="11"/>
      <c r="H14" s="11"/>
      <c r="I14" s="11"/>
      <c r="J14" s="11"/>
      <c r="K14" s="11"/>
      <c r="L14" s="11"/>
    </row>
    <row r="15" spans="1:12">
      <c r="A15" s="119" t="s">
        <v>186</v>
      </c>
      <c r="B15" s="523">
        <v>18</v>
      </c>
      <c r="D15" s="665"/>
      <c r="E15" s="11"/>
      <c r="F15" s="11"/>
      <c r="G15" s="11"/>
      <c r="H15" s="11"/>
      <c r="I15" s="11"/>
      <c r="J15" s="11"/>
      <c r="K15" s="11"/>
      <c r="L15" s="11"/>
    </row>
    <row r="16" spans="1:12">
      <c r="A16" s="119" t="s">
        <v>187</v>
      </c>
      <c r="B16" s="524">
        <v>10</v>
      </c>
      <c r="D16" s="665"/>
      <c r="E16" s="11"/>
      <c r="F16" s="11"/>
      <c r="G16" s="11"/>
      <c r="H16" s="11"/>
      <c r="I16" s="11"/>
      <c r="J16" s="11"/>
      <c r="K16" s="11"/>
      <c r="L16" s="11"/>
    </row>
    <row r="17" spans="1:12" s="44" customFormat="1" ht="15.75" thickBot="1">
      <c r="A17" s="120"/>
      <c r="B17" s="525"/>
      <c r="D17" s="667"/>
      <c r="E17" s="157"/>
      <c r="F17" s="157"/>
      <c r="G17" s="157"/>
      <c r="H17" s="157"/>
      <c r="I17" s="157"/>
      <c r="J17" s="157"/>
      <c r="K17" s="157"/>
      <c r="L17" s="157"/>
    </row>
    <row r="18" spans="1:12" s="44" customFormat="1" ht="15.75" thickBot="1">
      <c r="A18" s="198"/>
      <c r="B18" s="526"/>
      <c r="D18" s="667"/>
      <c r="E18" s="157"/>
      <c r="F18" s="157"/>
      <c r="G18" s="157"/>
      <c r="H18" s="157"/>
      <c r="I18" s="157"/>
      <c r="J18" s="157"/>
      <c r="K18" s="157"/>
      <c r="L18" s="157"/>
    </row>
    <row r="19" spans="1:12" ht="18.75" thickBot="1">
      <c r="A19" s="122" t="s">
        <v>188</v>
      </c>
      <c r="B19" s="519"/>
      <c r="D19" s="665"/>
      <c r="E19" s="11"/>
      <c r="F19" s="11"/>
      <c r="G19" s="11"/>
      <c r="H19" s="11"/>
      <c r="I19" s="11"/>
      <c r="J19" s="11"/>
      <c r="K19" s="11"/>
      <c r="L19" s="11"/>
    </row>
    <row r="20" spans="1:12">
      <c r="A20" s="45" t="s">
        <v>751</v>
      </c>
      <c r="B20" s="520"/>
      <c r="D20" s="665"/>
      <c r="E20" s="11"/>
      <c r="F20" s="11"/>
      <c r="G20" s="11"/>
      <c r="H20" s="11"/>
      <c r="I20" s="11"/>
      <c r="J20" s="11"/>
      <c r="K20" s="11"/>
      <c r="L20" s="11"/>
    </row>
    <row r="21" spans="1:12">
      <c r="A21" s="45"/>
      <c r="B21" s="520"/>
      <c r="D21" s="665"/>
      <c r="E21" s="11"/>
      <c r="F21" s="11"/>
      <c r="G21" s="11"/>
      <c r="H21" s="11"/>
      <c r="I21" s="11"/>
      <c r="J21" s="11"/>
      <c r="K21" s="11"/>
      <c r="L21" s="11"/>
    </row>
    <row r="22" spans="1:12" ht="18">
      <c r="A22" s="139" t="s">
        <v>181</v>
      </c>
      <c r="B22" s="527" t="s">
        <v>390</v>
      </c>
      <c r="D22" s="665"/>
      <c r="E22" s="11"/>
      <c r="F22" s="11"/>
      <c r="G22" s="11"/>
      <c r="H22" s="11"/>
      <c r="I22" s="11"/>
      <c r="J22" s="11"/>
      <c r="K22" s="11"/>
      <c r="L22" s="11"/>
    </row>
    <row r="23" spans="1:12" s="73" customFormat="1">
      <c r="A23" s="119" t="s">
        <v>183</v>
      </c>
      <c r="B23" s="523">
        <v>10.693432516779941</v>
      </c>
      <c r="D23" s="963"/>
    </row>
    <row r="24" spans="1:12">
      <c r="A24" s="118" t="s">
        <v>184</v>
      </c>
      <c r="B24" s="523">
        <v>4.2231090152811745</v>
      </c>
      <c r="D24" s="665"/>
      <c r="E24" s="11"/>
      <c r="F24" s="11"/>
      <c r="G24" s="11"/>
      <c r="H24" s="11"/>
      <c r="I24" s="11"/>
      <c r="J24" s="11"/>
      <c r="K24" s="11"/>
      <c r="L24" s="11"/>
    </row>
    <row r="25" spans="1:12">
      <c r="A25" s="118" t="s">
        <v>6</v>
      </c>
      <c r="B25" s="523">
        <v>36.59371072568819</v>
      </c>
      <c r="D25" s="665"/>
      <c r="E25" s="11"/>
      <c r="F25" s="11"/>
      <c r="G25" s="11"/>
      <c r="H25" s="11"/>
      <c r="I25" s="11"/>
      <c r="J25" s="11"/>
      <c r="K25" s="11"/>
      <c r="L25" s="11"/>
    </row>
    <row r="26" spans="1:12">
      <c r="A26" s="118" t="s">
        <v>7</v>
      </c>
      <c r="B26" s="523">
        <v>2.6338889097604059</v>
      </c>
      <c r="D26" s="665"/>
      <c r="E26" s="11"/>
      <c r="F26" s="11"/>
      <c r="G26" s="11"/>
      <c r="H26" s="11"/>
      <c r="I26" s="11"/>
      <c r="J26" s="11"/>
      <c r="K26" s="11"/>
      <c r="L26" s="11"/>
    </row>
    <row r="27" spans="1:12">
      <c r="A27" s="118" t="s">
        <v>8</v>
      </c>
      <c r="B27" s="523">
        <v>1.3742356711711319</v>
      </c>
      <c r="D27" s="665"/>
      <c r="E27" s="11"/>
      <c r="F27" s="11"/>
      <c r="G27" s="11"/>
      <c r="H27" s="11"/>
      <c r="I27" s="11"/>
      <c r="J27" s="11"/>
      <c r="K27" s="11"/>
      <c r="L27" s="11"/>
    </row>
    <row r="28" spans="1:12">
      <c r="A28" s="118" t="s">
        <v>9</v>
      </c>
      <c r="B28" s="523">
        <v>9.3577839260338891</v>
      </c>
      <c r="D28" s="665"/>
      <c r="E28" s="11"/>
      <c r="F28" s="11"/>
      <c r="G28" s="11"/>
      <c r="H28" s="11"/>
      <c r="I28" s="11"/>
      <c r="J28" s="11"/>
      <c r="K28" s="11"/>
      <c r="L28" s="11"/>
    </row>
    <row r="29" spans="1:12">
      <c r="A29" s="118" t="s">
        <v>10</v>
      </c>
      <c r="B29" s="523">
        <v>3.8951527391088074</v>
      </c>
      <c r="D29" s="665"/>
      <c r="E29" s="11"/>
      <c r="F29" s="11"/>
      <c r="G29" s="11"/>
      <c r="H29" s="11"/>
      <c r="I29" s="11"/>
      <c r="J29" s="11"/>
      <c r="K29" s="11"/>
      <c r="L29" s="11"/>
    </row>
    <row r="30" spans="1:12">
      <c r="A30" s="119" t="s">
        <v>185</v>
      </c>
      <c r="B30" s="523">
        <v>4.4955558606003452</v>
      </c>
      <c r="D30" s="665"/>
      <c r="E30" s="11"/>
      <c r="F30" s="11"/>
      <c r="G30" s="11"/>
      <c r="H30" s="11"/>
      <c r="I30" s="11"/>
      <c r="J30" s="11"/>
      <c r="K30" s="11"/>
      <c r="L30" s="11"/>
    </row>
    <row r="31" spans="1:12">
      <c r="A31" s="118" t="s">
        <v>11</v>
      </c>
      <c r="B31" s="523">
        <v>1.6075002802320004</v>
      </c>
      <c r="D31" s="665"/>
      <c r="E31" s="11"/>
      <c r="F31" s="11"/>
      <c r="G31" s="11"/>
      <c r="H31" s="11"/>
      <c r="I31" s="11"/>
      <c r="J31" s="11"/>
      <c r="K31" s="11"/>
      <c r="L31" s="11"/>
    </row>
    <row r="32" spans="1:12">
      <c r="A32" s="118" t="s">
        <v>12</v>
      </c>
      <c r="B32" s="523">
        <v>4.8225008406960006</v>
      </c>
      <c r="D32" s="665"/>
      <c r="E32" s="11"/>
      <c r="F32" s="11"/>
      <c r="G32" s="11"/>
      <c r="H32" s="11"/>
      <c r="I32" s="11"/>
      <c r="J32" s="11"/>
      <c r="K32" s="11"/>
      <c r="L32" s="11"/>
    </row>
    <row r="33" spans="1:14">
      <c r="A33" s="118" t="s">
        <v>13</v>
      </c>
      <c r="B33" s="523">
        <v>6.3685027042560023</v>
      </c>
      <c r="D33" s="665"/>
      <c r="E33" s="11"/>
      <c r="F33" s="11"/>
      <c r="G33" s="11"/>
      <c r="H33" s="11"/>
      <c r="I33" s="11"/>
      <c r="J33" s="11"/>
      <c r="K33" s="11"/>
      <c r="L33" s="11"/>
    </row>
    <row r="34" spans="1:14">
      <c r="A34" s="118" t="s">
        <v>14</v>
      </c>
      <c r="B34" s="523">
        <v>4.6362973013280016</v>
      </c>
      <c r="D34" s="665"/>
      <c r="E34" s="11"/>
      <c r="F34" s="11"/>
      <c r="G34" s="11"/>
      <c r="H34" s="11"/>
      <c r="I34" s="11"/>
      <c r="J34" s="11"/>
      <c r="K34" s="11"/>
      <c r="L34" s="11"/>
    </row>
    <row r="35" spans="1:14">
      <c r="A35" s="118" t="s">
        <v>15</v>
      </c>
      <c r="B35" s="523">
        <v>12.338973989496003</v>
      </c>
      <c r="D35" s="665"/>
      <c r="E35" s="11"/>
      <c r="F35" s="11"/>
      <c r="G35" s="11"/>
      <c r="H35" s="11"/>
      <c r="I35" s="11"/>
      <c r="J35" s="11"/>
      <c r="K35" s="11"/>
      <c r="L35" s="11"/>
    </row>
    <row r="36" spans="1:14">
      <c r="A36" s="119" t="s">
        <v>16</v>
      </c>
      <c r="B36" s="523">
        <v>0.19</v>
      </c>
      <c r="D36" s="665"/>
      <c r="E36" s="11"/>
      <c r="F36" s="11"/>
      <c r="G36" s="11"/>
      <c r="H36" s="11"/>
      <c r="I36" s="11"/>
      <c r="J36" s="11"/>
      <c r="K36" s="11"/>
      <c r="L36" s="11"/>
    </row>
    <row r="37" spans="1:14">
      <c r="A37" s="119" t="s">
        <v>17</v>
      </c>
      <c r="B37" s="523">
        <v>0.13</v>
      </c>
      <c r="D37" s="665"/>
    </row>
    <row r="38" spans="1:14">
      <c r="A38" s="119" t="s">
        <v>186</v>
      </c>
      <c r="B38" s="523">
        <v>1.56</v>
      </c>
      <c r="D38" s="665"/>
    </row>
    <row r="39" spans="1:14">
      <c r="A39" s="119" t="s">
        <v>187</v>
      </c>
      <c r="B39" s="523">
        <v>0.76</v>
      </c>
      <c r="D39" s="665"/>
    </row>
    <row r="40" spans="1:14">
      <c r="A40" s="119" t="s">
        <v>18</v>
      </c>
      <c r="B40" s="524">
        <v>2.3704164773928026E-2</v>
      </c>
      <c r="D40" s="665"/>
    </row>
    <row r="41" spans="1:14" ht="15.75" thickBot="1">
      <c r="A41" s="120"/>
      <c r="B41" s="528"/>
      <c r="D41" s="665"/>
    </row>
    <row r="42" spans="1:14" s="44" customFormat="1" ht="15.75" thickBot="1">
      <c r="A42" s="199"/>
      <c r="B42" s="526"/>
      <c r="D42" s="667"/>
      <c r="E42" s="200"/>
      <c r="F42" s="200"/>
      <c r="G42" s="200"/>
      <c r="H42" s="200"/>
      <c r="I42" s="200"/>
      <c r="J42" s="200"/>
      <c r="K42" s="200"/>
      <c r="L42" s="200"/>
      <c r="M42" s="200"/>
      <c r="N42" s="200"/>
    </row>
    <row r="43" spans="1:14" ht="15.75" thickBot="1">
      <c r="A43" s="122" t="s">
        <v>189</v>
      </c>
      <c r="B43" s="529"/>
      <c r="D43" s="665"/>
    </row>
    <row r="44" spans="1:14">
      <c r="A44" s="45" t="s">
        <v>752</v>
      </c>
      <c r="B44" s="520"/>
      <c r="D44" s="665"/>
    </row>
    <row r="45" spans="1:14">
      <c r="A45" s="45"/>
      <c r="B45" s="520"/>
      <c r="D45" s="665"/>
    </row>
    <row r="46" spans="1:14" ht="18">
      <c r="A46" s="138" t="s">
        <v>190</v>
      </c>
      <c r="B46" s="521" t="s">
        <v>593</v>
      </c>
      <c r="D46" s="665"/>
    </row>
    <row r="47" spans="1:14">
      <c r="A47" s="117" t="s">
        <v>191</v>
      </c>
      <c r="B47" s="530">
        <v>0.91157113899502651</v>
      </c>
      <c r="D47" s="665"/>
    </row>
    <row r="48" spans="1:14">
      <c r="A48" s="119" t="s">
        <v>192</v>
      </c>
      <c r="B48" s="523">
        <v>0.92103501901379137</v>
      </c>
      <c r="D48" s="665"/>
    </row>
    <row r="49" spans="1:12">
      <c r="A49" s="119" t="s">
        <v>185</v>
      </c>
      <c r="B49" s="523">
        <v>3.3606404879796568E-2</v>
      </c>
      <c r="D49" s="665"/>
    </row>
    <row r="50" spans="1:12">
      <c r="A50" s="119" t="s">
        <v>18</v>
      </c>
      <c r="B50" s="523">
        <v>9.7262583974202599E-4</v>
      </c>
      <c r="D50" s="665"/>
      <c r="E50" s="11"/>
      <c r="F50" s="11"/>
      <c r="G50" s="11"/>
      <c r="H50" s="11"/>
      <c r="I50" s="11"/>
      <c r="J50" s="11"/>
      <c r="K50" s="11"/>
      <c r="L50" s="11"/>
    </row>
    <row r="51" spans="1:12">
      <c r="A51" s="119" t="s">
        <v>16</v>
      </c>
      <c r="B51" s="523">
        <v>6.3875808661971742E-3</v>
      </c>
      <c r="D51" s="665"/>
      <c r="E51" s="11"/>
      <c r="F51" s="11"/>
      <c r="G51" s="11"/>
      <c r="H51" s="11"/>
      <c r="I51" s="11"/>
      <c r="J51" s="11"/>
      <c r="K51" s="11"/>
      <c r="L51" s="11"/>
    </row>
    <row r="52" spans="1:12" ht="15.75" thickBot="1">
      <c r="A52" s="120" t="s">
        <v>127</v>
      </c>
      <c r="B52" s="531">
        <v>0.10299339703014961</v>
      </c>
      <c r="D52" s="665"/>
    </row>
    <row r="53" spans="1:12">
      <c r="B53" s="53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60" customWidth="1"/>
    <col min="3" max="3" width="70.28515625" style="536" customWidth="1"/>
  </cols>
  <sheetData>
    <row r="1" spans="1:3" s="335" customFormat="1" ht="15.75" thickBot="1">
      <c r="A1" s="373" t="s">
        <v>645</v>
      </c>
      <c r="B1" s="534"/>
      <c r="C1" s="535"/>
    </row>
    <row r="2" spans="1:3" s="335" customFormat="1">
      <c r="A2" s="377"/>
      <c r="B2" s="500"/>
      <c r="C2" s="537"/>
    </row>
    <row r="3" spans="1:3" s="335" customFormat="1">
      <c r="A3" s="375"/>
      <c r="B3" s="538">
        <v>2012</v>
      </c>
      <c r="C3" s="378" t="s">
        <v>182</v>
      </c>
    </row>
    <row r="4" spans="1:3">
      <c r="A4" s="121" t="s">
        <v>301</v>
      </c>
      <c r="B4" s="539">
        <v>3704.1355821353</v>
      </c>
      <c r="C4" s="140" t="s">
        <v>750</v>
      </c>
    </row>
    <row r="5" spans="1:3" ht="15.75" thickBot="1">
      <c r="A5" s="116" t="s">
        <v>644</v>
      </c>
      <c r="B5" s="540">
        <v>671603</v>
      </c>
      <c r="C5" s="141" t="s">
        <v>642</v>
      </c>
    </row>
    <row r="11" spans="1:3">
      <c r="B11" s="847"/>
    </row>
    <row r="19" spans="4:4">
      <c r="D19" s="52"/>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41">
        <v>310</v>
      </c>
    </row>
    <row r="5" spans="1:2" ht="18.75" thickBot="1">
      <c r="A5" s="116" t="s">
        <v>459</v>
      </c>
      <c r="B5" s="542">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F7:G7"/>
    </sheetView>
  </sheetViews>
  <sheetFormatPr defaultRowHeight="15"/>
  <cols>
    <col min="1" max="1" width="82.7109375" style="335" customWidth="1"/>
    <col min="2" max="2" width="30.28515625" customWidth="1"/>
    <col min="3" max="3" width="12" customWidth="1"/>
    <col min="5" max="5" width="21.42578125" customWidth="1"/>
    <col min="6" max="6" width="19.28515625" customWidth="1"/>
    <col min="8" max="8" width="23.42578125" customWidth="1"/>
    <col min="11" max="11" width="81.5703125" customWidth="1"/>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template'!C23),0,'SEAP template'!C23)</f>
        <v>45141.269629901741</v>
      </c>
      <c r="C3" s="44" t="s">
        <v>170</v>
      </c>
      <c r="D3" s="44"/>
      <c r="E3" s="157"/>
      <c r="F3" s="44"/>
      <c r="G3" s="44"/>
      <c r="H3" s="44"/>
      <c r="I3" s="44"/>
      <c r="J3" s="44"/>
      <c r="K3" s="97"/>
    </row>
    <row r="4" spans="1:11">
      <c r="A4" s="365" t="s">
        <v>171</v>
      </c>
      <c r="B4" s="50">
        <f>IF(ISERROR('SEAP template'!B69),0,'SEAP template'!B69)</f>
        <v>6006.1635685145056</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4">
        <f>E6</f>
        <v>0.221</v>
      </c>
      <c r="C6" s="44" t="s">
        <v>173</v>
      </c>
      <c r="D6" s="44"/>
      <c r="E6" s="996">
        <v>0.221</v>
      </c>
      <c r="F6" s="44" t="s">
        <v>840</v>
      </c>
      <c r="G6" s="44" t="s">
        <v>846</v>
      </c>
      <c r="H6" s="44"/>
      <c r="I6" s="44"/>
      <c r="J6" s="44"/>
      <c r="K6" s="97"/>
    </row>
    <row r="7" spans="1:11">
      <c r="A7" s="365"/>
      <c r="B7" s="462"/>
      <c r="C7" s="44"/>
      <c r="D7" s="44"/>
      <c r="E7" s="44"/>
      <c r="F7" s="49"/>
      <c r="G7" s="997"/>
      <c r="H7" s="44"/>
      <c r="I7" s="44"/>
      <c r="J7" s="44"/>
      <c r="K7" s="97"/>
    </row>
    <row r="8" spans="1:11">
      <c r="A8" s="365"/>
      <c r="B8" s="462"/>
      <c r="C8" s="44"/>
      <c r="D8" s="44"/>
      <c r="E8" s="44"/>
      <c r="F8" s="49"/>
      <c r="G8" s="44"/>
      <c r="H8" s="995"/>
      <c r="I8" s="158"/>
      <c r="J8" s="44"/>
      <c r="K8" s="97"/>
    </row>
    <row r="9" spans="1:11">
      <c r="A9" s="365" t="s">
        <v>175</v>
      </c>
      <c r="B9" s="50">
        <f>IF(ISERROR('SEAP template'!O69),0,'SEAP template'!O69)</f>
        <v>937.87411764705894</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2"/>
      <c r="C11" s="44"/>
      <c r="D11" s="44"/>
      <c r="E11" s="44"/>
      <c r="F11" s="44"/>
      <c r="G11" s="44"/>
      <c r="H11" s="44"/>
      <c r="I11" s="44"/>
      <c r="J11" s="44"/>
      <c r="K11" s="97"/>
    </row>
    <row r="12" spans="1:11">
      <c r="A12" s="366" t="s">
        <v>176</v>
      </c>
      <c r="B12" s="543">
        <f ca="1">IF((B4+B5)&gt;B3,(B9+B10)/(B4+B5),((B3-B4-B5)*B6+B9+B10)/B3)</f>
        <v>0.21237179715617371</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template'!O81),0,'SEAP template'!O81)</f>
        <v>1339.8201680672271</v>
      </c>
      <c r="C17" s="44" t="s">
        <v>174</v>
      </c>
      <c r="D17" s="44"/>
      <c r="E17" s="44"/>
      <c r="F17" s="44"/>
      <c r="G17" s="44"/>
      <c r="H17" s="44"/>
      <c r="I17" s="44"/>
      <c r="J17" s="44"/>
      <c r="K17" s="97"/>
    </row>
    <row r="18" spans="1:11">
      <c r="A18" s="365" t="s">
        <v>178</v>
      </c>
      <c r="B18" s="50">
        <f>IF(ISERROR('Eigen informatie GS &amp; warmtenet'!B50),0,'Eigen informatie GS &amp; warmtenet'!B50)</f>
        <v>0</v>
      </c>
      <c r="C18" s="44" t="s">
        <v>174</v>
      </c>
      <c r="D18" s="44"/>
      <c r="E18" s="44"/>
      <c r="F18" s="44"/>
      <c r="G18" s="44"/>
      <c r="H18" s="44"/>
      <c r="I18" s="44"/>
      <c r="J18" s="44"/>
      <c r="K18" s="97"/>
    </row>
    <row r="19" spans="1:11">
      <c r="A19" s="365" t="s">
        <v>302</v>
      </c>
      <c r="B19" s="50">
        <f>IF(ISERROR('Eigen informatie GS &amp; warmtenet'!B51),0,'Eigen informatie GS &amp; warmtenet'!B51)</f>
        <v>0</v>
      </c>
      <c r="C19" s="44" t="s">
        <v>174</v>
      </c>
      <c r="D19" s="44"/>
      <c r="E19" s="44"/>
      <c r="F19" s="44"/>
      <c r="G19" s="44"/>
      <c r="H19" s="44"/>
      <c r="I19" s="44"/>
      <c r="J19" s="44"/>
      <c r="K19" s="97"/>
    </row>
    <row r="20" spans="1:11">
      <c r="A20" s="365" t="s">
        <v>518</v>
      </c>
      <c r="B20" s="50">
        <f ca="1">IF(ISERROR('SEAP template'!D23),0,('SEAP template'!D23))</f>
        <v>5637.8571428571431</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5">
        <f ca="1">IF(B20=0,0,(B17+B18-B19)/B20)</f>
        <v>0.23764705882352943</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956"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956"/>
  </cols>
  <sheetData>
    <row r="1" spans="1:8" s="318" customFormat="1">
      <c r="A1" s="956" t="s">
        <v>764</v>
      </c>
      <c r="B1" s="956" t="s">
        <v>308</v>
      </c>
      <c r="C1" s="956" t="s">
        <v>312</v>
      </c>
      <c r="D1" s="956" t="s">
        <v>313</v>
      </c>
      <c r="E1" s="956" t="s">
        <v>314</v>
      </c>
      <c r="F1" s="956" t="s">
        <v>315</v>
      </c>
      <c r="H1" s="967"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69" t="s">
        <v>774</v>
      </c>
      <c r="C3" s="969" t="s">
        <v>64</v>
      </c>
      <c r="D3" s="969" t="s">
        <v>202</v>
      </c>
      <c r="E3" s="969" t="s">
        <v>202</v>
      </c>
      <c r="F3" s="969">
        <v>9.743967796843458E-9</v>
      </c>
    </row>
    <row r="4" spans="1:8">
      <c r="A4" s="318" t="str">
        <f>CONCATENATE(TableECFTransport[[#This Row],[Voertuigtype]],"_",TableECFTransport[[#This Row],[Wegtype]],"_",TableECFTransport[[#This Row],[Brandstoftechnologie]],"_",TableECFTransport[[#This Row],[Brandstof]])</f>
        <v>BUS_Niet-genummerde wegen_Diesel_Diesel</v>
      </c>
      <c r="B4" s="969" t="s">
        <v>774</v>
      </c>
      <c r="C4" s="969" t="s">
        <v>65</v>
      </c>
      <c r="D4" s="969" t="s">
        <v>202</v>
      </c>
      <c r="E4" s="969" t="s">
        <v>202</v>
      </c>
      <c r="F4" s="969">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69" t="s">
        <v>774</v>
      </c>
      <c r="C5" s="969" t="s">
        <v>64</v>
      </c>
      <c r="D5" s="968" t="s">
        <v>317</v>
      </c>
      <c r="E5" s="969" t="s">
        <v>202</v>
      </c>
      <c r="F5" s="969">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69" t="s">
        <v>774</v>
      </c>
      <c r="C6" s="969" t="s">
        <v>65</v>
      </c>
      <c r="D6" s="968" t="s">
        <v>317</v>
      </c>
      <c r="E6" s="969" t="s">
        <v>202</v>
      </c>
      <c r="F6" s="969">
        <v>1.7637934736033115E-8</v>
      </c>
    </row>
    <row r="7" spans="1:8">
      <c r="A7" s="318" t="str">
        <f>CONCATENATE(TableECFTransport[[#This Row],[Voertuigtype]],"_",TableECFTransport[[#This Row],[Wegtype]],"_",TableECFTransport[[#This Row],[Brandstoftechnologie]],"_",TableECFTransport[[#This Row],[Brandstof]])</f>
        <v>Lichte voertuigen_Genummerde wegen_CNG_CNG</v>
      </c>
      <c r="B7" s="955" t="s">
        <v>771</v>
      </c>
      <c r="C7" s="955" t="s">
        <v>64</v>
      </c>
      <c r="D7" s="955" t="s">
        <v>309</v>
      </c>
      <c r="E7" s="955"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955" t="s">
        <v>771</v>
      </c>
      <c r="C8" s="955" t="s">
        <v>64</v>
      </c>
      <c r="D8" s="955" t="s">
        <v>202</v>
      </c>
      <c r="E8" s="955"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955" t="s">
        <v>771</v>
      </c>
      <c r="C9" s="955" t="s">
        <v>64</v>
      </c>
      <c r="D9" s="955" t="s">
        <v>733</v>
      </c>
      <c r="E9" s="955"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955" t="s">
        <v>771</v>
      </c>
      <c r="C10" s="955" t="s">
        <v>64</v>
      </c>
      <c r="D10" s="955" t="s">
        <v>310</v>
      </c>
      <c r="E10" s="955"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55" t="s">
        <v>771</v>
      </c>
      <c r="C11" s="955" t="s">
        <v>64</v>
      </c>
      <c r="D11" s="955" t="s">
        <v>119</v>
      </c>
      <c r="E11" s="955"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955" t="s">
        <v>771</v>
      </c>
      <c r="C12" s="955" t="s">
        <v>64</v>
      </c>
      <c r="D12" s="955" t="s">
        <v>311</v>
      </c>
      <c r="E12" s="955"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955" t="s">
        <v>771</v>
      </c>
      <c r="C13" s="955" t="s">
        <v>64</v>
      </c>
      <c r="D13" s="955" t="s">
        <v>776</v>
      </c>
      <c r="E13" s="955"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955" t="s">
        <v>771</v>
      </c>
      <c r="C14" s="955" t="s">
        <v>65</v>
      </c>
      <c r="D14" s="955" t="s">
        <v>309</v>
      </c>
      <c r="E14" s="955"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955" t="s">
        <v>771</v>
      </c>
      <c r="C15" s="955" t="s">
        <v>65</v>
      </c>
      <c r="D15" s="955" t="s">
        <v>202</v>
      </c>
      <c r="E15" s="955"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955" t="s">
        <v>771</v>
      </c>
      <c r="C16" s="955" t="s">
        <v>65</v>
      </c>
      <c r="D16" s="955" t="s">
        <v>733</v>
      </c>
      <c r="E16" s="955"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955" t="s">
        <v>771</v>
      </c>
      <c r="C17" s="955" t="s">
        <v>65</v>
      </c>
      <c r="D17" s="955" t="s">
        <v>310</v>
      </c>
      <c r="E17" s="955"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55" t="s">
        <v>771</v>
      </c>
      <c r="C18" s="955" t="s">
        <v>65</v>
      </c>
      <c r="D18" s="955" t="s">
        <v>119</v>
      </c>
      <c r="E18" s="955"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955" t="s">
        <v>771</v>
      </c>
      <c r="C19" s="955" t="s">
        <v>65</v>
      </c>
      <c r="D19" s="955" t="s">
        <v>311</v>
      </c>
      <c r="E19" s="955"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55" t="s">
        <v>771</v>
      </c>
      <c r="C20" s="955" t="s">
        <v>65</v>
      </c>
      <c r="D20" s="955" t="s">
        <v>776</v>
      </c>
      <c r="E20" s="955"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955" t="s">
        <v>771</v>
      </c>
      <c r="C21" s="955" t="s">
        <v>775</v>
      </c>
      <c r="D21" s="955" t="s">
        <v>309</v>
      </c>
      <c r="E21" s="955"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955" t="s">
        <v>771</v>
      </c>
      <c r="C22" s="955" t="s">
        <v>775</v>
      </c>
      <c r="D22" s="955" t="s">
        <v>202</v>
      </c>
      <c r="E22" s="955"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955" t="s">
        <v>771</v>
      </c>
      <c r="C23" s="955" t="s">
        <v>775</v>
      </c>
      <c r="D23" s="955" t="s">
        <v>733</v>
      </c>
      <c r="E23" s="955"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955" t="s">
        <v>771</v>
      </c>
      <c r="C24" s="955" t="s">
        <v>775</v>
      </c>
      <c r="D24" s="955" t="s">
        <v>310</v>
      </c>
      <c r="E24" s="955"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955" t="s">
        <v>771</v>
      </c>
      <c r="C25" s="955" t="s">
        <v>775</v>
      </c>
      <c r="D25" s="955" t="s">
        <v>119</v>
      </c>
      <c r="E25" s="955"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955" t="s">
        <v>771</v>
      </c>
      <c r="C26" s="955" t="s">
        <v>775</v>
      </c>
      <c r="D26" s="955" t="s">
        <v>311</v>
      </c>
      <c r="E26" s="955"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955" t="s">
        <v>771</v>
      </c>
      <c r="C27" s="955" t="s">
        <v>775</v>
      </c>
      <c r="D27" s="955" t="s">
        <v>776</v>
      </c>
      <c r="E27" s="955"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955" t="s">
        <v>772</v>
      </c>
      <c r="C28" s="955" t="s">
        <v>64</v>
      </c>
      <c r="D28" s="955" t="s">
        <v>202</v>
      </c>
      <c r="E28" s="955"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955" t="s">
        <v>772</v>
      </c>
      <c r="C29" s="955" t="s">
        <v>64</v>
      </c>
      <c r="D29" s="955" t="s">
        <v>311</v>
      </c>
      <c r="E29" s="955"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955" t="s">
        <v>772</v>
      </c>
      <c r="C30" s="955" t="s">
        <v>65</v>
      </c>
      <c r="D30" s="955" t="s">
        <v>202</v>
      </c>
      <c r="E30" s="955"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955" t="s">
        <v>772</v>
      </c>
      <c r="C31" s="955" t="s">
        <v>65</v>
      </c>
      <c r="D31" s="955" t="s">
        <v>311</v>
      </c>
      <c r="E31" s="955"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955" t="s">
        <v>772</v>
      </c>
      <c r="C32" s="955" t="s">
        <v>775</v>
      </c>
      <c r="D32" s="955" t="s">
        <v>202</v>
      </c>
      <c r="E32" s="955"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955" t="s">
        <v>772</v>
      </c>
      <c r="C33" s="955" t="s">
        <v>775</v>
      </c>
      <c r="D33" s="955" t="s">
        <v>311</v>
      </c>
      <c r="E33" s="955" t="s">
        <v>311</v>
      </c>
      <c r="F33" s="335">
        <v>6.5355741912209474E-9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00">
        <v>2012</v>
      </c>
      <c r="B1" s="1101"/>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02"/>
      <c r="B2" s="1103"/>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02"/>
      <c r="B3" s="1103"/>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04"/>
      <c r="B4" s="1105"/>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921">
        <v>0</v>
      </c>
      <c r="D7" s="921">
        <v>1.9186793099021493</v>
      </c>
      <c r="E7" s="921">
        <v>0</v>
      </c>
      <c r="F7" s="922">
        <f>SUM(C7:E7)</f>
        <v>1.9186793099021493</v>
      </c>
      <c r="G7" s="921">
        <v>0</v>
      </c>
      <c r="H7" s="921">
        <v>0</v>
      </c>
      <c r="I7" s="921">
        <v>2.12052</v>
      </c>
      <c r="J7" s="921">
        <v>0.6273478339317422</v>
      </c>
      <c r="K7" s="921">
        <v>0</v>
      </c>
      <c r="L7" s="921">
        <v>60.020931320969275</v>
      </c>
      <c r="M7" s="921">
        <v>0</v>
      </c>
      <c r="N7" s="921">
        <v>0</v>
      </c>
      <c r="O7" s="921">
        <v>0</v>
      </c>
      <c r="P7" s="921">
        <v>0</v>
      </c>
      <c r="Q7" s="921">
        <v>0</v>
      </c>
      <c r="R7" s="922">
        <f>SUM(G7:Q7)</f>
        <v>62.768799154901018</v>
      </c>
      <c r="S7" s="921">
        <v>91.966858275654459</v>
      </c>
      <c r="T7" s="921">
        <v>0</v>
      </c>
      <c r="U7" s="921">
        <v>0</v>
      </c>
      <c r="V7" s="922">
        <f>SUM(S7:U7)</f>
        <v>91.966858275654459</v>
      </c>
      <c r="W7" s="922">
        <f>F7+R7+V7</f>
        <v>156.65433674045761</v>
      </c>
      <c r="X7" s="921">
        <v>0</v>
      </c>
      <c r="Y7" s="921">
        <v>13.626239826111433</v>
      </c>
      <c r="Z7" s="921">
        <v>41.483342324823916</v>
      </c>
      <c r="AA7" s="923">
        <v>0</v>
      </c>
      <c r="AB7" s="923">
        <v>0</v>
      </c>
      <c r="AC7" s="922">
        <f>SUM(W7:AB7)</f>
        <v>211.76391889139296</v>
      </c>
    </row>
    <row r="8" spans="1:29">
      <c r="A8" s="219" t="s">
        <v>156</v>
      </c>
      <c r="B8" s="220"/>
      <c r="C8" s="924">
        <f>SUM(C9:C14)</f>
        <v>0</v>
      </c>
      <c r="D8" s="924">
        <f t="shared" ref="D8:AC8" si="0">SUM(D9:D14)</f>
        <v>0</v>
      </c>
      <c r="E8" s="924">
        <f t="shared" si="0"/>
        <v>0</v>
      </c>
      <c r="F8" s="925">
        <f t="shared" si="0"/>
        <v>0</v>
      </c>
      <c r="G8" s="924">
        <f t="shared" si="0"/>
        <v>0</v>
      </c>
      <c r="H8" s="924">
        <f t="shared" si="0"/>
        <v>0</v>
      </c>
      <c r="I8" s="924">
        <f t="shared" si="0"/>
        <v>0.37758537267557535</v>
      </c>
      <c r="J8" s="924">
        <f t="shared" si="0"/>
        <v>2.5106404652900675E-3</v>
      </c>
      <c r="K8" s="924">
        <f t="shared" si="0"/>
        <v>0</v>
      </c>
      <c r="L8" s="924">
        <f t="shared" si="0"/>
        <v>8.1926849813264102</v>
      </c>
      <c r="M8" s="924">
        <f t="shared" si="0"/>
        <v>0</v>
      </c>
      <c r="N8" s="924">
        <f t="shared" si="0"/>
        <v>0.51186016901888332</v>
      </c>
      <c r="O8" s="924">
        <f t="shared" si="0"/>
        <v>0</v>
      </c>
      <c r="P8" s="924">
        <f t="shared" si="0"/>
        <v>0</v>
      </c>
      <c r="Q8" s="924">
        <f t="shared" si="0"/>
        <v>0</v>
      </c>
      <c r="R8" s="925">
        <f t="shared" si="0"/>
        <v>9.0846411634861575</v>
      </c>
      <c r="S8" s="924">
        <f t="shared" si="0"/>
        <v>44.884929412539336</v>
      </c>
      <c r="T8" s="924">
        <f t="shared" si="0"/>
        <v>0</v>
      </c>
      <c r="U8" s="924">
        <f t="shared" si="0"/>
        <v>0</v>
      </c>
      <c r="V8" s="925">
        <f t="shared" si="0"/>
        <v>44.884929412539336</v>
      </c>
      <c r="W8" s="925">
        <f t="shared" si="0"/>
        <v>53.96957057602549</v>
      </c>
      <c r="X8" s="924">
        <f t="shared" si="0"/>
        <v>1.1268699999999998</v>
      </c>
      <c r="Y8" s="924">
        <f t="shared" si="0"/>
        <v>2.8742944619048671</v>
      </c>
      <c r="Z8" s="924">
        <f t="shared" si="0"/>
        <v>43.70028754064343</v>
      </c>
      <c r="AA8" s="926">
        <f t="shared" si="0"/>
        <v>0</v>
      </c>
      <c r="AB8" s="926">
        <f t="shared" si="0"/>
        <v>0</v>
      </c>
      <c r="AC8" s="925">
        <f t="shared" si="0"/>
        <v>101.67102257857378</v>
      </c>
    </row>
    <row r="9" spans="1:29">
      <c r="A9" s="3"/>
      <c r="B9" s="6" t="s">
        <v>157</v>
      </c>
      <c r="C9" s="927">
        <v>0</v>
      </c>
      <c r="D9" s="927">
        <v>0</v>
      </c>
      <c r="E9" s="927">
        <v>0</v>
      </c>
      <c r="F9" s="928">
        <f t="shared" ref="F9:F32" si="1">SUM(C9:E9)</f>
        <v>0</v>
      </c>
      <c r="G9" s="927">
        <v>0</v>
      </c>
      <c r="H9" s="927">
        <v>0</v>
      </c>
      <c r="I9" s="927">
        <v>0.23735145557062834</v>
      </c>
      <c r="J9" s="927">
        <v>0</v>
      </c>
      <c r="K9" s="927">
        <v>0</v>
      </c>
      <c r="L9" s="927">
        <v>1.043763530227678</v>
      </c>
      <c r="M9" s="927">
        <v>0</v>
      </c>
      <c r="N9" s="927">
        <v>0</v>
      </c>
      <c r="O9" s="927">
        <v>0</v>
      </c>
      <c r="P9" s="927">
        <v>0</v>
      </c>
      <c r="Q9" s="927">
        <v>0</v>
      </c>
      <c r="R9" s="928">
        <f t="shared" ref="R9:R32" si="2">SUM(G9:Q9)</f>
        <v>1.2811149857983064</v>
      </c>
      <c r="S9" s="927">
        <v>5.3464296270871063</v>
      </c>
      <c r="T9" s="927">
        <v>0</v>
      </c>
      <c r="U9" s="927">
        <v>0</v>
      </c>
      <c r="V9" s="928">
        <f t="shared" ref="V9:V32" si="3">SUM(S9:U9)</f>
        <v>5.3464296270871063</v>
      </c>
      <c r="W9" s="928">
        <f t="shared" ref="W9:W32" si="4">F9+R9+V9</f>
        <v>6.627544612885413</v>
      </c>
      <c r="X9" s="927">
        <v>0</v>
      </c>
      <c r="Y9" s="927">
        <v>4.8299999999999998E-4</v>
      </c>
      <c r="Z9" s="927">
        <v>4.5738834855450134</v>
      </c>
      <c r="AA9" s="929">
        <v>0</v>
      </c>
      <c r="AB9" s="929">
        <v>0</v>
      </c>
      <c r="AC9" s="928">
        <f t="shared" ref="AC9:AC32" si="5">SUM(W9:AB9)</f>
        <v>11.201911098430426</v>
      </c>
    </row>
    <row r="10" spans="1:29">
      <c r="A10" s="3"/>
      <c r="B10" s="6" t="s">
        <v>158</v>
      </c>
      <c r="C10" s="927">
        <v>0</v>
      </c>
      <c r="D10" s="927">
        <v>0</v>
      </c>
      <c r="E10" s="927">
        <v>0</v>
      </c>
      <c r="F10" s="928">
        <f t="shared" si="1"/>
        <v>0</v>
      </c>
      <c r="G10" s="927">
        <v>0</v>
      </c>
      <c r="H10" s="927">
        <v>0</v>
      </c>
      <c r="I10" s="927">
        <v>2.7887393731092754E-3</v>
      </c>
      <c r="J10" s="927">
        <v>0</v>
      </c>
      <c r="K10" s="927">
        <v>0</v>
      </c>
      <c r="L10" s="927">
        <v>0.97638857386013711</v>
      </c>
      <c r="M10" s="927">
        <v>0</v>
      </c>
      <c r="N10" s="927">
        <v>0</v>
      </c>
      <c r="O10" s="927">
        <v>0</v>
      </c>
      <c r="P10" s="927">
        <v>0</v>
      </c>
      <c r="Q10" s="927">
        <v>0</v>
      </c>
      <c r="R10" s="928">
        <f t="shared" si="2"/>
        <v>0.97917731323324642</v>
      </c>
      <c r="S10" s="927">
        <v>5.0911131819629087</v>
      </c>
      <c r="T10" s="927">
        <v>0</v>
      </c>
      <c r="U10" s="927">
        <v>0</v>
      </c>
      <c r="V10" s="928">
        <f t="shared" si="3"/>
        <v>5.0911131819629087</v>
      </c>
      <c r="W10" s="928">
        <f t="shared" si="4"/>
        <v>6.0702904951961552</v>
      </c>
      <c r="X10" s="927">
        <v>0</v>
      </c>
      <c r="Y10" s="927">
        <v>2.4248284400000004E-2</v>
      </c>
      <c r="Z10" s="927">
        <v>2.8140336751269039</v>
      </c>
      <c r="AA10" s="929">
        <v>0</v>
      </c>
      <c r="AB10" s="929">
        <v>0</v>
      </c>
      <c r="AC10" s="928">
        <f t="shared" si="5"/>
        <v>8.9085724547230587</v>
      </c>
    </row>
    <row r="11" spans="1:29">
      <c r="A11" s="3"/>
      <c r="B11" s="6" t="s">
        <v>159</v>
      </c>
      <c r="C11" s="927">
        <v>0</v>
      </c>
      <c r="D11" s="927">
        <v>0</v>
      </c>
      <c r="E11" s="927">
        <v>0</v>
      </c>
      <c r="F11" s="928">
        <f t="shared" si="1"/>
        <v>0</v>
      </c>
      <c r="G11" s="927">
        <v>0</v>
      </c>
      <c r="H11" s="927">
        <v>0</v>
      </c>
      <c r="I11" s="927">
        <v>1.0508522324903882E-3</v>
      </c>
      <c r="J11" s="927">
        <v>0</v>
      </c>
      <c r="K11" s="927">
        <v>0</v>
      </c>
      <c r="L11" s="927">
        <v>0.65915688493745617</v>
      </c>
      <c r="M11" s="927">
        <v>0</v>
      </c>
      <c r="N11" s="927">
        <v>0</v>
      </c>
      <c r="O11" s="927">
        <v>0</v>
      </c>
      <c r="P11" s="927">
        <v>0</v>
      </c>
      <c r="Q11" s="927">
        <v>0</v>
      </c>
      <c r="R11" s="928">
        <f t="shared" si="2"/>
        <v>0.66020773716994652</v>
      </c>
      <c r="S11" s="927">
        <v>6.6209044068637315</v>
      </c>
      <c r="T11" s="927">
        <v>0</v>
      </c>
      <c r="U11" s="927">
        <v>0</v>
      </c>
      <c r="V11" s="928">
        <f t="shared" si="3"/>
        <v>6.6209044068637315</v>
      </c>
      <c r="W11" s="928">
        <f t="shared" si="4"/>
        <v>7.2811121440336777</v>
      </c>
      <c r="X11" s="927">
        <v>0</v>
      </c>
      <c r="Y11" s="927">
        <v>5.5458E-3</v>
      </c>
      <c r="Z11" s="927">
        <v>1.7049386291261135</v>
      </c>
      <c r="AA11" s="929">
        <v>0</v>
      </c>
      <c r="AB11" s="929">
        <v>0</v>
      </c>
      <c r="AC11" s="928">
        <f t="shared" si="5"/>
        <v>8.9915965731597911</v>
      </c>
    </row>
    <row r="12" spans="1:29">
      <c r="A12" s="3"/>
      <c r="B12" s="6" t="s">
        <v>160</v>
      </c>
      <c r="C12" s="927">
        <v>0</v>
      </c>
      <c r="D12" s="927">
        <v>0</v>
      </c>
      <c r="E12" s="927">
        <v>0</v>
      </c>
      <c r="F12" s="928">
        <f t="shared" si="1"/>
        <v>0</v>
      </c>
      <c r="G12" s="927">
        <v>0</v>
      </c>
      <c r="H12" s="927">
        <v>0</v>
      </c>
      <c r="I12" s="927">
        <v>2.7804842495122401E-2</v>
      </c>
      <c r="J12" s="927">
        <v>2.5106404652900675E-3</v>
      </c>
      <c r="K12" s="927">
        <v>0</v>
      </c>
      <c r="L12" s="927">
        <v>1.997033496220866</v>
      </c>
      <c r="M12" s="927">
        <v>0</v>
      </c>
      <c r="N12" s="927">
        <v>0</v>
      </c>
      <c r="O12" s="927">
        <v>0</v>
      </c>
      <c r="P12" s="927">
        <v>0</v>
      </c>
      <c r="Q12" s="927">
        <v>0</v>
      </c>
      <c r="R12" s="928">
        <f t="shared" si="2"/>
        <v>2.0273489791812787</v>
      </c>
      <c r="S12" s="927">
        <v>15.319833352424087</v>
      </c>
      <c r="T12" s="927">
        <v>0</v>
      </c>
      <c r="U12" s="927">
        <v>0</v>
      </c>
      <c r="V12" s="928">
        <f t="shared" si="3"/>
        <v>15.319833352424087</v>
      </c>
      <c r="W12" s="928">
        <f t="shared" si="4"/>
        <v>17.347182331605367</v>
      </c>
      <c r="X12" s="927">
        <v>0</v>
      </c>
      <c r="Y12" s="927">
        <v>3.4229999999999998E-3</v>
      </c>
      <c r="Z12" s="927">
        <v>16.94174820958003</v>
      </c>
      <c r="AA12" s="929">
        <v>0</v>
      </c>
      <c r="AB12" s="929">
        <v>0</v>
      </c>
      <c r="AC12" s="928">
        <f t="shared" si="5"/>
        <v>34.292353541185399</v>
      </c>
    </row>
    <row r="13" spans="1:29">
      <c r="A13" s="3"/>
      <c r="B13" s="6" t="s">
        <v>161</v>
      </c>
      <c r="C13" s="927">
        <v>0</v>
      </c>
      <c r="D13" s="927">
        <v>0</v>
      </c>
      <c r="E13" s="927">
        <v>0</v>
      </c>
      <c r="F13" s="928">
        <f t="shared" si="1"/>
        <v>0</v>
      </c>
      <c r="G13" s="927">
        <v>0</v>
      </c>
      <c r="H13" s="927">
        <v>0</v>
      </c>
      <c r="I13" s="927">
        <v>6.9211253042484627E-2</v>
      </c>
      <c r="J13" s="927">
        <v>0</v>
      </c>
      <c r="K13" s="927">
        <v>0</v>
      </c>
      <c r="L13" s="927">
        <v>2.6209673527345569</v>
      </c>
      <c r="M13" s="927">
        <v>0</v>
      </c>
      <c r="N13" s="927">
        <v>0</v>
      </c>
      <c r="O13" s="927">
        <v>0</v>
      </c>
      <c r="P13" s="927">
        <v>0</v>
      </c>
      <c r="Q13" s="927">
        <v>0</v>
      </c>
      <c r="R13" s="928">
        <f t="shared" si="2"/>
        <v>2.6901786057770414</v>
      </c>
      <c r="S13" s="927">
        <v>8.4695588695047626</v>
      </c>
      <c r="T13" s="927">
        <v>0</v>
      </c>
      <c r="U13" s="927">
        <v>0</v>
      </c>
      <c r="V13" s="928">
        <f t="shared" si="3"/>
        <v>8.4695588695047626</v>
      </c>
      <c r="W13" s="928">
        <f t="shared" si="4"/>
        <v>11.159737475281805</v>
      </c>
      <c r="X13" s="927">
        <v>0</v>
      </c>
      <c r="Y13" s="927">
        <v>6.3907736071999996E-2</v>
      </c>
      <c r="Z13" s="927">
        <v>12.852307094494668</v>
      </c>
      <c r="AA13" s="929">
        <v>0</v>
      </c>
      <c r="AB13" s="929">
        <v>0</v>
      </c>
      <c r="AC13" s="928">
        <f t="shared" si="5"/>
        <v>24.075952305848475</v>
      </c>
    </row>
    <row r="14" spans="1:29">
      <c r="A14" s="221"/>
      <c r="B14" s="222" t="s">
        <v>162</v>
      </c>
      <c r="C14" s="930">
        <v>0</v>
      </c>
      <c r="D14" s="930">
        <v>0</v>
      </c>
      <c r="E14" s="930">
        <v>0</v>
      </c>
      <c r="F14" s="931">
        <f t="shared" si="1"/>
        <v>0</v>
      </c>
      <c r="G14" s="927">
        <v>0</v>
      </c>
      <c r="H14" s="927">
        <v>0</v>
      </c>
      <c r="I14" s="927">
        <v>3.9378229961740369E-2</v>
      </c>
      <c r="J14" s="927">
        <v>0</v>
      </c>
      <c r="K14" s="927">
        <v>0</v>
      </c>
      <c r="L14" s="927">
        <v>0.89537514334571489</v>
      </c>
      <c r="M14" s="927">
        <v>0</v>
      </c>
      <c r="N14" s="927">
        <v>0.51186016901888332</v>
      </c>
      <c r="O14" s="927">
        <v>0</v>
      </c>
      <c r="P14" s="927">
        <v>0</v>
      </c>
      <c r="Q14" s="927">
        <v>0</v>
      </c>
      <c r="R14" s="931">
        <f t="shared" si="2"/>
        <v>1.4466135423263387</v>
      </c>
      <c r="S14" s="927">
        <v>4.0370899746967384</v>
      </c>
      <c r="T14" s="930">
        <v>0</v>
      </c>
      <c r="U14" s="930">
        <v>0</v>
      </c>
      <c r="V14" s="931">
        <f t="shared" si="3"/>
        <v>4.0370899746967384</v>
      </c>
      <c r="W14" s="931">
        <f t="shared" si="4"/>
        <v>5.483703517023077</v>
      </c>
      <c r="X14" s="927">
        <v>1.1268699999999998</v>
      </c>
      <c r="Y14" s="927">
        <v>2.776686641432867</v>
      </c>
      <c r="Z14" s="927">
        <v>4.813376446770695</v>
      </c>
      <c r="AA14" s="932">
        <v>0</v>
      </c>
      <c r="AB14" s="932">
        <v>0</v>
      </c>
      <c r="AC14" s="931">
        <f t="shared" si="5"/>
        <v>14.20063660522664</v>
      </c>
    </row>
    <row r="15" spans="1:29">
      <c r="A15" s="219" t="s">
        <v>163</v>
      </c>
      <c r="B15" s="223"/>
      <c r="C15" s="933">
        <f>SUM(C16:C24)</f>
        <v>0</v>
      </c>
      <c r="D15" s="933">
        <f t="shared" ref="D15:AC15" si="6">SUM(D16:D24)</f>
        <v>7.5710930000003355E-4</v>
      </c>
      <c r="E15" s="933">
        <f t="shared" si="6"/>
        <v>0.23897841417000007</v>
      </c>
      <c r="F15" s="934">
        <f t="shared" si="6"/>
        <v>0.23973552347000013</v>
      </c>
      <c r="G15" s="933">
        <f t="shared" si="6"/>
        <v>0</v>
      </c>
      <c r="H15" s="933">
        <f t="shared" si="6"/>
        <v>0</v>
      </c>
      <c r="I15" s="933">
        <f t="shared" si="6"/>
        <v>0.42837297190797929</v>
      </c>
      <c r="J15" s="933">
        <f t="shared" si="6"/>
        <v>0</v>
      </c>
      <c r="K15" s="933">
        <f t="shared" si="6"/>
        <v>0</v>
      </c>
      <c r="L15" s="933">
        <f t="shared" si="6"/>
        <v>8.795967633175179</v>
      </c>
      <c r="M15" s="933">
        <f t="shared" si="6"/>
        <v>0</v>
      </c>
      <c r="N15" s="933">
        <f t="shared" si="6"/>
        <v>0.5917809174162949</v>
      </c>
      <c r="O15" s="933">
        <f t="shared" si="6"/>
        <v>0</v>
      </c>
      <c r="P15" s="933">
        <f t="shared" si="6"/>
        <v>0.65237152799999998</v>
      </c>
      <c r="Q15" s="933">
        <f t="shared" si="6"/>
        <v>0</v>
      </c>
      <c r="R15" s="934">
        <f t="shared" si="6"/>
        <v>10.468493050499452</v>
      </c>
      <c r="S15" s="933">
        <f t="shared" si="6"/>
        <v>37.258987045301666</v>
      </c>
      <c r="T15" s="933">
        <f t="shared" si="6"/>
        <v>0</v>
      </c>
      <c r="U15" s="933">
        <f t="shared" si="6"/>
        <v>0</v>
      </c>
      <c r="V15" s="934">
        <f t="shared" si="6"/>
        <v>37.258987045301666</v>
      </c>
      <c r="W15" s="934">
        <f t="shared" si="6"/>
        <v>47.96721561927113</v>
      </c>
      <c r="X15" s="933">
        <f t="shared" si="6"/>
        <v>1.1904934775</v>
      </c>
      <c r="Y15" s="933">
        <f t="shared" si="6"/>
        <v>1.4634291102087544</v>
      </c>
      <c r="Z15" s="933">
        <f t="shared" si="6"/>
        <v>47.672791607646232</v>
      </c>
      <c r="AA15" s="935">
        <f t="shared" si="6"/>
        <v>0</v>
      </c>
      <c r="AB15" s="935">
        <f t="shared" si="6"/>
        <v>0</v>
      </c>
      <c r="AC15" s="934">
        <f t="shared" si="6"/>
        <v>98.293929814626111</v>
      </c>
    </row>
    <row r="16" spans="1:29">
      <c r="A16" s="5"/>
      <c r="B16" s="6" t="s">
        <v>35</v>
      </c>
      <c r="C16" s="936">
        <v>0</v>
      </c>
      <c r="D16" s="936">
        <v>0</v>
      </c>
      <c r="E16" s="936">
        <v>0</v>
      </c>
      <c r="F16" s="928">
        <f>C16+D16+E16</f>
        <v>0</v>
      </c>
      <c r="G16" s="936">
        <v>0</v>
      </c>
      <c r="H16" s="936">
        <v>0</v>
      </c>
      <c r="I16" s="936">
        <v>1.6343E-3</v>
      </c>
      <c r="J16" s="936">
        <v>0</v>
      </c>
      <c r="K16" s="936">
        <v>0</v>
      </c>
      <c r="L16" s="936">
        <v>8.6571711734000079E-3</v>
      </c>
      <c r="M16" s="936">
        <v>0</v>
      </c>
      <c r="N16" s="936">
        <v>0</v>
      </c>
      <c r="O16" s="936">
        <v>0</v>
      </c>
      <c r="P16" s="936">
        <v>0</v>
      </c>
      <c r="Q16" s="936">
        <v>0</v>
      </c>
      <c r="R16" s="928">
        <f>SUM(G16:Q16)</f>
        <v>1.0291471173400008E-2</v>
      </c>
      <c r="S16" s="936">
        <v>0.45851891347600127</v>
      </c>
      <c r="T16" s="936">
        <v>0</v>
      </c>
      <c r="U16" s="936">
        <v>0</v>
      </c>
      <c r="V16" s="937">
        <f>SUM(S16:U16)</f>
        <v>0.45851891347600127</v>
      </c>
      <c r="W16" s="928">
        <f>F16+R16+V16</f>
        <v>0.46881038464940128</v>
      </c>
      <c r="X16" s="936">
        <v>0</v>
      </c>
      <c r="Y16" s="936">
        <v>1.1232000000000001E-2</v>
      </c>
      <c r="Z16" s="936">
        <v>0.54484919119999997</v>
      </c>
      <c r="AA16" s="929">
        <v>0</v>
      </c>
      <c r="AB16" s="929">
        <v>0</v>
      </c>
      <c r="AC16" s="928">
        <f>SUM(W16:Z16)</f>
        <v>1.0248915758494013</v>
      </c>
    </row>
    <row r="17" spans="1:31">
      <c r="A17" s="5"/>
      <c r="B17" s="6" t="s">
        <v>38</v>
      </c>
      <c r="C17" s="936">
        <v>0</v>
      </c>
      <c r="D17" s="936">
        <v>0</v>
      </c>
      <c r="E17" s="936">
        <v>0.12103780260000008</v>
      </c>
      <c r="F17" s="928">
        <f t="shared" ref="F17:F24" si="7">C17+D17+E17</f>
        <v>0.12103780260000008</v>
      </c>
      <c r="G17" s="936">
        <v>0</v>
      </c>
      <c r="H17" s="936">
        <v>0</v>
      </c>
      <c r="I17" s="936">
        <v>7.7255344300000022E-4</v>
      </c>
      <c r="J17" s="936">
        <v>0</v>
      </c>
      <c r="K17" s="936">
        <v>0</v>
      </c>
      <c r="L17" s="936">
        <v>8.3940618374819975E-2</v>
      </c>
      <c r="M17" s="936">
        <v>0</v>
      </c>
      <c r="N17" s="936">
        <v>1.8184000000004419E-5</v>
      </c>
      <c r="O17" s="936">
        <v>0</v>
      </c>
      <c r="P17" s="936">
        <v>2.3915279999999969E-3</v>
      </c>
      <c r="Q17" s="936">
        <v>0</v>
      </c>
      <c r="R17" s="928">
        <f t="shared" ref="R17:R24" si="8">SUM(G17:Q17)</f>
        <v>8.712288381781999E-2</v>
      </c>
      <c r="S17" s="936">
        <v>0.44553863218399936</v>
      </c>
      <c r="T17" s="936">
        <v>0</v>
      </c>
      <c r="U17" s="936">
        <v>0</v>
      </c>
      <c r="V17" s="937">
        <f t="shared" ref="V17:V24" si="9">SUM(S17:U17)</f>
        <v>0.44553863218399936</v>
      </c>
      <c r="W17" s="928">
        <f t="shared" ref="W17:W24" si="10">F17+R17+V17</f>
        <v>0.6536993186018194</v>
      </c>
      <c r="X17" s="936">
        <v>6.9949999999999998E-2</v>
      </c>
      <c r="Y17" s="936">
        <v>1.392E-3</v>
      </c>
      <c r="Z17" s="936">
        <v>0.3443568084000006</v>
      </c>
      <c r="AA17" s="929">
        <v>0</v>
      </c>
      <c r="AB17" s="929">
        <v>0</v>
      </c>
      <c r="AC17" s="928">
        <f t="shared" ref="AC17:AC24" si="11">SUM(W17:Z17)</f>
        <v>1.0693981270018198</v>
      </c>
    </row>
    <row r="18" spans="1:31">
      <c r="A18" s="5"/>
      <c r="B18" s="6" t="s">
        <v>36</v>
      </c>
      <c r="C18" s="936">
        <v>0</v>
      </c>
      <c r="D18" s="936">
        <v>0</v>
      </c>
      <c r="E18" s="936">
        <v>0.10609499999999999</v>
      </c>
      <c r="F18" s="928">
        <f t="shared" si="7"/>
        <v>0.10609499999999999</v>
      </c>
      <c r="G18" s="936">
        <v>0</v>
      </c>
      <c r="H18" s="936">
        <v>0</v>
      </c>
      <c r="I18" s="936">
        <v>5.8919121515501473E-2</v>
      </c>
      <c r="J18" s="936">
        <v>0</v>
      </c>
      <c r="K18" s="936">
        <v>0</v>
      </c>
      <c r="L18" s="936">
        <v>0.85331486398172307</v>
      </c>
      <c r="M18" s="936">
        <v>0</v>
      </c>
      <c r="N18" s="936">
        <v>0</v>
      </c>
      <c r="O18" s="936">
        <v>0</v>
      </c>
      <c r="P18" s="936">
        <v>0</v>
      </c>
      <c r="Q18" s="936">
        <v>0</v>
      </c>
      <c r="R18" s="928">
        <f t="shared" si="8"/>
        <v>0.91223398549722456</v>
      </c>
      <c r="S18" s="936">
        <v>6.8757868503410853</v>
      </c>
      <c r="T18" s="936">
        <v>0</v>
      </c>
      <c r="U18" s="936">
        <v>0</v>
      </c>
      <c r="V18" s="937">
        <f t="shared" si="9"/>
        <v>6.8757868503410853</v>
      </c>
      <c r="W18" s="928">
        <f t="shared" si="10"/>
        <v>7.8941158358383099</v>
      </c>
      <c r="X18" s="936">
        <v>0</v>
      </c>
      <c r="Y18" s="936">
        <v>2.2234064120000001E-2</v>
      </c>
      <c r="Z18" s="936">
        <v>6.4697801086864528</v>
      </c>
      <c r="AA18" s="929">
        <v>0</v>
      </c>
      <c r="AB18" s="929">
        <v>0</v>
      </c>
      <c r="AC18" s="928">
        <f t="shared" si="11"/>
        <v>14.386130008644763</v>
      </c>
    </row>
    <row r="19" spans="1:31">
      <c r="A19" s="5"/>
      <c r="B19" s="6" t="s">
        <v>33</v>
      </c>
      <c r="C19" s="936">
        <v>0</v>
      </c>
      <c r="D19" s="936">
        <v>7.3249999999999997E-4</v>
      </c>
      <c r="E19" s="936">
        <v>0</v>
      </c>
      <c r="F19" s="928">
        <f t="shared" si="7"/>
        <v>7.3249999999999997E-4</v>
      </c>
      <c r="G19" s="936">
        <v>0</v>
      </c>
      <c r="H19" s="936">
        <v>0</v>
      </c>
      <c r="I19" s="936">
        <v>4.476169832910637E-2</v>
      </c>
      <c r="J19" s="936">
        <v>0</v>
      </c>
      <c r="K19" s="936">
        <v>0</v>
      </c>
      <c r="L19" s="936">
        <v>5.9854499024776295</v>
      </c>
      <c r="M19" s="936">
        <v>0</v>
      </c>
      <c r="N19" s="936">
        <v>0.17530515285167952</v>
      </c>
      <c r="O19" s="936">
        <v>0</v>
      </c>
      <c r="P19" s="936">
        <v>0</v>
      </c>
      <c r="Q19" s="936">
        <v>0</v>
      </c>
      <c r="R19" s="928">
        <f t="shared" si="8"/>
        <v>6.205516753658415</v>
      </c>
      <c r="S19" s="936">
        <v>6.6307388343865314</v>
      </c>
      <c r="T19" s="936">
        <v>0</v>
      </c>
      <c r="U19" s="936">
        <v>0</v>
      </c>
      <c r="V19" s="937">
        <f t="shared" si="9"/>
        <v>6.6307388343865314</v>
      </c>
      <c r="W19" s="928">
        <f t="shared" si="10"/>
        <v>12.836988088044947</v>
      </c>
      <c r="X19" s="936">
        <v>0.23867563000000003</v>
      </c>
      <c r="Y19" s="936">
        <v>0.58672809025999983</v>
      </c>
      <c r="Z19" s="936">
        <v>7.7440382488425161</v>
      </c>
      <c r="AA19" s="929">
        <v>0</v>
      </c>
      <c r="AB19" s="929">
        <v>0</v>
      </c>
      <c r="AC19" s="928">
        <f t="shared" si="11"/>
        <v>21.40643005714746</v>
      </c>
    </row>
    <row r="20" spans="1:31">
      <c r="A20" s="5"/>
      <c r="B20" s="6" t="s">
        <v>41</v>
      </c>
      <c r="C20" s="936">
        <v>0</v>
      </c>
      <c r="D20" s="936">
        <v>0</v>
      </c>
      <c r="E20" s="936">
        <v>4.0141569999999072E-5</v>
      </c>
      <c r="F20" s="928">
        <f t="shared" si="7"/>
        <v>4.0141569999999072E-5</v>
      </c>
      <c r="G20" s="936">
        <v>0</v>
      </c>
      <c r="H20" s="936">
        <v>0</v>
      </c>
      <c r="I20" s="936">
        <v>0.10013986012689723</v>
      </c>
      <c r="J20" s="936">
        <v>0</v>
      </c>
      <c r="K20" s="936">
        <v>0</v>
      </c>
      <c r="L20" s="936">
        <v>0.74157492813339665</v>
      </c>
      <c r="M20" s="936">
        <v>0</v>
      </c>
      <c r="N20" s="936">
        <v>0.38954199801534822</v>
      </c>
      <c r="O20" s="936">
        <v>0</v>
      </c>
      <c r="P20" s="936">
        <v>0</v>
      </c>
      <c r="Q20" s="936">
        <v>0</v>
      </c>
      <c r="R20" s="928">
        <f t="shared" si="8"/>
        <v>1.2312567862756421</v>
      </c>
      <c r="S20" s="936">
        <v>8.4607282408323403</v>
      </c>
      <c r="T20" s="936">
        <v>0</v>
      </c>
      <c r="U20" s="936">
        <v>0</v>
      </c>
      <c r="V20" s="937">
        <f t="shared" si="9"/>
        <v>8.4607282408323403</v>
      </c>
      <c r="W20" s="928">
        <f t="shared" si="10"/>
        <v>9.6920251686779828</v>
      </c>
      <c r="X20" s="936">
        <v>0</v>
      </c>
      <c r="Y20" s="936">
        <v>0.15080785742875485</v>
      </c>
      <c r="Z20" s="936">
        <v>10.18445737999318</v>
      </c>
      <c r="AA20" s="929">
        <v>0</v>
      </c>
      <c r="AB20" s="929">
        <v>0</v>
      </c>
      <c r="AC20" s="928">
        <f t="shared" si="11"/>
        <v>20.027290406099915</v>
      </c>
    </row>
    <row r="21" spans="1:31">
      <c r="A21" s="5"/>
      <c r="B21" s="6" t="s">
        <v>40</v>
      </c>
      <c r="C21" s="936">
        <v>0</v>
      </c>
      <c r="D21" s="936">
        <v>0</v>
      </c>
      <c r="E21" s="936">
        <v>0</v>
      </c>
      <c r="F21" s="928">
        <f t="shared" si="7"/>
        <v>0</v>
      </c>
      <c r="G21" s="936">
        <v>0</v>
      </c>
      <c r="H21" s="936">
        <v>0</v>
      </c>
      <c r="I21" s="936">
        <v>5.1901135876337729E-3</v>
      </c>
      <c r="J21" s="936">
        <v>0</v>
      </c>
      <c r="K21" s="936">
        <v>0</v>
      </c>
      <c r="L21" s="936">
        <v>6.1003792913099368E-2</v>
      </c>
      <c r="M21" s="936">
        <v>0</v>
      </c>
      <c r="N21" s="936">
        <v>2.6909182691267162E-2</v>
      </c>
      <c r="O21" s="936">
        <v>0</v>
      </c>
      <c r="P21" s="936">
        <v>0</v>
      </c>
      <c r="Q21" s="936">
        <v>0</v>
      </c>
      <c r="R21" s="928">
        <f t="shared" si="8"/>
        <v>9.3103089192000305E-2</v>
      </c>
      <c r="S21" s="936">
        <v>3.7144800478087356</v>
      </c>
      <c r="T21" s="936">
        <v>0</v>
      </c>
      <c r="U21" s="936">
        <v>0</v>
      </c>
      <c r="V21" s="937">
        <f t="shared" si="9"/>
        <v>3.7144800478087356</v>
      </c>
      <c r="W21" s="928">
        <f t="shared" si="10"/>
        <v>3.8075831370007358</v>
      </c>
      <c r="X21" s="936">
        <v>0</v>
      </c>
      <c r="Y21" s="936">
        <v>2.7647000000000001E-2</v>
      </c>
      <c r="Z21" s="936">
        <v>2.6653799014757911</v>
      </c>
      <c r="AA21" s="929">
        <v>0</v>
      </c>
      <c r="AB21" s="929">
        <v>0</v>
      </c>
      <c r="AC21" s="928">
        <f t="shared" si="11"/>
        <v>6.5006100384765269</v>
      </c>
    </row>
    <row r="22" spans="1:31">
      <c r="A22" s="5"/>
      <c r="B22" s="6" t="s">
        <v>37</v>
      </c>
      <c r="C22" s="936">
        <v>0</v>
      </c>
      <c r="D22" s="936">
        <v>2.4609300000033585E-5</v>
      </c>
      <c r="E22" s="936">
        <v>1.180547E-2</v>
      </c>
      <c r="F22" s="928">
        <f t="shared" si="7"/>
        <v>1.1830079300000034E-2</v>
      </c>
      <c r="G22" s="936">
        <v>0</v>
      </c>
      <c r="H22" s="936">
        <v>0</v>
      </c>
      <c r="I22" s="936">
        <v>4.5412543326797283E-2</v>
      </c>
      <c r="J22" s="936">
        <v>0</v>
      </c>
      <c r="K22" s="936">
        <v>0</v>
      </c>
      <c r="L22" s="936">
        <v>0.4956514702526153</v>
      </c>
      <c r="M22" s="936">
        <v>0</v>
      </c>
      <c r="N22" s="936">
        <v>6.3998579999946514E-6</v>
      </c>
      <c r="O22" s="936">
        <v>0</v>
      </c>
      <c r="P22" s="936">
        <v>0</v>
      </c>
      <c r="Q22" s="936">
        <v>0</v>
      </c>
      <c r="R22" s="928">
        <f t="shared" si="8"/>
        <v>0.54107041343741258</v>
      </c>
      <c r="S22" s="936">
        <v>1.537518145274583</v>
      </c>
      <c r="T22" s="936">
        <v>0</v>
      </c>
      <c r="U22" s="936">
        <v>0</v>
      </c>
      <c r="V22" s="937">
        <f t="shared" si="9"/>
        <v>1.537518145274583</v>
      </c>
      <c r="W22" s="928">
        <f t="shared" si="10"/>
        <v>2.0904186380119958</v>
      </c>
      <c r="X22" s="936">
        <v>0.88186784750000002</v>
      </c>
      <c r="Y22" s="936">
        <v>0</v>
      </c>
      <c r="Z22" s="936">
        <v>1.7912960837961796</v>
      </c>
      <c r="AA22" s="929">
        <v>0</v>
      </c>
      <c r="AB22" s="929">
        <v>0</v>
      </c>
      <c r="AC22" s="928">
        <f t="shared" si="11"/>
        <v>4.7635825693081753</v>
      </c>
    </row>
    <row r="23" spans="1:31">
      <c r="A23" s="5"/>
      <c r="B23" s="6" t="s">
        <v>39</v>
      </c>
      <c r="C23" s="936">
        <v>0</v>
      </c>
      <c r="D23" s="936">
        <v>0</v>
      </c>
      <c r="E23" s="936">
        <v>0</v>
      </c>
      <c r="F23" s="928">
        <f t="shared" si="7"/>
        <v>0</v>
      </c>
      <c r="G23" s="936">
        <v>0</v>
      </c>
      <c r="H23" s="936">
        <v>0</v>
      </c>
      <c r="I23" s="936">
        <v>6.101414182550316E-2</v>
      </c>
      <c r="J23" s="936">
        <v>0</v>
      </c>
      <c r="K23" s="936">
        <v>0</v>
      </c>
      <c r="L23" s="936">
        <v>0.2958800722289946</v>
      </c>
      <c r="M23" s="936">
        <v>0</v>
      </c>
      <c r="N23" s="936">
        <v>0</v>
      </c>
      <c r="O23" s="936">
        <v>0</v>
      </c>
      <c r="P23" s="936">
        <v>0</v>
      </c>
      <c r="Q23" s="936">
        <v>0</v>
      </c>
      <c r="R23" s="928">
        <f t="shared" si="8"/>
        <v>0.35689421405449773</v>
      </c>
      <c r="S23" s="936">
        <v>0.47536284017639985</v>
      </c>
      <c r="T23" s="936">
        <v>0</v>
      </c>
      <c r="U23" s="936">
        <v>0</v>
      </c>
      <c r="V23" s="937">
        <f t="shared" si="9"/>
        <v>0.47536284017639985</v>
      </c>
      <c r="W23" s="928">
        <f t="shared" si="10"/>
        <v>0.83225705423089757</v>
      </c>
      <c r="X23" s="936">
        <v>0</v>
      </c>
      <c r="Y23" s="936">
        <v>0.6591489199999998</v>
      </c>
      <c r="Z23" s="936">
        <v>3.3094774314845812</v>
      </c>
      <c r="AA23" s="929">
        <v>0</v>
      </c>
      <c r="AB23" s="929">
        <v>0</v>
      </c>
      <c r="AC23" s="928">
        <f t="shared" si="11"/>
        <v>4.8008834057154788</v>
      </c>
    </row>
    <row r="24" spans="1:31">
      <c r="A24" s="224"/>
      <c r="B24" s="222" t="s">
        <v>34</v>
      </c>
      <c r="C24" s="936">
        <v>0</v>
      </c>
      <c r="D24" s="936">
        <v>0</v>
      </c>
      <c r="E24" s="936">
        <v>0</v>
      </c>
      <c r="F24" s="928">
        <f t="shared" si="7"/>
        <v>0</v>
      </c>
      <c r="G24" s="936">
        <v>0</v>
      </c>
      <c r="H24" s="936">
        <v>0</v>
      </c>
      <c r="I24" s="936">
        <v>0.11052863975354001</v>
      </c>
      <c r="J24" s="936">
        <v>0</v>
      </c>
      <c r="K24" s="936">
        <v>0</v>
      </c>
      <c r="L24" s="936">
        <v>0.27049481363950006</v>
      </c>
      <c r="M24" s="936">
        <v>0</v>
      </c>
      <c r="N24" s="936">
        <v>0</v>
      </c>
      <c r="O24" s="936">
        <v>0</v>
      </c>
      <c r="P24" s="936">
        <v>0.64998</v>
      </c>
      <c r="Q24" s="936">
        <v>0</v>
      </c>
      <c r="R24" s="928">
        <f t="shared" si="8"/>
        <v>1.0310034533930401</v>
      </c>
      <c r="S24" s="936">
        <v>8.6603145408219966</v>
      </c>
      <c r="T24" s="936">
        <v>0</v>
      </c>
      <c r="U24" s="936">
        <v>0</v>
      </c>
      <c r="V24" s="937">
        <f t="shared" si="9"/>
        <v>8.6603145408219966</v>
      </c>
      <c r="W24" s="928">
        <f t="shared" si="10"/>
        <v>9.6913179942150371</v>
      </c>
      <c r="X24" s="936">
        <v>0</v>
      </c>
      <c r="Y24" s="936">
        <v>4.2391784000000016E-3</v>
      </c>
      <c r="Z24" s="936">
        <v>14.61915645376753</v>
      </c>
      <c r="AA24" s="929">
        <v>0</v>
      </c>
      <c r="AB24" s="929">
        <v>0</v>
      </c>
      <c r="AC24" s="928">
        <f t="shared" si="11"/>
        <v>24.31471362638257</v>
      </c>
    </row>
    <row r="25" spans="1:31">
      <c r="A25" s="5" t="s">
        <v>112</v>
      </c>
      <c r="B25" s="129"/>
      <c r="C25" s="938">
        <v>0</v>
      </c>
      <c r="D25" s="939">
        <v>0.32894392463478239</v>
      </c>
      <c r="E25" s="933">
        <v>0</v>
      </c>
      <c r="F25" s="934">
        <v>0.32894392463478239</v>
      </c>
      <c r="G25" s="924">
        <v>0</v>
      </c>
      <c r="H25" s="924">
        <v>0</v>
      </c>
      <c r="I25" s="924">
        <v>2.5050528083862187E-2</v>
      </c>
      <c r="J25" s="924">
        <v>9.6713777119717848E-2</v>
      </c>
      <c r="K25" s="924">
        <v>0</v>
      </c>
      <c r="L25" s="924">
        <v>8.2844532108814182</v>
      </c>
      <c r="M25" s="924">
        <v>0</v>
      </c>
      <c r="N25" s="924">
        <v>0.39308102894116248</v>
      </c>
      <c r="O25" s="924">
        <v>0</v>
      </c>
      <c r="P25" s="924">
        <v>0</v>
      </c>
      <c r="Q25" s="924">
        <v>0</v>
      </c>
      <c r="R25" s="934">
        <v>8.7992985450261614</v>
      </c>
      <c r="S25" s="924">
        <v>14.496840271432315</v>
      </c>
      <c r="T25" s="933">
        <v>0</v>
      </c>
      <c r="U25" s="933">
        <v>0</v>
      </c>
      <c r="V25" s="934">
        <v>14.496840271432315</v>
      </c>
      <c r="W25" s="934">
        <v>23.625082741093259</v>
      </c>
      <c r="X25" s="933">
        <v>0</v>
      </c>
      <c r="Y25" s="924">
        <v>2.6001502484000008</v>
      </c>
      <c r="Z25" s="926">
        <v>-1.2270283798095682</v>
      </c>
      <c r="AA25" s="935">
        <v>0</v>
      </c>
      <c r="AB25" s="935">
        <v>0</v>
      </c>
      <c r="AC25" s="925">
        <v>24.99820460968369</v>
      </c>
      <c r="AE25" s="39"/>
    </row>
    <row r="26" spans="1:31">
      <c r="A26" s="5"/>
      <c r="B26" s="129"/>
      <c r="C26" s="938"/>
      <c r="D26" s="939"/>
      <c r="E26" s="938"/>
      <c r="F26" s="928"/>
      <c r="G26" s="939"/>
      <c r="H26" s="939"/>
      <c r="I26" s="939"/>
      <c r="J26" s="939"/>
      <c r="K26" s="939"/>
      <c r="L26" s="939"/>
      <c r="M26" s="939"/>
      <c r="N26" s="939"/>
      <c r="O26" s="939"/>
      <c r="P26" s="939"/>
      <c r="Q26" s="939"/>
      <c r="R26" s="928"/>
      <c r="S26" s="939"/>
      <c r="T26" s="938"/>
      <c r="U26" s="938"/>
      <c r="V26" s="928"/>
      <c r="W26" s="928"/>
      <c r="X26" s="938"/>
      <c r="Y26" s="942"/>
      <c r="Z26" s="942">
        <v>2.6591025930659193</v>
      </c>
      <c r="AA26" s="943"/>
      <c r="AB26" s="940"/>
      <c r="AC26" s="941"/>
      <c r="AE26" s="39"/>
    </row>
    <row r="27" spans="1:31">
      <c r="A27" s="3"/>
      <c r="B27" s="6" t="s">
        <v>164</v>
      </c>
      <c r="C27" s="927">
        <v>0</v>
      </c>
      <c r="D27" s="927">
        <v>1.3371516650183095E-2</v>
      </c>
      <c r="E27" s="927">
        <v>0</v>
      </c>
      <c r="F27" s="928">
        <f t="shared" si="1"/>
        <v>1.3371516650183095E-2</v>
      </c>
      <c r="G27" s="927">
        <v>0</v>
      </c>
      <c r="H27" s="927">
        <v>0</v>
      </c>
      <c r="I27" s="927">
        <v>9.3690862050426552E-3</v>
      </c>
      <c r="J27" s="927">
        <v>8.9511477242744213E-4</v>
      </c>
      <c r="K27" s="927">
        <v>0</v>
      </c>
      <c r="L27" s="927">
        <v>5.2538880791616327</v>
      </c>
      <c r="M27" s="927">
        <v>0</v>
      </c>
      <c r="N27" s="927">
        <v>0</v>
      </c>
      <c r="O27" s="927">
        <v>0</v>
      </c>
      <c r="P27" s="927">
        <v>0</v>
      </c>
      <c r="Q27" s="927">
        <v>0</v>
      </c>
      <c r="R27" s="928">
        <f t="shared" si="2"/>
        <v>5.2641522801391032</v>
      </c>
      <c r="S27" s="927">
        <v>8.4931665403976481E-2</v>
      </c>
      <c r="T27" s="927">
        <v>0</v>
      </c>
      <c r="U27" s="927">
        <v>0</v>
      </c>
      <c r="V27" s="928">
        <f t="shared" si="3"/>
        <v>8.4931665403976481E-2</v>
      </c>
      <c r="W27" s="928">
        <f t="shared" si="4"/>
        <v>5.362455462193263</v>
      </c>
      <c r="X27" s="927">
        <v>0</v>
      </c>
      <c r="Y27" s="927">
        <v>1.1378286720000002</v>
      </c>
      <c r="Z27" s="927">
        <v>2.1431652398641634</v>
      </c>
      <c r="AA27" s="929">
        <v>0</v>
      </c>
      <c r="AB27" s="929">
        <v>0</v>
      </c>
      <c r="AC27" s="928">
        <f t="shared" si="5"/>
        <v>8.6434493740574272</v>
      </c>
    </row>
    <row r="28" spans="1:31">
      <c r="A28" s="3"/>
      <c r="B28" s="6" t="s">
        <v>165</v>
      </c>
      <c r="C28" s="927">
        <v>0</v>
      </c>
      <c r="D28" s="927">
        <v>2.9698851818824013E-4</v>
      </c>
      <c r="E28" s="927">
        <v>0</v>
      </c>
      <c r="F28" s="928">
        <f t="shared" si="1"/>
        <v>2.9698851818824013E-4</v>
      </c>
      <c r="G28" s="927">
        <v>0</v>
      </c>
      <c r="H28" s="927">
        <v>0</v>
      </c>
      <c r="I28" s="927">
        <v>1.7845722384447608E-3</v>
      </c>
      <c r="J28" s="927">
        <v>5.5950814266868889E-5</v>
      </c>
      <c r="K28" s="927">
        <v>0</v>
      </c>
      <c r="L28" s="927">
        <v>1.4180296896155171</v>
      </c>
      <c r="M28" s="927">
        <v>0</v>
      </c>
      <c r="N28" s="927">
        <v>0</v>
      </c>
      <c r="O28" s="927">
        <v>0</v>
      </c>
      <c r="P28" s="927">
        <v>0</v>
      </c>
      <c r="Q28" s="927">
        <v>0</v>
      </c>
      <c r="R28" s="928">
        <f t="shared" si="2"/>
        <v>1.4198702126682288</v>
      </c>
      <c r="S28" s="927">
        <v>0</v>
      </c>
      <c r="T28" s="927">
        <v>0</v>
      </c>
      <c r="U28" s="927">
        <v>0</v>
      </c>
      <c r="V28" s="928">
        <f t="shared" si="3"/>
        <v>0</v>
      </c>
      <c r="W28" s="928">
        <f t="shared" si="4"/>
        <v>1.420167201186417</v>
      </c>
      <c r="X28" s="927">
        <v>0</v>
      </c>
      <c r="Y28" s="927">
        <v>1.0039791920000001</v>
      </c>
      <c r="Z28" s="927">
        <v>0.42331409029024503</v>
      </c>
      <c r="AA28" s="929">
        <v>0</v>
      </c>
      <c r="AB28" s="929">
        <v>0</v>
      </c>
      <c r="AC28" s="928">
        <f t="shared" si="5"/>
        <v>2.8474604834766621</v>
      </c>
    </row>
    <row r="29" spans="1:31">
      <c r="A29" s="3"/>
      <c r="B29" s="6" t="s">
        <v>166</v>
      </c>
      <c r="C29" s="927">
        <v>0</v>
      </c>
      <c r="D29" s="927">
        <v>0.17033160819134557</v>
      </c>
      <c r="E29" s="927">
        <v>0</v>
      </c>
      <c r="F29" s="928">
        <f t="shared" si="1"/>
        <v>0.17033160819134557</v>
      </c>
      <c r="G29" s="927">
        <v>0</v>
      </c>
      <c r="H29" s="927">
        <v>0</v>
      </c>
      <c r="I29" s="927">
        <v>3.724897199651456E-3</v>
      </c>
      <c r="J29" s="927">
        <v>5.7720451393292638E-4</v>
      </c>
      <c r="K29" s="927">
        <v>0</v>
      </c>
      <c r="L29" s="927">
        <v>0.6148099373229623</v>
      </c>
      <c r="M29" s="927">
        <v>0</v>
      </c>
      <c r="N29" s="927">
        <v>0.30481736524582514</v>
      </c>
      <c r="O29" s="927">
        <v>0</v>
      </c>
      <c r="P29" s="927">
        <v>0</v>
      </c>
      <c r="Q29" s="927">
        <v>0</v>
      </c>
      <c r="R29" s="928">
        <f t="shared" si="2"/>
        <v>0.9239294042823718</v>
      </c>
      <c r="S29" s="927">
        <v>14.3344782613921</v>
      </c>
      <c r="T29" s="927">
        <v>0</v>
      </c>
      <c r="U29" s="927">
        <v>0</v>
      </c>
      <c r="V29" s="928">
        <f t="shared" si="3"/>
        <v>14.3344782613921</v>
      </c>
      <c r="W29" s="928">
        <f t="shared" si="4"/>
        <v>15.428739273865817</v>
      </c>
      <c r="X29" s="927">
        <v>0</v>
      </c>
      <c r="Y29" s="927">
        <v>0.45823178440000001</v>
      </c>
      <c r="Z29" s="927">
        <v>-4.545730192942024</v>
      </c>
      <c r="AA29" s="929">
        <v>0</v>
      </c>
      <c r="AB29" s="929">
        <v>0</v>
      </c>
      <c r="AC29" s="928">
        <f t="shared" si="5"/>
        <v>11.341240865323794</v>
      </c>
    </row>
    <row r="30" spans="1:31">
      <c r="A30" s="3"/>
      <c r="B30" s="6" t="s">
        <v>167</v>
      </c>
      <c r="C30" s="927">
        <v>0</v>
      </c>
      <c r="D30" s="927">
        <v>0.1449438112750655</v>
      </c>
      <c r="E30" s="927">
        <v>0</v>
      </c>
      <c r="F30" s="928">
        <f t="shared" si="1"/>
        <v>0.1449438112750655</v>
      </c>
      <c r="G30" s="927">
        <v>0</v>
      </c>
      <c r="H30" s="927">
        <v>0</v>
      </c>
      <c r="I30" s="927">
        <v>1.0170214753626318E-2</v>
      </c>
      <c r="J30" s="927">
        <v>5.3872448660011226E-3</v>
      </c>
      <c r="K30" s="927">
        <v>0</v>
      </c>
      <c r="L30" s="927">
        <v>0.98749531504950616</v>
      </c>
      <c r="M30" s="927">
        <v>0</v>
      </c>
      <c r="N30" s="927">
        <v>8.8263663695337322E-2</v>
      </c>
      <c r="O30" s="927">
        <v>0</v>
      </c>
      <c r="P30" s="927">
        <v>0</v>
      </c>
      <c r="Q30" s="927">
        <v>0</v>
      </c>
      <c r="R30" s="928">
        <f t="shared" si="2"/>
        <v>1.0913164383644709</v>
      </c>
      <c r="S30" s="927">
        <v>7.7430344636238602E-2</v>
      </c>
      <c r="T30" s="927">
        <v>0</v>
      </c>
      <c r="U30" s="927">
        <v>0</v>
      </c>
      <c r="V30" s="928">
        <f t="shared" si="3"/>
        <v>7.7430344636238602E-2</v>
      </c>
      <c r="W30" s="928">
        <f t="shared" si="4"/>
        <v>1.3136905942757748</v>
      </c>
      <c r="X30" s="927">
        <v>0</v>
      </c>
      <c r="Y30" s="927">
        <v>1.106E-4</v>
      </c>
      <c r="Z30" s="927">
        <v>0.75217278656204745</v>
      </c>
      <c r="AA30" s="929">
        <v>0</v>
      </c>
      <c r="AB30" s="929">
        <v>0</v>
      </c>
      <c r="AC30" s="928">
        <f t="shared" si="5"/>
        <v>2.0659739808378221</v>
      </c>
    </row>
    <row r="31" spans="1:31">
      <c r="A31" s="3"/>
      <c r="B31" s="6" t="s">
        <v>168</v>
      </c>
      <c r="C31" s="927">
        <v>0</v>
      </c>
      <c r="D31" s="927">
        <v>0</v>
      </c>
      <c r="E31" s="927">
        <v>0</v>
      </c>
      <c r="F31" s="928">
        <f t="shared" si="1"/>
        <v>0</v>
      </c>
      <c r="G31" s="927">
        <v>0</v>
      </c>
      <c r="H31" s="927">
        <v>0</v>
      </c>
      <c r="I31" s="927">
        <v>1.7576870969999998E-6</v>
      </c>
      <c r="J31" s="927">
        <v>8.6830058340493649E-2</v>
      </c>
      <c r="K31" s="927">
        <v>0</v>
      </c>
      <c r="L31" s="927">
        <v>6.8157765275399856E-3</v>
      </c>
      <c r="M31" s="927">
        <v>0</v>
      </c>
      <c r="N31" s="927">
        <v>0</v>
      </c>
      <c r="O31" s="927">
        <v>0</v>
      </c>
      <c r="P31" s="927">
        <v>0</v>
      </c>
      <c r="Q31" s="927">
        <v>0</v>
      </c>
      <c r="R31" s="928">
        <f t="shared" si="2"/>
        <v>9.3647592555130624E-2</v>
      </c>
      <c r="S31" s="927">
        <v>0</v>
      </c>
      <c r="T31" s="927">
        <v>0</v>
      </c>
      <c r="U31" s="927">
        <v>0</v>
      </c>
      <c r="V31" s="928">
        <f t="shared" si="3"/>
        <v>0</v>
      </c>
      <c r="W31" s="928">
        <f t="shared" si="4"/>
        <v>9.3647592555130624E-2</v>
      </c>
      <c r="X31" s="927">
        <v>0</v>
      </c>
      <c r="Y31" s="927">
        <v>0</v>
      </c>
      <c r="Z31" s="927">
        <v>0</v>
      </c>
      <c r="AA31" s="929">
        <v>0</v>
      </c>
      <c r="AB31" s="929">
        <v>0</v>
      </c>
      <c r="AC31" s="928">
        <f t="shared" si="5"/>
        <v>9.3647592555130624E-2</v>
      </c>
    </row>
    <row r="32" spans="1:31">
      <c r="A32" s="4"/>
      <c r="B32" s="128" t="s">
        <v>169</v>
      </c>
      <c r="C32" s="945">
        <v>0</v>
      </c>
      <c r="D32" s="945">
        <v>0</v>
      </c>
      <c r="E32" s="945">
        <v>0</v>
      </c>
      <c r="F32" s="944">
        <f t="shared" si="1"/>
        <v>0</v>
      </c>
      <c r="G32" s="945">
        <v>0</v>
      </c>
      <c r="H32" s="945">
        <v>0</v>
      </c>
      <c r="I32" s="945">
        <v>0</v>
      </c>
      <c r="J32" s="945">
        <v>2.96820381259584E-3</v>
      </c>
      <c r="K32" s="945">
        <v>0</v>
      </c>
      <c r="L32" s="945">
        <v>3.4144132042592998E-3</v>
      </c>
      <c r="M32" s="945">
        <v>0</v>
      </c>
      <c r="N32" s="945">
        <v>0</v>
      </c>
      <c r="O32" s="945">
        <v>0</v>
      </c>
      <c r="P32" s="945">
        <v>0</v>
      </c>
      <c r="Q32" s="945">
        <v>0</v>
      </c>
      <c r="R32" s="944">
        <f t="shared" si="2"/>
        <v>6.3826170168551398E-3</v>
      </c>
      <c r="S32" s="945">
        <v>0</v>
      </c>
      <c r="T32" s="945">
        <v>0</v>
      </c>
      <c r="U32" s="945">
        <v>0</v>
      </c>
      <c r="V32" s="944">
        <f t="shared" si="3"/>
        <v>0</v>
      </c>
      <c r="W32" s="944">
        <f t="shared" si="4"/>
        <v>6.3826170168551398E-3</v>
      </c>
      <c r="X32" s="945">
        <v>0</v>
      </c>
      <c r="Y32" s="945">
        <v>0</v>
      </c>
      <c r="Z32" s="945">
        <v>4.9696416000000005E-5</v>
      </c>
      <c r="AA32" s="946">
        <v>0</v>
      </c>
      <c r="AB32" s="946">
        <v>0</v>
      </c>
      <c r="AC32" s="944">
        <f t="shared" si="5"/>
        <v>6.43231343285514E-3</v>
      </c>
    </row>
    <row r="35" spans="3:29">
      <c r="C35" s="665"/>
      <c r="D35" s="665"/>
      <c r="E35" s="665"/>
      <c r="F35" s="665"/>
      <c r="G35" s="665"/>
      <c r="H35" s="665"/>
      <c r="I35" s="665"/>
      <c r="J35" s="665"/>
      <c r="K35" s="665"/>
      <c r="L35" s="665"/>
      <c r="M35" s="665"/>
      <c r="N35" s="665"/>
      <c r="O35" s="665"/>
      <c r="P35" s="665"/>
      <c r="Q35" s="665"/>
      <c r="R35" s="665"/>
      <c r="S35" s="665"/>
      <c r="T35" s="665"/>
      <c r="U35" s="665"/>
      <c r="V35" s="665"/>
      <c r="W35" s="665"/>
      <c r="X35" s="665"/>
      <c r="Y35" s="665"/>
      <c r="Z35" s="665"/>
      <c r="AA35" s="665"/>
      <c r="AB35" s="665"/>
      <c r="AC35" s="665"/>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06" t="s">
        <v>485</v>
      </c>
      <c r="B2" s="1107"/>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08" t="s">
        <v>194</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991.72900000000004</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94">
        <f>MAX((B5+B6),0)</f>
        <v>991.72900000000004</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0.21237179715617371</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210.61527002189501</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08" t="s">
        <v>155</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25814.325768691302</v>
      </c>
      <c r="C5" s="18">
        <f>IF(ISERROR('Eigen informatie GS &amp; warmtenet'!B57),0,'Eigen informatie GS &amp; warmtenet'!B57)</f>
        <v>0</v>
      </c>
      <c r="D5" s="31">
        <f>(SUM(HH_hh_gas_kWh,HH_rest_gas_kWh)/1000)*0.902</f>
        <v>38441.581042886341</v>
      </c>
      <c r="E5" s="18">
        <f>B46*B57</f>
        <v>2769.8588743846649</v>
      </c>
      <c r="F5" s="18">
        <f>B51*B62</f>
        <v>16753.239796614991</v>
      </c>
      <c r="G5" s="19"/>
      <c r="H5" s="18"/>
      <c r="I5" s="18"/>
      <c r="J5" s="18">
        <f>B50*B61+C50*C61</f>
        <v>6920.4542275571612</v>
      </c>
      <c r="K5" s="18"/>
      <c r="L5" s="18"/>
      <c r="M5" s="18"/>
      <c r="N5" s="18">
        <f>B48*B59+C48*C59</f>
        <v>10135.475189904499</v>
      </c>
      <c r="O5" s="18">
        <f>B69*B70*B71</f>
        <v>131.32000000000002</v>
      </c>
      <c r="P5" s="18">
        <f>B77*B78*B79/1000-B77*B78*B79/1000/B80</f>
        <v>343.2</v>
      </c>
    </row>
    <row r="6" spans="1:16">
      <c r="A6" s="17" t="s">
        <v>639</v>
      </c>
      <c r="B6" s="831">
        <f>kWh_PV_kleiner_dan_10kW</f>
        <v>1822.6244857289814</v>
      </c>
      <c r="C6" s="832"/>
      <c r="D6" s="832"/>
      <c r="E6" s="833"/>
      <c r="F6" s="833"/>
      <c r="G6" s="833"/>
      <c r="H6" s="833"/>
      <c r="I6" s="833"/>
      <c r="J6" s="833"/>
      <c r="K6" s="833"/>
      <c r="L6" s="833"/>
      <c r="M6" s="833"/>
      <c r="N6" s="833"/>
      <c r="O6" s="833"/>
      <c r="P6" s="833"/>
    </row>
    <row r="7" spans="1:16">
      <c r="B7" s="20"/>
      <c r="C7" s="20"/>
      <c r="D7" s="20"/>
      <c r="E7" s="20"/>
      <c r="F7" s="20"/>
      <c r="G7" s="20"/>
      <c r="H7" s="20"/>
      <c r="I7" s="20"/>
      <c r="J7" s="20"/>
      <c r="K7" s="20"/>
      <c r="L7" s="20"/>
      <c r="M7" s="20"/>
      <c r="N7" s="20"/>
      <c r="O7" s="20"/>
      <c r="P7" s="20"/>
    </row>
    <row r="8" spans="1:16" s="8" customFormat="1">
      <c r="A8" s="21" t="s">
        <v>212</v>
      </c>
      <c r="B8" s="22">
        <f>B5+B6</f>
        <v>27636.950254420284</v>
      </c>
      <c r="C8" s="22">
        <f>C5</f>
        <v>0</v>
      </c>
      <c r="D8" s="22">
        <f>D5</f>
        <v>38441.581042886341</v>
      </c>
      <c r="E8" s="22">
        <f>E5</f>
        <v>2769.8588743846649</v>
      </c>
      <c r="F8" s="22">
        <f>F5</f>
        <v>16753.239796614991</v>
      </c>
      <c r="G8" s="22"/>
      <c r="H8" s="22"/>
      <c r="I8" s="22"/>
      <c r="J8" s="22">
        <f>J5</f>
        <v>6920.4542275571612</v>
      </c>
      <c r="K8" s="22"/>
      <c r="L8" s="22">
        <f>L5</f>
        <v>0</v>
      </c>
      <c r="M8" s="22">
        <f>M5</f>
        <v>0</v>
      </c>
      <c r="N8" s="22">
        <f>N5</f>
        <v>10135.475189904499</v>
      </c>
      <c r="O8" s="22">
        <f>O5</f>
        <v>131.32000000000002</v>
      </c>
      <c r="P8" s="22">
        <f>P5</f>
        <v>343.2</v>
      </c>
    </row>
    <row r="9" spans="1:16">
      <c r="B9" s="20"/>
      <c r="C9" s="20"/>
      <c r="D9" s="262"/>
      <c r="E9" s="20"/>
      <c r="F9" s="20"/>
      <c r="G9" s="20"/>
      <c r="H9" s="20"/>
      <c r="I9" s="20"/>
      <c r="J9" s="20"/>
      <c r="K9" s="20"/>
      <c r="L9" s="20"/>
      <c r="M9" s="20"/>
      <c r="N9" s="20"/>
      <c r="O9" s="20"/>
      <c r="P9" s="20"/>
    </row>
    <row r="10" spans="1:16">
      <c r="A10" s="25" t="s">
        <v>214</v>
      </c>
      <c r="B10" s="26">
        <f ca="1">'EF ele_warmte'!B12</f>
        <v>0.21237179715617371</v>
      </c>
      <c r="C10" s="26">
        <f ca="1">'EF ele_warmte'!B22</f>
        <v>0.23764705882352943</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5869.3087934470077</v>
      </c>
      <c r="C12" s="24">
        <f ca="1">C10*C8</f>
        <v>0</v>
      </c>
      <c r="D12" s="24">
        <f>D8*D10</f>
        <v>7765.199370663041</v>
      </c>
      <c r="E12" s="24">
        <f>E10*E8</f>
        <v>628.75796448531889</v>
      </c>
      <c r="F12" s="24">
        <f>F10*F8</f>
        <v>4473.1150256962028</v>
      </c>
      <c r="G12" s="24"/>
      <c r="H12" s="24"/>
      <c r="I12" s="24"/>
      <c r="J12" s="24">
        <f>J10*J8</f>
        <v>2449.8407965552351</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1184</v>
      </c>
      <c r="C18" s="169" t="s">
        <v>111</v>
      </c>
      <c r="D18" s="231"/>
      <c r="E18" s="16"/>
    </row>
    <row r="19" spans="1:7">
      <c r="A19" s="174" t="s">
        <v>72</v>
      </c>
      <c r="B19" s="38">
        <f>aantalw2001_ander</f>
        <v>0</v>
      </c>
      <c r="C19" s="169" t="s">
        <v>111</v>
      </c>
      <c r="D19" s="232"/>
      <c r="E19" s="16"/>
    </row>
    <row r="20" spans="1:7">
      <c r="A20" s="174" t="s">
        <v>73</v>
      </c>
      <c r="B20" s="38">
        <f>aantalw2001_propaan</f>
        <v>71</v>
      </c>
      <c r="C20" s="170">
        <f>IF(ISERROR(B20/SUM($B$20,$B$21,$B$22)*100),0,B20/SUM($B$20,$B$21,$B$22)*100)</f>
        <v>7.9152731326644368</v>
      </c>
      <c r="D20" s="232"/>
      <c r="E20" s="16"/>
    </row>
    <row r="21" spans="1:7">
      <c r="A21" s="174" t="s">
        <v>74</v>
      </c>
      <c r="B21" s="38">
        <f>aantalw2001_elektriciteit</f>
        <v>746</v>
      </c>
      <c r="C21" s="170">
        <f>IF(ISERROR(B21/SUM($B$20,$B$21,$B$22)*100),0,B21/SUM($B$20,$B$21,$B$22)*100)</f>
        <v>83.166109253065784</v>
      </c>
      <c r="D21" s="232"/>
      <c r="E21" s="16"/>
    </row>
    <row r="22" spans="1:7">
      <c r="A22" s="174" t="s">
        <v>75</v>
      </c>
      <c r="B22" s="38">
        <f>aantalw2001_hout</f>
        <v>80</v>
      </c>
      <c r="C22" s="170">
        <f>IF(ISERROR(B22/SUM($B$20,$B$21,$B$22)*100),0,B22/SUM($B$20,$B$21,$B$22)*100)</f>
        <v>8.9186176142697882</v>
      </c>
      <c r="D22" s="232"/>
      <c r="E22" s="16"/>
    </row>
    <row r="23" spans="1:7">
      <c r="A23" s="174" t="s">
        <v>76</v>
      </c>
      <c r="B23" s="38">
        <f>aantalw2001_niet_gespec</f>
        <v>62</v>
      </c>
      <c r="C23" s="169" t="s">
        <v>111</v>
      </c>
      <c r="D23" s="231"/>
      <c r="E23" s="16"/>
    </row>
    <row r="24" spans="1:7">
      <c r="A24" s="174" t="s">
        <v>77</v>
      </c>
      <c r="B24" s="38">
        <f>aantalw2001_steenkool</f>
        <v>348</v>
      </c>
      <c r="C24" s="169" t="s">
        <v>111</v>
      </c>
      <c r="D24" s="232"/>
      <c r="E24" s="16"/>
    </row>
    <row r="25" spans="1:7">
      <c r="A25" s="174" t="s">
        <v>78</v>
      </c>
      <c r="B25" s="38">
        <f>aantalw2001_stookolie</f>
        <v>2007</v>
      </c>
      <c r="C25" s="169" t="s">
        <v>111</v>
      </c>
      <c r="D25" s="231"/>
      <c r="E25" s="53"/>
    </row>
    <row r="26" spans="1:7">
      <c r="A26" s="174" t="s">
        <v>79</v>
      </c>
      <c r="B26" s="38">
        <f>aantalw2001_WP</f>
        <v>9</v>
      </c>
      <c r="C26" s="169" t="s">
        <v>111</v>
      </c>
      <c r="D26" s="231"/>
      <c r="E26" s="16"/>
    </row>
    <row r="27" spans="1:7" s="16" customFormat="1">
      <c r="A27" s="174"/>
      <c r="B27" s="30"/>
      <c r="C27" s="37"/>
      <c r="D27" s="231"/>
    </row>
    <row r="28" spans="1:7" s="16" customFormat="1">
      <c r="A28" s="233" t="s">
        <v>665</v>
      </c>
      <c r="B28" s="38">
        <f>aantalHuishoudens2011</f>
        <v>5145</v>
      </c>
      <c r="C28" s="37"/>
      <c r="D28" s="231"/>
    </row>
    <row r="29" spans="1:7" s="16" customFormat="1">
      <c r="A29" s="233" t="s">
        <v>666</v>
      </c>
      <c r="B29" s="38">
        <f>SUM(HH_hh_gas_aantal,HH_rest_gas_aantal)</f>
        <v>2471</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2471</v>
      </c>
      <c r="C32" s="170">
        <f>IF(ISERROR(B32/SUM($B$32,$B$34,$B$35,$B$36,$B$38,$B$39)*100),0,B32/SUM($B$32,$B$34,$B$35,$B$36,$B$38,$B$39)*100)</f>
        <v>48.195826019114492</v>
      </c>
      <c r="D32" s="236"/>
      <c r="G32" s="16"/>
    </row>
    <row r="33" spans="1:7">
      <c r="A33" s="174" t="s">
        <v>72</v>
      </c>
      <c r="B33" s="35" t="s">
        <v>111</v>
      </c>
      <c r="C33" s="170"/>
      <c r="D33" s="236"/>
      <c r="G33" s="16"/>
    </row>
    <row r="34" spans="1:7">
      <c r="A34" s="174" t="s">
        <v>73</v>
      </c>
      <c r="B34" s="34">
        <f>IF((($B$28-$B$32-$B$39-$B$77-$B$38)*C20/100)&lt;0,0,($B$28-$B$32-$B$39-$B$77-$B$38)*C20/100)</f>
        <v>125.69453734671126</v>
      </c>
      <c r="C34" s="170">
        <f>IF(ISERROR(B34/SUM($B$32,$B$34,$B$35,$B$36,$B$38,$B$39)*100),0,B34/SUM($B$32,$B$34,$B$35,$B$36,$B$38,$B$39)*100)</f>
        <v>2.4516196088689539</v>
      </c>
      <c r="D34" s="236"/>
      <c r="G34" s="16"/>
    </row>
    <row r="35" spans="1:7">
      <c r="A35" s="174" t="s">
        <v>74</v>
      </c>
      <c r="B35" s="34">
        <f>IF((($B$28-$B$32-$B$39-$B$77-$B$38)*C21/100)&lt;0,0,($B$28-$B$32-$B$39-$B$77-$B$38)*C21/100)</f>
        <v>1320.6778149386848</v>
      </c>
      <c r="C35" s="170">
        <f>IF(ISERROR(B35/SUM($B$32,$B$34,$B$35,$B$36,$B$38,$B$39)*100),0,B35/SUM($B$32,$B$34,$B$35,$B$36,$B$38,$B$39)*100)</f>
        <v>25.759270819947044</v>
      </c>
      <c r="D35" s="236"/>
      <c r="G35" s="16"/>
    </row>
    <row r="36" spans="1:7">
      <c r="A36" s="174" t="s">
        <v>75</v>
      </c>
      <c r="B36" s="34">
        <f>IF((($B$28-$B$32-$B$39-$B$77-$B$38)*C22/100)&lt;0,0,($B$28-$B$32-$B$39-$B$77-$B$38)*C22/100)</f>
        <v>141.62764771460422</v>
      </c>
      <c r="C36" s="170">
        <f>IF(ISERROR(B36/SUM($B$32,$B$34,$B$35,$B$36,$B$38,$B$39)*100),0,B36/SUM($B$32,$B$34,$B$35,$B$36,$B$38,$B$39)*100)</f>
        <v>2.7623882916833278</v>
      </c>
      <c r="D36" s="236"/>
      <c r="G36" s="16"/>
    </row>
    <row r="37" spans="1:7">
      <c r="A37" s="174" t="s">
        <v>76</v>
      </c>
      <c r="B37" s="35" t="s">
        <v>111</v>
      </c>
      <c r="C37" s="170"/>
      <c r="D37" s="176"/>
      <c r="G37" s="16"/>
    </row>
    <row r="38" spans="1:7">
      <c r="A38" s="174" t="s">
        <v>77</v>
      </c>
      <c r="B38" s="34">
        <f>IF((B24-(B29-B18)*0.1)&lt;0,0,B24-(B29-B18)*0.1)</f>
        <v>219.29999999999998</v>
      </c>
      <c r="C38" s="170">
        <f>IF(ISERROR(B38/SUM($B$32,$B$34,$B$35,$B$36,$B$38,$B$39)*100),0,B38/SUM($B$32,$B$34,$B$35,$B$36,$B$38,$B$39)*100)</f>
        <v>4.277355178466939</v>
      </c>
      <c r="D38" s="237"/>
      <c r="G38" s="16"/>
    </row>
    <row r="39" spans="1:7">
      <c r="A39" s="174" t="s">
        <v>78</v>
      </c>
      <c r="B39" s="34">
        <f>IF((B25-(B29-B18))&lt;0,0,B25-(B29-B18)*0.9)</f>
        <v>848.7</v>
      </c>
      <c r="C39" s="170">
        <f>IF(ISERROR(B39/SUM($B$32,$B$34,$B$35,$B$36,$B$38,$B$39)*100),0,B39/SUM($B$32,$B$34,$B$35,$B$36,$B$38,$B$39)*100)</f>
        <v>16.553540081919252</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2471</v>
      </c>
      <c r="C44" s="35" t="s">
        <v>111</v>
      </c>
      <c r="D44" s="177"/>
    </row>
    <row r="45" spans="1:7">
      <c r="A45" s="174" t="s">
        <v>72</v>
      </c>
      <c r="B45" s="34" t="str">
        <f t="shared" si="0"/>
        <v>-</v>
      </c>
      <c r="C45" s="35" t="s">
        <v>111</v>
      </c>
      <c r="D45" s="177"/>
    </row>
    <row r="46" spans="1:7">
      <c r="A46" s="174" t="s">
        <v>73</v>
      </c>
      <c r="B46" s="34">
        <f t="shared" si="0"/>
        <v>125.69453734671126</v>
      </c>
      <c r="C46" s="35" t="s">
        <v>111</v>
      </c>
      <c r="D46" s="177"/>
    </row>
    <row r="47" spans="1:7">
      <c r="A47" s="174" t="s">
        <v>74</v>
      </c>
      <c r="B47" s="34">
        <f t="shared" si="0"/>
        <v>1320.6778149386848</v>
      </c>
      <c r="C47" s="35" t="s">
        <v>111</v>
      </c>
      <c r="D47" s="177"/>
    </row>
    <row r="48" spans="1:7">
      <c r="A48" s="174" t="s">
        <v>75</v>
      </c>
      <c r="B48" s="34">
        <f t="shared" si="0"/>
        <v>141.62764771460422</v>
      </c>
      <c r="C48" s="34">
        <f>B48*10</f>
        <v>1416.2764771460422</v>
      </c>
      <c r="D48" s="237"/>
    </row>
    <row r="49" spans="1:6">
      <c r="A49" s="174" t="s">
        <v>76</v>
      </c>
      <c r="B49" s="34" t="str">
        <f t="shared" si="0"/>
        <v>-</v>
      </c>
      <c r="C49" s="35" t="s">
        <v>111</v>
      </c>
      <c r="D49" s="237"/>
    </row>
    <row r="50" spans="1:6">
      <c r="A50" s="174" t="s">
        <v>77</v>
      </c>
      <c r="B50" s="34">
        <f t="shared" si="0"/>
        <v>219.29999999999998</v>
      </c>
      <c r="C50" s="34">
        <f>B50*2</f>
        <v>438.59999999999997</v>
      </c>
      <c r="D50" s="237"/>
    </row>
    <row r="51" spans="1:6">
      <c r="A51" s="174" t="s">
        <v>78</v>
      </c>
      <c r="B51" s="34">
        <f t="shared" si="0"/>
        <v>848.7</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84</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18</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156</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10665.870446776822</v>
      </c>
      <c r="C5" s="18">
        <f>IF(ISERROR('Eigen informatie GS &amp; warmtenet'!B58),0,'Eigen informatie GS &amp; warmtenet'!B58)</f>
        <v>0</v>
      </c>
      <c r="D5" s="31">
        <f>SUM(D6:D12)</f>
        <v>10700.562910450002</v>
      </c>
      <c r="E5" s="18">
        <f>SUM(E6:E12)</f>
        <v>115.8607042949149</v>
      </c>
      <c r="F5" s="18">
        <f>SUM(F6:F12)</f>
        <v>2119.3937098304359</v>
      </c>
      <c r="G5" s="19"/>
      <c r="H5" s="18"/>
      <c r="I5" s="18"/>
      <c r="J5" s="18">
        <f>SUM(J6:J12)</f>
        <v>0</v>
      </c>
      <c r="K5" s="18"/>
      <c r="L5" s="18"/>
      <c r="M5" s="18"/>
      <c r="N5" s="18">
        <f>SUM(N6:N12)</f>
        <v>612.37116672037303</v>
      </c>
      <c r="O5" s="18">
        <f>B38*B39*B40</f>
        <v>0</v>
      </c>
      <c r="P5" s="18">
        <f>B46*B47*B48/1000-B46*B47*B48/1000/B49</f>
        <v>0</v>
      </c>
      <c r="R5" s="33"/>
    </row>
    <row r="6" spans="1:18">
      <c r="A6" s="33" t="s">
        <v>54</v>
      </c>
      <c r="B6" s="38">
        <f>B26</f>
        <v>2280.71259991947</v>
      </c>
      <c r="C6" s="34"/>
      <c r="D6" s="38">
        <f>IF(ISERROR(TER_kantoor_gas_kWh/1000),0,TER_kantoor_gas_kWh/1000)*0.902</f>
        <v>3808.8486299491447</v>
      </c>
      <c r="E6" s="34">
        <f>$C$26*'E Balans VL '!I12/100/3.6*1000000</f>
        <v>3.7431116218303164</v>
      </c>
      <c r="F6" s="34">
        <f>$C$26*('E Balans VL '!L12+'E Balans VL '!N12)/100/3.6*1000000</f>
        <v>268.84235327713355</v>
      </c>
      <c r="G6" s="35"/>
      <c r="H6" s="34"/>
      <c r="I6" s="34"/>
      <c r="J6" s="34">
        <f>$C$26*('E Balans VL '!D12+'E Balans VL '!E12)/100/3.6*1000000</f>
        <v>0</v>
      </c>
      <c r="K6" s="34"/>
      <c r="L6" s="34"/>
      <c r="M6" s="34"/>
      <c r="N6" s="34">
        <f>$C$26*'E Balans VL '!Y12/100/3.6*1000000</f>
        <v>0.46080718075539551</v>
      </c>
      <c r="O6" s="34"/>
      <c r="P6" s="34"/>
      <c r="R6" s="33"/>
    </row>
    <row r="7" spans="1:18">
      <c r="A7" s="33" t="s">
        <v>53</v>
      </c>
      <c r="B7" s="38">
        <f t="shared" ref="B7:B12" si="0">B27</f>
        <v>1324.3072174714998</v>
      </c>
      <c r="C7" s="34"/>
      <c r="D7" s="38">
        <f>IF(ISERROR(TER_horeca_gas_kWh/1000),0,TER_horeca_gas_kWh/1000)*0.902</f>
        <v>993.69957163087668</v>
      </c>
      <c r="E7" s="34">
        <f>$C$27*'E Balans VL '!I9/100/3.6*1000000</f>
        <v>68.721961694678981</v>
      </c>
      <c r="F7" s="34">
        <f>$C$27*('E Balans VL '!L9+'E Balans VL '!N9)/100/3.6*1000000</f>
        <v>302.20786794907582</v>
      </c>
      <c r="G7" s="35"/>
      <c r="H7" s="34"/>
      <c r="I7" s="34"/>
      <c r="J7" s="34">
        <f>$C$27*('E Balans VL '!D9+'E Balans VL '!E9)/100/3.6*1000000</f>
        <v>0</v>
      </c>
      <c r="K7" s="34"/>
      <c r="L7" s="34"/>
      <c r="M7" s="34"/>
      <c r="N7" s="34">
        <f>$C$27*'E Balans VL '!Y9/100/3.6*1000000</f>
        <v>0.13984623527473097</v>
      </c>
      <c r="O7" s="34"/>
      <c r="P7" s="34"/>
      <c r="R7" s="33"/>
    </row>
    <row r="8" spans="1:18">
      <c r="A8" s="6" t="s">
        <v>52</v>
      </c>
      <c r="B8" s="38">
        <f t="shared" si="0"/>
        <v>4737.6637341137402</v>
      </c>
      <c r="C8" s="34"/>
      <c r="D8" s="38">
        <f>IF(ISERROR(TER_handel_gas_kWh/1000),0,TER_handel_gas_kWh/1000)*0.902</f>
        <v>1220.8016564085599</v>
      </c>
      <c r="E8" s="34">
        <f>$C$28*'E Balans VL '!I13/100/3.6*1000000</f>
        <v>25.512901389697237</v>
      </c>
      <c r="F8" s="34">
        <f>$C$28*('E Balans VL '!L13+'E Balans VL '!N13)/100/3.6*1000000</f>
        <v>966.15042607140811</v>
      </c>
      <c r="G8" s="35"/>
      <c r="H8" s="34"/>
      <c r="I8" s="34"/>
      <c r="J8" s="34">
        <f>$C$28*('E Balans VL '!D13+'E Balans VL '!E13)/100/3.6*1000000</f>
        <v>0</v>
      </c>
      <c r="K8" s="34"/>
      <c r="L8" s="34"/>
      <c r="M8" s="34"/>
      <c r="N8" s="34">
        <f>$C$28*'E Balans VL '!Y13/100/3.6*1000000</f>
        <v>23.557899861210206</v>
      </c>
      <c r="O8" s="34"/>
      <c r="P8" s="34"/>
      <c r="R8" s="33"/>
    </row>
    <row r="9" spans="1:18">
      <c r="A9" s="33" t="s">
        <v>51</v>
      </c>
      <c r="B9" s="38">
        <f t="shared" si="0"/>
        <v>134.25511012772699</v>
      </c>
      <c r="C9" s="34"/>
      <c r="D9" s="38">
        <f>IF(ISERROR(TER_gezond_gas_kWh/1000),0,TER_gezond_gas_kWh/1000)*0.902</f>
        <v>142.09034325113379</v>
      </c>
      <c r="E9" s="34">
        <f>$C$29*'E Balans VL '!I10/100/3.6*1000000</f>
        <v>0.1330483408793712</v>
      </c>
      <c r="F9" s="34">
        <f>$C$29*('E Balans VL '!L10+'E Balans VL '!N10)/100/3.6*1000000</f>
        <v>46.582653459232496</v>
      </c>
      <c r="G9" s="35"/>
      <c r="H9" s="34"/>
      <c r="I9" s="34"/>
      <c r="J9" s="34">
        <f>$C$29*('E Balans VL '!D10+'E Balans VL '!E10)/100/3.6*1000000</f>
        <v>0</v>
      </c>
      <c r="K9" s="34"/>
      <c r="L9" s="34"/>
      <c r="M9" s="34"/>
      <c r="N9" s="34">
        <f>$C$29*'E Balans VL '!Y10/100/3.6*1000000</f>
        <v>1.1568646535061931</v>
      </c>
      <c r="O9" s="34"/>
      <c r="P9" s="34"/>
      <c r="R9" s="33"/>
    </row>
    <row r="10" spans="1:18">
      <c r="A10" s="33" t="s">
        <v>50</v>
      </c>
      <c r="B10" s="38">
        <f t="shared" si="0"/>
        <v>878.51269382678993</v>
      </c>
      <c r="C10" s="34"/>
      <c r="D10" s="38">
        <f>IF(ISERROR(TER_ander_gas_kWh/1000),0,TER_ander_gas_kWh/1000)*0.902</f>
        <v>259.76653164658615</v>
      </c>
      <c r="E10" s="34">
        <f>$C$30*'E Balans VL '!I14/100/3.6*1000000</f>
        <v>7.1871118464105841</v>
      </c>
      <c r="F10" s="34">
        <f>$C$30*('E Balans VL '!L14+'E Balans VL '!N14)/100/3.6*1000000</f>
        <v>256.84134594189624</v>
      </c>
      <c r="G10" s="35"/>
      <c r="H10" s="34"/>
      <c r="I10" s="34"/>
      <c r="J10" s="34">
        <f>$C$30*('E Balans VL '!D14+'E Balans VL '!E14)/100/3.6*1000000</f>
        <v>0</v>
      </c>
      <c r="K10" s="34"/>
      <c r="L10" s="34"/>
      <c r="M10" s="34"/>
      <c r="N10" s="34">
        <f>$C$30*'E Balans VL '!Y14/100/3.6*1000000</f>
        <v>506.78655373290377</v>
      </c>
      <c r="O10" s="34"/>
      <c r="P10" s="34"/>
      <c r="R10" s="33"/>
    </row>
    <row r="11" spans="1:18">
      <c r="A11" s="33" t="s">
        <v>55</v>
      </c>
      <c r="B11" s="38">
        <f t="shared" si="0"/>
        <v>94.703342125344804</v>
      </c>
      <c r="C11" s="34"/>
      <c r="D11" s="38">
        <f>IF(ISERROR(TER_onderwijs_gas_kWh/1000),0,TER_onderwijs_gas_kWh/1000)*0.902</f>
        <v>256.63091449988701</v>
      </c>
      <c r="E11" s="34">
        <f>$C$31*'E Balans VL '!I11/100/3.6*1000000</f>
        <v>5.8371144155335009E-2</v>
      </c>
      <c r="F11" s="34">
        <f>$C$31*('E Balans VL '!L11+'E Balans VL '!N11)/100/3.6*1000000</f>
        <v>36.613845754967031</v>
      </c>
      <c r="G11" s="35"/>
      <c r="H11" s="34"/>
      <c r="I11" s="34"/>
      <c r="J11" s="34">
        <f>$C$31*('E Balans VL '!D11+'E Balans VL '!E11)/100/3.6*1000000</f>
        <v>0</v>
      </c>
      <c r="K11" s="34"/>
      <c r="L11" s="34"/>
      <c r="M11" s="34"/>
      <c r="N11" s="34">
        <f>$C$31*'E Balans VL '!Y11/100/3.6*1000000</f>
        <v>0.30804967744084588</v>
      </c>
      <c r="O11" s="34"/>
      <c r="P11" s="34"/>
      <c r="R11" s="33"/>
    </row>
    <row r="12" spans="1:18">
      <c r="A12" s="33" t="s">
        <v>260</v>
      </c>
      <c r="B12" s="38">
        <f t="shared" si="0"/>
        <v>1215.7157491922499</v>
      </c>
      <c r="C12" s="34"/>
      <c r="D12" s="38">
        <f>IF(ISERROR(TER_rest_gas_kWh/1000),0,TER_rest_gas_kWh/1000)*0.902</f>
        <v>4018.7252630638136</v>
      </c>
      <c r="E12" s="34">
        <f>$C$32*'E Balans VL '!I8/100/3.6*1000000</f>
        <v>10.504198257263074</v>
      </c>
      <c r="F12" s="34">
        <f>$C$32*('E Balans VL '!L8+'E Balans VL '!N8)/100/3.6*1000000</f>
        <v>242.15521737672265</v>
      </c>
      <c r="G12" s="35"/>
      <c r="H12" s="34"/>
      <c r="I12" s="34"/>
      <c r="J12" s="34">
        <f>$C$32*('E Balans VL '!D8+'E Balans VL '!E8)/100/3.6*1000000</f>
        <v>0</v>
      </c>
      <c r="K12" s="34"/>
      <c r="L12" s="34"/>
      <c r="M12" s="34"/>
      <c r="N12" s="34">
        <f>$C$32*'E Balans VL '!Y8/100/3.6*1000000</f>
        <v>79.961145379281888</v>
      </c>
      <c r="O12" s="34"/>
      <c r="P12" s="34"/>
      <c r="R12" s="33"/>
    </row>
    <row r="13" spans="1:18">
      <c r="A13" s="17" t="s">
        <v>502</v>
      </c>
      <c r="B13" s="250">
        <f ca="1">'lokale energieproductie'!N90+'lokale energieproductie'!N59</f>
        <v>0</v>
      </c>
      <c r="C13" s="250">
        <f ca="1">'lokale energieproductie'!O90+'lokale energieproductie'!O59</f>
        <v>0</v>
      </c>
      <c r="D13" s="312">
        <f ca="1">('lokale energieproductie'!P59+'lokale energieproductie'!P90)*(-1)</f>
        <v>0</v>
      </c>
      <c r="E13" s="251"/>
      <c r="F13" s="312">
        <f ca="1">('lokale energieproductie'!S59+'lokale energieproductie'!S90)*(-1)</f>
        <v>0</v>
      </c>
      <c r="G13" s="252"/>
      <c r="H13" s="251"/>
      <c r="I13" s="251"/>
      <c r="J13" s="251"/>
      <c r="K13" s="251"/>
      <c r="L13" s="312">
        <f ca="1">('lokale energieproductie'!U59+'lokale energieproductie'!T59+'lokale energieproductie'!U90+'lokale energieproductie'!T90)*(-1)</f>
        <v>0</v>
      </c>
      <c r="M13" s="251"/>
      <c r="N13" s="312">
        <f ca="1">('lokale energieproductie'!Q59+'lokale energieproductie'!R59+'lokale energieproductie'!V59+'lokale energieproductie'!Q90+'lokale energieproductie'!R90+'lokale energieproductie'!V90)*(-1)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10665.870446776822</v>
      </c>
      <c r="C16" s="22">
        <f t="shared" ca="1" si="1"/>
        <v>0</v>
      </c>
      <c r="D16" s="22">
        <f t="shared" ca="1" si="1"/>
        <v>10700.562910450002</v>
      </c>
      <c r="E16" s="22">
        <f t="shared" si="1"/>
        <v>115.8607042949149</v>
      </c>
      <c r="F16" s="22">
        <f t="shared" ca="1" si="1"/>
        <v>2119.3937098304359</v>
      </c>
      <c r="G16" s="22">
        <f t="shared" si="1"/>
        <v>0</v>
      </c>
      <c r="H16" s="22">
        <f t="shared" si="1"/>
        <v>0</v>
      </c>
      <c r="I16" s="22">
        <f t="shared" si="1"/>
        <v>0</v>
      </c>
      <c r="J16" s="22">
        <f t="shared" si="1"/>
        <v>0</v>
      </c>
      <c r="K16" s="22">
        <f t="shared" si="1"/>
        <v>0</v>
      </c>
      <c r="L16" s="22">
        <f t="shared" ca="1" si="1"/>
        <v>0</v>
      </c>
      <c r="M16" s="22">
        <f t="shared" si="1"/>
        <v>0</v>
      </c>
      <c r="N16" s="22">
        <f t="shared" ca="1" si="1"/>
        <v>612.37116672037303</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0.21237179715617371</v>
      </c>
      <c r="C18" s="26">
        <f ca="1">'EF ele_warmte'!B22</f>
        <v>0.23764705882352943</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2265.1300750169153</v>
      </c>
      <c r="C20" s="24">
        <f t="shared" ref="C20:P20" ca="1" si="2">C16*C18</f>
        <v>0</v>
      </c>
      <c r="D20" s="24">
        <f t="shared" ca="1" si="2"/>
        <v>2161.5137079109004</v>
      </c>
      <c r="E20" s="24">
        <f t="shared" si="2"/>
        <v>26.300379874945683</v>
      </c>
      <c r="F20" s="24">
        <f t="shared" ca="1" si="2"/>
        <v>565.87812052472646</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2280.71259991947</v>
      </c>
      <c r="C26" s="40">
        <f>IF(ISERROR(B26*3.6/1000000/'E Balans VL '!Z12*100),0,B26*3.6/1000000/'E Balans VL '!Z12*100)</f>
        <v>4.8463507178481566E-2</v>
      </c>
      <c r="D26" s="240" t="s">
        <v>707</v>
      </c>
      <c r="F26" s="6"/>
    </row>
    <row r="27" spans="1:18">
      <c r="A27" s="234" t="s">
        <v>53</v>
      </c>
      <c r="B27" s="34">
        <f>IF(ISERROR(TER_horeca_ele_kWh/1000),0,TER_horeca_ele_kWh/1000)</f>
        <v>1324.3072174714998</v>
      </c>
      <c r="C27" s="40">
        <f>IF(ISERROR(B27*3.6/1000000/'E Balans VL '!Z9*100),0,B27*3.6/1000000/'E Balans VL '!Z9*100)</f>
        <v>0.1042332188383088</v>
      </c>
      <c r="D27" s="240" t="s">
        <v>707</v>
      </c>
      <c r="F27" s="6"/>
    </row>
    <row r="28" spans="1:18">
      <c r="A28" s="174" t="s">
        <v>52</v>
      </c>
      <c r="B28" s="34">
        <f>IF(ISERROR(TER_handel_ele_kWh/1000),0,TER_handel_ele_kWh/1000)</f>
        <v>4737.6637341137402</v>
      </c>
      <c r="C28" s="40">
        <f>IF(ISERROR(B28*3.6/1000000/'E Balans VL '!Z13*100),0,B28*3.6/1000000/'E Balans VL '!Z13*100)</f>
        <v>0.13270449669005566</v>
      </c>
      <c r="D28" s="240" t="s">
        <v>707</v>
      </c>
      <c r="F28" s="6"/>
    </row>
    <row r="29" spans="1:18">
      <c r="A29" s="234" t="s">
        <v>51</v>
      </c>
      <c r="B29" s="34">
        <f>IF(ISERROR(TER_gezond_ele_kWh/1000),0,TER_gezond_ele_kWh/1000)</f>
        <v>134.25511012772699</v>
      </c>
      <c r="C29" s="40">
        <f>IF(ISERROR(B29*3.6/1000000/'E Balans VL '!Z10*100),0,B29*3.6/1000000/'E Balans VL '!Z10*100)</f>
        <v>1.7175288296364152E-2</v>
      </c>
      <c r="D29" s="240" t="s">
        <v>707</v>
      </c>
      <c r="F29" s="6"/>
    </row>
    <row r="30" spans="1:18">
      <c r="A30" s="234" t="s">
        <v>50</v>
      </c>
      <c r="B30" s="34">
        <f>IF(ISERROR(TER_ander_ele_kWh/1000),0,TER_ander_ele_kWh/1000)</f>
        <v>878.51269382678993</v>
      </c>
      <c r="C30" s="40">
        <f>IF(ISERROR(B30*3.6/1000000/'E Balans VL '!Z14*100),0,B30*3.6/1000000/'E Balans VL '!Z14*100)</f>
        <v>6.5705347020972568E-2</v>
      </c>
      <c r="D30" s="240" t="s">
        <v>707</v>
      </c>
      <c r="F30" s="6"/>
    </row>
    <row r="31" spans="1:18">
      <c r="A31" s="234" t="s">
        <v>55</v>
      </c>
      <c r="B31" s="34">
        <f>IF(ISERROR(TER_onderwijs_ele_kWh/1000),0,TER_onderwijs_ele_kWh/1000)</f>
        <v>94.703342125344804</v>
      </c>
      <c r="C31" s="40">
        <f>IF(ISERROR(B31*3.6/1000000/'E Balans VL '!Z11*100),0,B31*3.6/1000000/'E Balans VL '!Z11*100)</f>
        <v>1.9996733361950399E-2</v>
      </c>
      <c r="D31" s="240" t="s">
        <v>707</v>
      </c>
    </row>
    <row r="32" spans="1:18">
      <c r="A32" s="234" t="s">
        <v>260</v>
      </c>
      <c r="B32" s="34">
        <f>IF(ISERROR(TER_rest_ele_kWh/1000),0,TER_rest_ele_kWh/1000)</f>
        <v>1215.7157491922499</v>
      </c>
      <c r="C32" s="40">
        <f>IF(ISERROR(B32*3.6/1000000/'E Balans VL '!Z8*100),0,B32*3.6/1000000/'E Balans VL '!Z8*100)</f>
        <v>1.0014983752730841E-2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6">
        <f>aantalWP_NB_ander+antalWP_NB_ander_met_kantoor+aantalWP_NB_kantoor+aantalWP_NB_school+WP_NHH_bestaande_bouw</f>
        <v>0</v>
      </c>
      <c r="C46" s="33"/>
      <c r="D46" s="235"/>
    </row>
    <row r="47" spans="1:4">
      <c r="A47" s="174" t="s">
        <v>461</v>
      </c>
      <c r="B47" s="547">
        <v>13</v>
      </c>
      <c r="C47" s="33" t="s">
        <v>263</v>
      </c>
      <c r="D47" s="311" t="s">
        <v>525</v>
      </c>
    </row>
    <row r="48" spans="1:4">
      <c r="A48" s="174" t="s">
        <v>462</v>
      </c>
      <c r="B48" s="547">
        <v>2000</v>
      </c>
      <c r="C48" s="33" t="s">
        <v>265</v>
      </c>
      <c r="D48" s="311" t="s">
        <v>525</v>
      </c>
    </row>
    <row r="49" spans="1:4">
      <c r="A49" s="174" t="s">
        <v>422</v>
      </c>
      <c r="B49" s="547">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36" sqref="C3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163</v>
      </c>
      <c r="B1" s="1109" t="s">
        <v>195</v>
      </c>
      <c r="C1" s="1110"/>
      <c r="D1" s="1110"/>
      <c r="E1" s="1110"/>
      <c r="F1" s="1110"/>
      <c r="G1" s="1110"/>
      <c r="H1" s="1110"/>
      <c r="I1" s="1110"/>
      <c r="J1" s="1110"/>
      <c r="K1" s="1110"/>
      <c r="L1" s="1110"/>
      <c r="M1" s="1110"/>
      <c r="N1" s="1110"/>
      <c r="O1" s="1110"/>
      <c r="P1" s="1110"/>
      <c r="R1" s="8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c r="R2" s="810"/>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810"/>
    </row>
    <row r="4" spans="1:18" ht="15.75">
      <c r="A4" s="14"/>
      <c r="B4" s="15"/>
      <c r="C4" s="15"/>
      <c r="D4" s="15"/>
      <c r="E4" s="15"/>
      <c r="F4" s="15"/>
      <c r="G4" s="15"/>
      <c r="H4" s="15"/>
      <c r="I4" s="15"/>
      <c r="J4" s="15"/>
      <c r="K4" s="15"/>
      <c r="L4" s="15"/>
      <c r="M4" s="15"/>
      <c r="N4" s="15"/>
      <c r="O4" s="15"/>
      <c r="P4" s="15"/>
      <c r="R4" s="6"/>
    </row>
    <row r="5" spans="1:18">
      <c r="A5" s="17" t="s">
        <v>269</v>
      </c>
      <c r="B5" s="31">
        <f>SUM(B6:B15)</f>
        <v>3429.2314202139332</v>
      </c>
      <c r="C5" s="18">
        <f>IF(ISERROR('Eigen informatie GS &amp; warmtenet'!B59),0,'Eigen informatie GS &amp; warmtenet'!B59)</f>
        <v>0</v>
      </c>
      <c r="D5" s="31">
        <f>SUM(D6:D15)</f>
        <v>20977.64760766476</v>
      </c>
      <c r="E5" s="18">
        <f>SUM(E6:E15)</f>
        <v>26.927989832492933</v>
      </c>
      <c r="F5" s="18">
        <f>SUM(F6:F15)</f>
        <v>1500.5516846043472</v>
      </c>
      <c r="G5" s="19"/>
      <c r="H5" s="18"/>
      <c r="I5" s="18"/>
      <c r="J5" s="18">
        <f>SUM(J6:J15)</f>
        <v>14.85832062641342</v>
      </c>
      <c r="K5" s="18"/>
      <c r="L5" s="18"/>
      <c r="M5" s="18"/>
      <c r="N5" s="18">
        <f>SUM(N6:N15)</f>
        <v>155.14331174512745</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548.95730380313296</v>
      </c>
      <c r="C8" s="34"/>
      <c r="D8" s="38">
        <f>IF( ISERROR(IND_metaal_Gas_kWH/1000),0,IND_metaal_Gas_kWH/1000)*0.902</f>
        <v>0</v>
      </c>
      <c r="E8" s="34">
        <f>C30*'E Balans VL '!I18/100/3.6*1000000</f>
        <v>4.9992552368469303</v>
      </c>
      <c r="F8" s="34">
        <f>C30*'E Balans VL '!L18/100/3.6*1000000+C30*'E Balans VL '!N18/100/3.6*1000000</f>
        <v>72.403299518265854</v>
      </c>
      <c r="G8" s="35"/>
      <c r="H8" s="34"/>
      <c r="I8" s="34"/>
      <c r="J8" s="41">
        <f>C30*'E Balans VL '!D18/100/3.6*1000000+C30*'E Balans VL '!E18/100/3.6*1000000</f>
        <v>9.0021027250674326</v>
      </c>
      <c r="K8" s="34"/>
      <c r="L8" s="34"/>
      <c r="M8" s="34"/>
      <c r="N8" s="34">
        <f>C30*'E Balans VL '!Y18/100/3.6*1000000</f>
        <v>1.8865481804418309</v>
      </c>
      <c r="O8" s="34"/>
      <c r="P8" s="34"/>
      <c r="R8" s="33"/>
    </row>
    <row r="9" spans="1:18">
      <c r="A9" s="6" t="s">
        <v>33</v>
      </c>
      <c r="B9" s="38">
        <f t="shared" si="0"/>
        <v>1474.3257539246399</v>
      </c>
      <c r="C9" s="34"/>
      <c r="D9" s="38">
        <f>IF( ISERROR(IND_andere_gas_kWh/1000),0,IND_andere_gas_kWh/1000)*0.902</f>
        <v>394.04897358267397</v>
      </c>
      <c r="E9" s="34">
        <f>C31*'E Balans VL '!I19/100/3.6*1000000</f>
        <v>8.5218231774450395</v>
      </c>
      <c r="F9" s="34">
        <f>C31*'E Balans VL '!L19/100/3.6*1000000+C31*'E Balans VL '!N19/100/3.6*1000000</f>
        <v>1172.8970789950615</v>
      </c>
      <c r="G9" s="35"/>
      <c r="H9" s="34"/>
      <c r="I9" s="34"/>
      <c r="J9" s="41">
        <f>C31*'E Balans VL '!D19/100/3.6*1000000+C31*'E Balans VL '!E19/100/3.6*1000000</f>
        <v>0.13945483997463665</v>
      </c>
      <c r="K9" s="34"/>
      <c r="L9" s="34"/>
      <c r="M9" s="34"/>
      <c r="N9" s="34">
        <f>C31*'E Balans VL '!Y19/100/3.6*1000000</f>
        <v>111.70248728441291</v>
      </c>
      <c r="O9" s="34"/>
      <c r="P9" s="34"/>
      <c r="R9" s="33"/>
    </row>
    <row r="10" spans="1:18">
      <c r="A10" s="6" t="s">
        <v>41</v>
      </c>
      <c r="B10" s="38">
        <f t="shared" si="0"/>
        <v>265.79633257694798</v>
      </c>
      <c r="C10" s="34"/>
      <c r="D10" s="38">
        <f>IF( ISERROR(IND_voed_gas_kWh/1000),0,IND_voed_gas_kWh/1000)*0.902</f>
        <v>317.48239095230991</v>
      </c>
      <c r="E10" s="34">
        <f>C32*'E Balans VL '!I20/100/3.6*1000000</f>
        <v>2.6134733126563146</v>
      </c>
      <c r="F10" s="34">
        <f>C32*'E Balans VL '!L20/100/3.6*1000000+C32*'E Balans VL '!N20/100/3.6*1000000</f>
        <v>29.520152077679782</v>
      </c>
      <c r="G10" s="35"/>
      <c r="H10" s="34"/>
      <c r="I10" s="34"/>
      <c r="J10" s="41">
        <f>C32*'E Balans VL '!D20/100/3.6*1000000+C32*'E Balans VL '!E20/100/3.6*1000000</f>
        <v>1.0476240109600944E-3</v>
      </c>
      <c r="K10" s="34"/>
      <c r="L10" s="34"/>
      <c r="M10" s="34"/>
      <c r="N10" s="34">
        <f>C32*'E Balans VL '!Y20/100/3.6*1000000</f>
        <v>3.9358184665874778</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18.965857450913603</v>
      </c>
      <c r="C12" s="34"/>
      <c r="D12" s="38">
        <f>IF( ISERROR(IND_min_gas_kWh/1000),0,IND_min_gas_kWh/1000)*0.902</f>
        <v>0</v>
      </c>
      <c r="E12" s="34">
        <f>C34*'E Balans VL '!I22/100/3.6*1000000</f>
        <v>0.48081823603064128</v>
      </c>
      <c r="F12" s="34">
        <f>C34*'E Balans VL '!L22/100/3.6*1000000+C34*'E Balans VL '!N22/100/3.6*1000000</f>
        <v>5.2479188638761141</v>
      </c>
      <c r="G12" s="35"/>
      <c r="H12" s="34"/>
      <c r="I12" s="34"/>
      <c r="J12" s="41">
        <f>C34*'E Balans VL '!D22/100/3.6*1000000+C34*'E Balans VL '!E22/100/3.6*1000000</f>
        <v>0.12525433381248532</v>
      </c>
      <c r="K12" s="34"/>
      <c r="L12" s="34"/>
      <c r="M12" s="34"/>
      <c r="N12" s="34">
        <f>C34*'E Balans VL '!Y22/100/3.6*1000000</f>
        <v>0</v>
      </c>
      <c r="O12" s="34"/>
      <c r="P12" s="34"/>
      <c r="R12" s="33"/>
    </row>
    <row r="13" spans="1:18">
      <c r="A13" s="6" t="s">
        <v>39</v>
      </c>
      <c r="B13" s="38">
        <f t="shared" si="0"/>
        <v>9.4907369112095008</v>
      </c>
      <c r="C13" s="34"/>
      <c r="D13" s="38">
        <f>IF( ISERROR(IND_papier_gas_kWh/1000),0,IND_papier_gas_kWh/1000)*0.902</f>
        <v>0</v>
      </c>
      <c r="E13" s="34">
        <f>C35*'E Balans VL '!I23/100/3.6*1000000</f>
        <v>0.32326825987465457</v>
      </c>
      <c r="F13" s="34">
        <f>C35*'E Balans VL '!L23/100/3.6*1000000+C35*'E Balans VL '!N23/100/3.6*1000000</f>
        <v>1.5676469949311691</v>
      </c>
      <c r="G13" s="35"/>
      <c r="H13" s="34"/>
      <c r="I13" s="34"/>
      <c r="J13" s="41">
        <f>C35*'E Balans VL '!D23/100/3.6*1000000+C35*'E Balans VL '!E23/100/3.6*1000000</f>
        <v>0</v>
      </c>
      <c r="K13" s="34"/>
      <c r="L13" s="34"/>
      <c r="M13" s="34"/>
      <c r="N13" s="34">
        <f>C35*'E Balans VL '!Y23/100/3.6*1000000</f>
        <v>3.492336661491684</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1111.6954355470898</v>
      </c>
      <c r="C15" s="34"/>
      <c r="D15" s="38">
        <f>IF( ISERROR(IND_rest_gas_kWh/1000),0,IND_rest_gas_kWh/1000)*0.902</f>
        <v>20266.116243129774</v>
      </c>
      <c r="E15" s="34">
        <f>C37*'E Balans VL '!I15/100/3.6*1000000</f>
        <v>9.9893516096393515</v>
      </c>
      <c r="F15" s="34">
        <f>C37*'E Balans VL '!L15/100/3.6*1000000+C37*'E Balans VL '!N15/100/3.6*1000000</f>
        <v>218.9155881545328</v>
      </c>
      <c r="G15" s="35"/>
      <c r="H15" s="34"/>
      <c r="I15" s="34"/>
      <c r="J15" s="41">
        <f>C37*'E Balans VL '!D15/100/3.6*1000000+C37*'E Balans VL '!E15/100/3.6*1000000</f>
        <v>5.5904611035479066</v>
      </c>
      <c r="K15" s="34"/>
      <c r="L15" s="34"/>
      <c r="M15" s="34"/>
      <c r="N15" s="34">
        <f>C37*'E Balans VL '!Y15/100/3.6*1000000</f>
        <v>34.126121152193548</v>
      </c>
      <c r="O15" s="34"/>
      <c r="P15" s="34"/>
      <c r="R15" s="33"/>
    </row>
    <row r="16" spans="1:18">
      <c r="A16" s="17" t="s">
        <v>502</v>
      </c>
      <c r="B16" s="250">
        <f>'lokale energieproductie'!N89+'lokale energieproductie'!N58</f>
        <v>0</v>
      </c>
      <c r="C16" s="250">
        <f>'lokale energieproductie'!O89+'lokale energieproductie'!O58</f>
        <v>0</v>
      </c>
      <c r="D16" s="312">
        <f>('lokale energieproductie'!P58+'lokale energieproductie'!P89)*(-1)</f>
        <v>0</v>
      </c>
      <c r="E16" s="251"/>
      <c r="F16" s="312">
        <f>('lokale energieproductie'!S58+'lokale energieproductie'!S89)*(-1)</f>
        <v>0</v>
      </c>
      <c r="G16" s="252"/>
      <c r="H16" s="251"/>
      <c r="I16" s="251"/>
      <c r="J16" s="251"/>
      <c r="K16" s="251"/>
      <c r="L16" s="312">
        <f>('lokale energieproductie'!T58+'lokale energieproductie'!U58+'lokale energieproductie'!T89+'lokale energieproductie'!U89)*(-1)</f>
        <v>0</v>
      </c>
      <c r="M16" s="251"/>
      <c r="N16" s="312">
        <f>('lokale energieproductie'!Q58+'lokale energieproductie'!R58+'lokale energieproductie'!V58+'lokale energieproductie'!Q89+'lokale energieproductie'!R89+'lokale energieproductie'!V89)*(-1)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3429.2314202139332</v>
      </c>
      <c r="C18" s="22">
        <f>C5+C16</f>
        <v>0</v>
      </c>
      <c r="D18" s="22">
        <f>MAX((D5+D16),0)</f>
        <v>20977.64760766476</v>
      </c>
      <c r="E18" s="22">
        <f>MAX((E5+E16),0)</f>
        <v>26.927989832492933</v>
      </c>
      <c r="F18" s="22">
        <f>MAX((F5+F16),0)</f>
        <v>1500.5516846043472</v>
      </c>
      <c r="G18" s="22"/>
      <c r="H18" s="22"/>
      <c r="I18" s="22"/>
      <c r="J18" s="22">
        <f>MAX((J5+J16),0)</f>
        <v>14.85832062641342</v>
      </c>
      <c r="K18" s="22"/>
      <c r="L18" s="22">
        <f>MAX((L5+L16),0)</f>
        <v>0</v>
      </c>
      <c r="M18" s="22"/>
      <c r="N18" s="22">
        <f>MAX((N5+N16),0)</f>
        <v>155.14331174512745</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0.21237179715617371</v>
      </c>
      <c r="C20" s="26">
        <f ca="1">'EF ele_warmte'!B22</f>
        <v>0.23764705882352943</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728.27203957525091</v>
      </c>
      <c r="C22" s="24">
        <f ca="1">C18*C20</f>
        <v>0</v>
      </c>
      <c r="D22" s="24">
        <f>D18*D20</f>
        <v>4237.4848167482814</v>
      </c>
      <c r="E22" s="24">
        <f>E18*E20</f>
        <v>6.112653691975896</v>
      </c>
      <c r="F22" s="24">
        <f>F18*F20</f>
        <v>400.64729978936072</v>
      </c>
      <c r="G22" s="24"/>
      <c r="H22" s="24"/>
      <c r="I22" s="24"/>
      <c r="J22" s="24">
        <f>J18*J20</f>
        <v>5.25984550175035</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548.95730380313296</v>
      </c>
      <c r="C30" s="40">
        <f>IF(ISERROR(B30*3.6/1000000/'E Balans VL '!Z18*100),0,B30*3.6/1000000/'E Balans VL '!Z18*100)</f>
        <v>3.0545803110648723E-2</v>
      </c>
      <c r="D30" s="240" t="s">
        <v>707</v>
      </c>
    </row>
    <row r="31" spans="1:18">
      <c r="A31" s="6" t="s">
        <v>33</v>
      </c>
      <c r="B31" s="38">
        <f>IF( ISERROR(IND_ander_ele_kWh/1000),0,IND_ander_ele_kWh/1000)</f>
        <v>1474.3257539246399</v>
      </c>
      <c r="C31" s="40">
        <f>IF(ISERROR(B31*3.6/1000000/'E Balans VL '!Z19*100),0,B31*3.6/1000000/'E Balans VL '!Z19*100)</f>
        <v>6.8537532274224169E-2</v>
      </c>
      <c r="D31" s="240" t="s">
        <v>707</v>
      </c>
    </row>
    <row r="32" spans="1:18">
      <c r="A32" s="174" t="s">
        <v>41</v>
      </c>
      <c r="B32" s="38">
        <f>IF( ISERROR(IND_voed_ele_kWh/1000),0,IND_voed_ele_kWh/1000)</f>
        <v>265.79633257694798</v>
      </c>
      <c r="C32" s="40">
        <f>IF(ISERROR(B32*3.6/1000000/'E Balans VL '!Z20*100),0,B32*3.6/1000000/'E Balans VL '!Z20*100)</f>
        <v>9.3953635581678231E-3</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18.965857450913603</v>
      </c>
      <c r="C34" s="40">
        <f>IF(ISERROR(B34*3.6/1000000/'E Balans VL '!Z22*100),0,B34*3.6/1000000/'E Balans VL '!Z22*100)</f>
        <v>3.8116025285219006E-3</v>
      </c>
      <c r="D34" s="240" t="s">
        <v>707</v>
      </c>
    </row>
    <row r="35" spans="1:5">
      <c r="A35" s="174" t="s">
        <v>39</v>
      </c>
      <c r="B35" s="38">
        <f>IF( ISERROR(IND_papier_ele_kWh/1000),0,IND_papier_ele_kWh/1000)</f>
        <v>9.4907369112095008</v>
      </c>
      <c r="C35" s="40">
        <f>IF(ISERROR(B35*3.6/1000000/'E Balans VL '!Z22*100),0,B35*3.6/1000000/'E Balans VL '!Z22*100)</f>
        <v>1.9073704894138439E-3</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1111.6954355470898</v>
      </c>
      <c r="C37" s="40">
        <f>IF(ISERROR(B37*3.6/1000000/'E Balans VL '!Z15*100),0,B37*3.6/1000000/'E Balans VL '!Z15*100)</f>
        <v>8.3949427608674514E-3</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271</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2414.5125132919056</v>
      </c>
      <c r="C5" s="18">
        <f>'Eigen informatie GS &amp; warmtenet'!B60</f>
        <v>0</v>
      </c>
      <c r="D5" s="31">
        <f>IF(ISERROR(SUM(LB_lb_gas_kWh,LB_rest_gas_kWh,onbekend_gas_kWh)/1000),0,SUM(LB_lb_gas_kWh,LB_rest_gas_kWh,onbekend_gas_kWh)/1000)*0.902</f>
        <v>12867.699827328624</v>
      </c>
      <c r="E5" s="18">
        <f>B17*'E Balans VL '!I25/3.6*1000000/100</f>
        <v>22.746325651661728</v>
      </c>
      <c r="F5" s="18">
        <f>B17*('E Balans VL '!L25/3.6*1000000+'E Balans VL '!N25/3.6*1000000)/100</f>
        <v>7879.3556372013118</v>
      </c>
      <c r="G5" s="19"/>
      <c r="H5" s="18"/>
      <c r="I5" s="18"/>
      <c r="J5" s="18">
        <f>('E Balans VL '!D25+'E Balans VL '!E25)/3.6*1000000*landbouw!B17/100</f>
        <v>298.6869420808174</v>
      </c>
      <c r="K5" s="18"/>
      <c r="L5" s="18">
        <f>L6*(-1)</f>
        <v>0</v>
      </c>
      <c r="M5" s="18"/>
      <c r="N5" s="18">
        <f>N6*(-1)</f>
        <v>0</v>
      </c>
      <c r="O5" s="18"/>
      <c r="P5" s="18"/>
      <c r="R5" s="33"/>
    </row>
    <row r="6" spans="1:18">
      <c r="A6" s="17" t="s">
        <v>502</v>
      </c>
      <c r="B6" s="18" t="s">
        <v>211</v>
      </c>
      <c r="C6" s="18">
        <f>'lokale energieproductie'!O91+'lokale energieproductie'!O60</f>
        <v>5637.8571428571431</v>
      </c>
      <c r="D6" s="312">
        <f>('lokale energieproductie'!P60+'lokale energieproductie'!P91)*(-1)</f>
        <v>-11275.714285714286</v>
      </c>
      <c r="E6" s="251"/>
      <c r="F6" s="312">
        <f>('lokale energieproductie'!S60+'lokale energieproductie'!S91)*(-1)</f>
        <v>0</v>
      </c>
      <c r="G6" s="252"/>
      <c r="H6" s="251"/>
      <c r="I6" s="251"/>
      <c r="J6" s="251"/>
      <c r="K6" s="251"/>
      <c r="L6" s="312">
        <f>('lokale energieproductie'!T60+'lokale energieproductie'!U60+'lokale energieproductie'!T91+'lokale energieproductie'!U91)*(-1)</f>
        <v>0</v>
      </c>
      <c r="M6" s="251"/>
      <c r="N6" s="312">
        <f>('lokale energieproductie'!V60+'lokale energieproductie'!R60+'lokale energieproductie'!Q60+'lokale energieproductie'!Q91+'lokale energieproductie'!R91+'lokale energieproductie'!V91)*(-1)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2414.5125132919056</v>
      </c>
      <c r="C8" s="22">
        <f>C5+C6</f>
        <v>5637.8571428571431</v>
      </c>
      <c r="D8" s="22">
        <f>MAX((D5+D6),0)</f>
        <v>1591.9855416143382</v>
      </c>
      <c r="E8" s="22">
        <f>MAX((E5+E6),0)</f>
        <v>22.746325651661728</v>
      </c>
      <c r="F8" s="22">
        <f>MAX((F5+F6),0)</f>
        <v>7879.3556372013118</v>
      </c>
      <c r="G8" s="22"/>
      <c r="H8" s="22"/>
      <c r="I8" s="22"/>
      <c r="J8" s="22">
        <f>MAX((J5+J6),0)</f>
        <v>298.6869420808174</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0.21237179715617371</v>
      </c>
      <c r="C10" s="32">
        <f ca="1">'EF ele_warmte'!B22</f>
        <v>0.23764705882352943</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512.77436170387182</v>
      </c>
      <c r="C12" s="24">
        <f ca="1">C8*C10</f>
        <v>1339.8201680672271</v>
      </c>
      <c r="D12" s="24">
        <f>D8*D10</f>
        <v>321.58107940609636</v>
      </c>
      <c r="E12" s="24">
        <f>E8*E10</f>
        <v>5.1634159229272125</v>
      </c>
      <c r="F12" s="24">
        <f>F8*F10</f>
        <v>2103.7879551327505</v>
      </c>
      <c r="G12" s="24"/>
      <c r="H12" s="24"/>
      <c r="I12" s="24"/>
      <c r="J12" s="24">
        <f>J8*J10</f>
        <v>105.73517749660935</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0.32688641162313281</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116" t="s">
        <v>303</v>
      </c>
      <c r="B22" s="1119" t="s">
        <v>304</v>
      </c>
      <c r="C22" s="1119" t="s">
        <v>507</v>
      </c>
    </row>
    <row r="23" spans="1:4">
      <c r="A23" s="1117"/>
      <c r="B23" s="1120"/>
      <c r="C23" s="1120"/>
    </row>
    <row r="24" spans="1:4" ht="15.75" thickBot="1">
      <c r="A24" s="1118"/>
      <c r="B24" s="1121"/>
      <c r="C24" s="1121"/>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172.6072130122931</v>
      </c>
      <c r="C26" s="250">
        <f>B26*'GWP N2O_CH4'!B5</f>
        <v>3624.7514732581553</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40.054629495432593</v>
      </c>
      <c r="C27" s="250">
        <f>B27*'GWP N2O_CH4'!B5</f>
        <v>841.14721940408447</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2.1908406307453339</v>
      </c>
      <c r="C28" s="250">
        <f>B28*'GWP N2O_CH4'!B4</f>
        <v>679.16059553105345</v>
      </c>
      <c r="D28" s="51"/>
    </row>
    <row r="29" spans="1:4">
      <c r="A29" s="42" t="s">
        <v>277</v>
      </c>
      <c r="B29" s="250">
        <f>B34*'ha_N2O bodem landbouw'!B4</f>
        <v>10.076571588514634</v>
      </c>
      <c r="C29" s="250">
        <f>B29*'GWP N2O_CH4'!B4</f>
        <v>3123.7371924395366</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2.7203571157365289E-3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85" zoomScaleNormal="85" workbookViewId="0">
      <selection activeCell="C24" sqref="C2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08" t="s">
        <v>511</v>
      </c>
      <c r="B1" s="1109" t="s">
        <v>564</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1.0713582715675985E-5</v>
      </c>
      <c r="C5" s="447" t="s">
        <v>211</v>
      </c>
      <c r="D5" s="432">
        <f>SUM(D6:D11)</f>
        <v>3.1392041348502191E-5</v>
      </c>
      <c r="E5" s="432">
        <f>SUM(E6:E11)</f>
        <v>2.02149782862393E-3</v>
      </c>
      <c r="F5" s="445" t="s">
        <v>211</v>
      </c>
      <c r="G5" s="432">
        <f>SUM(G6:G11)</f>
        <v>0.50905017295181765</v>
      </c>
      <c r="H5" s="432">
        <f>SUM(H6:H11)</f>
        <v>7.1386475107161562E-2</v>
      </c>
      <c r="I5" s="447" t="s">
        <v>211</v>
      </c>
      <c r="J5" s="447" t="s">
        <v>211</v>
      </c>
      <c r="K5" s="447" t="s">
        <v>211</v>
      </c>
      <c r="L5" s="447" t="s">
        <v>211</v>
      </c>
      <c r="M5" s="432">
        <f>SUM(M6:M11)</f>
        <v>2.5933714767710121E-2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2.6013541170975855E-6</v>
      </c>
      <c r="C6" s="433"/>
      <c r="D6" s="433">
        <f>vkm_2011_GW_PW*SUMIFS(TableVerdeelsleutelVkm[CNG],TableVerdeelsleutelVkm[Voertuigtype],"Lichte voertuigen")*SUMIFS(TableECFTransport[EnergieConsumptieFactor (PJ per km)],TableECFTransport[Index],CONCATENATE($A6,"_CNG_CNG"))</f>
        <v>6.3525503191066116E-6</v>
      </c>
      <c r="E6" s="435">
        <f>vkm_2011_GW_PW*SUMIFS(TableVerdeelsleutelVkm[LPG],TableVerdeelsleutelVkm[Voertuigtype],"Lichte voertuigen")*SUMIFS(TableECFTransport[EnergieConsumptieFactor (PJ per km)],TableECFTransport[Index],CONCATENATE($A6,"_LPG_LPG"))</f>
        <v>3.7654635381945476E-4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5.4434204938744159E-2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1.4265641248705935E-2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3.0765056308006593E-3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3.9387228438961412E-2</v>
      </c>
      <c r="H7" s="958">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1.5891211096155873E-5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1.7546888406325804E-3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2.4471953250956626E-6</v>
      </c>
      <c r="C8" s="433"/>
      <c r="D8" s="435">
        <f>vkm_2011_NGW_PW*SUMIFS(TableVerdeelsleutelVkm[CNG],TableVerdeelsleutelVkm[Voertuigtype],"Lichte voertuigen")*SUMIFS(TableECFTransport[EnergieConsumptieFactor (PJ per km)],TableECFTransport[Index],CONCATENATE($A8,"_CNG_CNG"))</f>
        <v>1.0722124333946738E-5</v>
      </c>
      <c r="E8" s="435">
        <f>vkm_2011_NGW_PW*SUMIFS(TableVerdeelsleutelVkm[LPG],TableVerdeelsleutelVkm[Voertuigtype],"Lichte voertuigen")*SUMIFS(TableECFTransport[EnergieConsumptieFactor (PJ per km)],TableECFTransport[Index],CONCATENATE($A8,"_LPG_LPG"))</f>
        <v>5.8305533675814326E-4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7.9625140666889721E-2</v>
      </c>
      <c r="H8" s="958">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2.3057216268028046E-2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4.6003989881865217E-3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3.1029353368689252E-2</v>
      </c>
      <c r="H9" s="958">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1.0900355164747554E-5</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1.3822740522964881E-3</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5.6650332734827366E-6</v>
      </c>
      <c r="C10" s="433"/>
      <c r="D10" s="435">
        <f>vkm_2011_SW_PW*SUMIFS(TableVerdeelsleutelVkm[CNG],TableVerdeelsleutelVkm[Voertuigtype],"Lichte voertuigen")*SUMIFS(TableECFTransport[EnergieConsumptieFactor (PJ per km)],TableECFTransport[Index],CONCATENATE($A10,"_CNG_CNG"))</f>
        <v>1.4317366695448844E-5</v>
      </c>
      <c r="E10" s="435">
        <f>vkm_2011_SW_PW*SUMIFS(TableVerdeelsleutelVkm[LPG],TableVerdeelsleutelVkm[Voertuigtype],"Lichte voertuigen")*SUMIFS(TableECFTransport[EnergieConsumptieFactor (PJ per km)],TableECFTransport[Index],CONCATENATE($A10,"_LPG_LPG"))</f>
        <v>1.0618961380463321E-3</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0.13989887696704018</v>
      </c>
      <c r="H10" s="958">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3.3966336502985015E-2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7.7834253229476192E-3</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0.1646753685714929</v>
      </c>
      <c r="H11" s="959">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7.0489521181663862E-5</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7.3364219328462543E-3</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2.9759951987988846</v>
      </c>
      <c r="C14" s="22"/>
      <c r="D14" s="22">
        <f t="shared" ref="D14:M14" si="0">((D5)*10^9/3600)+D12</f>
        <v>8.7200114856950535</v>
      </c>
      <c r="E14" s="22">
        <f t="shared" si="0"/>
        <v>561.52717461775831</v>
      </c>
      <c r="F14" s="22"/>
      <c r="G14" s="22">
        <f t="shared" si="0"/>
        <v>141402.82581994933</v>
      </c>
      <c r="H14" s="22">
        <f t="shared" si="0"/>
        <v>19829.57641865599</v>
      </c>
      <c r="I14" s="22"/>
      <c r="J14" s="22"/>
      <c r="K14" s="22"/>
      <c r="L14" s="22"/>
      <c r="M14" s="22">
        <f t="shared" si="0"/>
        <v>7203.8096576972557</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0.21237179715617371</v>
      </c>
      <c r="C16" s="57">
        <f ca="1">'EF ele_warmte'!B22</f>
        <v>0.23764705882352943</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0.63201744869706356</v>
      </c>
      <c r="C18" s="24"/>
      <c r="D18" s="24">
        <f t="shared" ref="D18:M18" si="1">D14*D16</f>
        <v>1.7614423201104008</v>
      </c>
      <c r="E18" s="24">
        <f t="shared" si="1"/>
        <v>127.46666863823114</v>
      </c>
      <c r="F18" s="24"/>
      <c r="G18" s="24">
        <f t="shared" si="1"/>
        <v>37754.554493926473</v>
      </c>
      <c r="H18" s="24">
        <f t="shared" si="1"/>
        <v>4937.5645282453415</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822"/>
    </row>
    <row r="21" spans="1:18">
      <c r="A21" s="970" t="s">
        <v>513</v>
      </c>
      <c r="B21" s="971"/>
      <c r="C21" s="972"/>
      <c r="D21" s="972"/>
      <c r="E21" s="972"/>
      <c r="F21" s="972"/>
      <c r="G21" s="972"/>
      <c r="H21" s="972"/>
      <c r="I21" s="972"/>
      <c r="J21" s="972"/>
      <c r="K21" s="972"/>
      <c r="L21" s="972"/>
      <c r="M21" s="972"/>
      <c r="N21" s="973"/>
    </row>
    <row r="22" spans="1:18">
      <c r="A22" s="263"/>
      <c r="B22" s="264"/>
      <c r="C22" s="44"/>
      <c r="D22" s="44"/>
      <c r="E22" s="44"/>
      <c r="F22" s="44"/>
      <c r="G22" s="44"/>
      <c r="H22" s="44"/>
      <c r="I22" s="44"/>
      <c r="J22" s="44"/>
      <c r="K22" s="44"/>
      <c r="L22" s="44"/>
      <c r="M22" s="44"/>
      <c r="N22" s="177"/>
    </row>
    <row r="23" spans="1:18">
      <c r="A23" s="270" t="s">
        <v>308</v>
      </c>
      <c r="B23" s="974" t="s">
        <v>309</v>
      </c>
      <c r="C23" s="974" t="s">
        <v>777</v>
      </c>
      <c r="D23" s="974" t="s">
        <v>778</v>
      </c>
      <c r="E23" s="974" t="s">
        <v>779</v>
      </c>
      <c r="F23" s="974" t="s">
        <v>733</v>
      </c>
      <c r="G23" s="974" t="s">
        <v>780</v>
      </c>
      <c r="H23" s="974" t="s">
        <v>781</v>
      </c>
      <c r="I23" s="974" t="s">
        <v>119</v>
      </c>
      <c r="J23" s="974" t="s">
        <v>782</v>
      </c>
      <c r="K23" s="974" t="s">
        <v>783</v>
      </c>
      <c r="L23" s="975" t="s">
        <v>784</v>
      </c>
      <c r="M23" s="130" t="s">
        <v>182</v>
      </c>
      <c r="N23" s="271" t="s">
        <v>316</v>
      </c>
    </row>
    <row r="24" spans="1:18">
      <c r="A24" s="33" t="s">
        <v>771</v>
      </c>
      <c r="B24" s="980">
        <v>7.5383182964092058E-5</v>
      </c>
      <c r="C24" s="980">
        <v>0.79113856503471547</v>
      </c>
      <c r="D24" s="977"/>
      <c r="E24" s="976"/>
      <c r="F24" s="980">
        <v>2.0468851282562625E-5</v>
      </c>
      <c r="G24" s="976">
        <v>8.9110709653589411E-5</v>
      </c>
      <c r="H24" s="977"/>
      <c r="I24" s="981">
        <v>5.0808721234526554E-3</v>
      </c>
      <c r="J24" s="981">
        <v>0.20172107429844888</v>
      </c>
      <c r="K24" s="981">
        <v>1.9636365091363597E-3</v>
      </c>
      <c r="L24" s="955"/>
      <c r="M24" s="272" t="s">
        <v>787</v>
      </c>
      <c r="N24" s="957">
        <f>SUM(B24:K24)</f>
        <v>1.0000891107096537</v>
      </c>
    </row>
    <row r="25" spans="1:18">
      <c r="A25" s="33" t="s">
        <v>772</v>
      </c>
      <c r="B25" s="977" t="s">
        <v>789</v>
      </c>
      <c r="C25" s="976">
        <v>0.99938226685951392</v>
      </c>
      <c r="D25" s="977"/>
      <c r="E25" s="977"/>
      <c r="F25" s="976" t="s">
        <v>789</v>
      </c>
      <c r="G25" s="977" t="s">
        <v>789</v>
      </c>
      <c r="H25" s="977"/>
      <c r="I25" s="977" t="s">
        <v>789</v>
      </c>
      <c r="J25" s="977">
        <v>6.1773314048609224E-4</v>
      </c>
      <c r="K25" s="977" t="s">
        <v>789</v>
      </c>
      <c r="L25" s="955"/>
      <c r="M25" s="272" t="s">
        <v>787</v>
      </c>
      <c r="N25" s="957">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953">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78"/>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953">
        <v>2012</v>
      </c>
      <c r="D37" s="276" t="s">
        <v>319</v>
      </c>
      <c r="E37" s="979"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122" t="s">
        <v>512</v>
      </c>
      <c r="B46" s="1123" t="s">
        <v>563</v>
      </c>
      <c r="C46" s="1124"/>
      <c r="D46" s="1124"/>
      <c r="E46" s="1124"/>
      <c r="F46" s="1124"/>
      <c r="G46" s="1124"/>
      <c r="H46" s="1124"/>
      <c r="I46" s="1124"/>
      <c r="J46" s="1124"/>
      <c r="K46" s="1124"/>
      <c r="L46" s="1124"/>
      <c r="M46" s="1124"/>
      <c r="N46" s="1124"/>
      <c r="O46" s="1124"/>
      <c r="P46" s="1124"/>
    </row>
    <row r="47" spans="1:16" s="16" customFormat="1" ht="15.75" thickTop="1">
      <c r="A47" s="1122"/>
      <c r="B47" s="1125" t="s">
        <v>21</v>
      </c>
      <c r="C47" s="1125" t="s">
        <v>196</v>
      </c>
      <c r="D47" s="1127" t="s">
        <v>197</v>
      </c>
      <c r="E47" s="1128"/>
      <c r="F47" s="1128"/>
      <c r="G47" s="1128"/>
      <c r="H47" s="1128"/>
      <c r="I47" s="1128"/>
      <c r="J47" s="1128"/>
      <c r="K47" s="1129"/>
      <c r="L47" s="1127" t="s">
        <v>198</v>
      </c>
      <c r="M47" s="1128"/>
      <c r="N47" s="1128"/>
      <c r="O47" s="1128"/>
      <c r="P47" s="1129"/>
    </row>
    <row r="48" spans="1:16" s="16" customFormat="1" ht="45">
      <c r="A48" s="1122"/>
      <c r="B48" s="1126"/>
      <c r="C48" s="1126"/>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2.3422893611214851E-3</v>
      </c>
      <c r="H50" s="323">
        <f t="shared" si="2"/>
        <v>0</v>
      </c>
      <c r="I50" s="323">
        <f t="shared" si="2"/>
        <v>0</v>
      </c>
      <c r="J50" s="323">
        <f t="shared" si="2"/>
        <v>0</v>
      </c>
      <c r="K50" s="323">
        <f t="shared" si="2"/>
        <v>0</v>
      </c>
      <c r="L50" s="323">
        <f t="shared" si="2"/>
        <v>0</v>
      </c>
      <c r="M50" s="323">
        <f t="shared" si="2"/>
        <v>1.0285378969483349E-4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2.3422893611214851E-3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1.0285378969483349E-4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650.63593364485689</v>
      </c>
      <c r="H54" s="22">
        <f t="shared" si="3"/>
        <v>0</v>
      </c>
      <c r="I54" s="22">
        <f t="shared" si="3"/>
        <v>0</v>
      </c>
      <c r="J54" s="22">
        <f t="shared" si="3"/>
        <v>0</v>
      </c>
      <c r="K54" s="22">
        <f t="shared" si="3"/>
        <v>0</v>
      </c>
      <c r="L54" s="22">
        <f t="shared" si="3"/>
        <v>0</v>
      </c>
      <c r="M54" s="22">
        <f t="shared" si="3"/>
        <v>28.570497137453749</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0.21237179715617371</v>
      </c>
      <c r="C56" s="57">
        <f ca="1">'EF ele_warmte'!B22</f>
        <v>0.23764705882352943</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173.71979428317681</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953">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4" zoomScale="65" zoomScaleNormal="65" workbookViewId="0">
      <selection activeCell="B62" sqref="B62:Z62"/>
    </sheetView>
  </sheetViews>
  <sheetFormatPr defaultColWidth="9.140625" defaultRowHeight="15"/>
  <cols>
    <col min="1" max="1" width="38" style="632" customWidth="1"/>
    <col min="2" max="2" width="27" style="632" customWidth="1"/>
    <col min="3" max="3" width="25.42578125" style="632" customWidth="1"/>
    <col min="4" max="4" width="41.28515625" style="632" customWidth="1"/>
    <col min="5" max="5" width="27.5703125" style="632" customWidth="1"/>
    <col min="6" max="7" width="18" style="632" customWidth="1"/>
    <col min="8" max="8" width="23.42578125" style="632" customWidth="1"/>
    <col min="9" max="9" width="28.5703125" style="632" customWidth="1"/>
    <col min="10" max="10" width="35.28515625" style="632" customWidth="1"/>
    <col min="11" max="11" width="32.7109375" style="632" customWidth="1"/>
    <col min="12" max="12" width="23.85546875" style="632" customWidth="1"/>
    <col min="13" max="13" width="21.140625" style="632" customWidth="1"/>
    <col min="14" max="14" width="17.5703125" style="632" customWidth="1"/>
    <col min="15" max="15" width="22.85546875" style="632" customWidth="1"/>
    <col min="16" max="16" width="19.140625" style="632" customWidth="1"/>
    <col min="17" max="17" width="24.7109375" style="632" customWidth="1"/>
    <col min="18" max="18" width="9.140625" style="632"/>
    <col min="19" max="19" width="21.140625" style="632" customWidth="1"/>
    <col min="20" max="20" width="14.85546875" style="632" customWidth="1"/>
    <col min="21" max="21" width="16.140625" style="632" customWidth="1"/>
    <col min="22" max="22" width="14.7109375" style="632" customWidth="1"/>
    <col min="23" max="24" width="16.140625" style="632" customWidth="1"/>
    <col min="25" max="25" width="17.28515625" style="632" customWidth="1"/>
    <col min="26" max="26" width="16.85546875" style="632" customWidth="1"/>
    <col min="27" max="16384" width="9.140625" style="632"/>
  </cols>
  <sheetData>
    <row r="1" spans="1:19" s="548" customFormat="1" ht="17.45" customHeight="1" thickTop="1" thickBot="1">
      <c r="A1" s="1148" t="s">
        <v>241</v>
      </c>
      <c r="B1" s="1148" t="s">
        <v>242</v>
      </c>
      <c r="C1" s="1155" t="s">
        <v>243</v>
      </c>
      <c r="D1" s="1156"/>
      <c r="E1" s="1156"/>
      <c r="F1" s="1156"/>
      <c r="G1" s="1156"/>
      <c r="H1" s="1156"/>
      <c r="I1" s="1156"/>
      <c r="J1" s="1156"/>
      <c r="K1" s="1156"/>
      <c r="L1" s="1157"/>
      <c r="M1" s="1152" t="s">
        <v>244</v>
      </c>
      <c r="N1" s="1169" t="s">
        <v>565</v>
      </c>
      <c r="O1" s="1152"/>
      <c r="Q1" s="1147"/>
      <c r="R1" s="1147"/>
      <c r="S1" s="1147"/>
    </row>
    <row r="2" spans="1:19" s="548" customFormat="1" ht="15.75" thickBot="1">
      <c r="A2" s="1149"/>
      <c r="B2" s="1149"/>
      <c r="C2" s="1158" t="s">
        <v>197</v>
      </c>
      <c r="D2" s="1159"/>
      <c r="E2" s="1159"/>
      <c r="F2" s="1159"/>
      <c r="G2" s="1160"/>
      <c r="H2" s="1161" t="s">
        <v>245</v>
      </c>
      <c r="I2" s="1163" t="s">
        <v>246</v>
      </c>
      <c r="J2" s="1163" t="s">
        <v>234</v>
      </c>
      <c r="K2" s="1163" t="s">
        <v>247</v>
      </c>
      <c r="L2" s="1145" t="s">
        <v>127</v>
      </c>
      <c r="M2" s="1153"/>
      <c r="N2" s="1170"/>
      <c r="O2" s="1153"/>
      <c r="Q2" s="1147"/>
      <c r="R2" s="1147"/>
      <c r="S2" s="1147"/>
    </row>
    <row r="3" spans="1:19" s="548" customFormat="1" ht="53.45" customHeight="1" thickBot="1">
      <c r="A3" s="1150"/>
      <c r="B3" s="1151"/>
      <c r="C3" s="549" t="s">
        <v>199</v>
      </c>
      <c r="D3" s="550" t="s">
        <v>200</v>
      </c>
      <c r="E3" s="551" t="s">
        <v>201</v>
      </c>
      <c r="F3" s="552" t="s">
        <v>203</v>
      </c>
      <c r="G3" s="553" t="s">
        <v>204</v>
      </c>
      <c r="H3" s="1162"/>
      <c r="I3" s="1164"/>
      <c r="J3" s="1164"/>
      <c r="K3" s="1164"/>
      <c r="L3" s="1146"/>
      <c r="M3" s="1154"/>
      <c r="N3" s="1151"/>
      <c r="O3" s="1154"/>
      <c r="Q3" s="1147"/>
      <c r="R3" s="1147"/>
      <c r="S3" s="1147"/>
    </row>
    <row r="4" spans="1:19" s="548" customFormat="1" ht="15.75" thickTop="1">
      <c r="A4" s="554" t="s">
        <v>249</v>
      </c>
      <c r="B4" s="555">
        <f>IF(ISERROR(kWh_wind_land),0,kWh_wind_land)</f>
        <v>0</v>
      </c>
      <c r="C4" s="1133"/>
      <c r="D4" s="1136"/>
      <c r="E4" s="1136"/>
      <c r="F4" s="1139"/>
      <c r="G4" s="1142"/>
      <c r="H4" s="1130"/>
      <c r="I4" s="1136"/>
      <c r="J4" s="1136"/>
      <c r="K4" s="556"/>
      <c r="L4" s="1166"/>
      <c r="M4" s="557"/>
      <c r="N4" s="1178"/>
      <c r="O4" s="1179"/>
      <c r="Q4" s="558"/>
      <c r="R4" s="1165"/>
      <c r="S4" s="1165"/>
    </row>
    <row r="5" spans="1:19" s="548" customFormat="1">
      <c r="A5" s="559" t="s">
        <v>250</v>
      </c>
      <c r="B5" s="555">
        <f>IF(ISERROR(kWh_waterkracht),0,kWh_waterkracht)</f>
        <v>0</v>
      </c>
      <c r="C5" s="1134"/>
      <c r="D5" s="1137"/>
      <c r="E5" s="1137"/>
      <c r="F5" s="1140"/>
      <c r="G5" s="1143"/>
      <c r="H5" s="1131"/>
      <c r="I5" s="1137"/>
      <c r="J5" s="1137"/>
      <c r="K5" s="1137"/>
      <c r="L5" s="1167"/>
      <c r="M5" s="560"/>
      <c r="N5" s="1180"/>
      <c r="O5" s="1181"/>
      <c r="Q5" s="558"/>
      <c r="R5" s="1165"/>
      <c r="S5" s="1165"/>
    </row>
    <row r="6" spans="1:19" s="548" customFormat="1">
      <c r="A6" s="559" t="s">
        <v>251</v>
      </c>
      <c r="B6" s="555">
        <f>IF(ISERROR((kWh_PV_kleiner_dan_10kW+kWh_PV_groter_dan_10kW)),0,(kWh_PV_kleiner_dan_10kW+kWh_PV_groter_dan_10kW))</f>
        <v>2059.6635685145056</v>
      </c>
      <c r="C6" s="1135"/>
      <c r="D6" s="1138"/>
      <c r="E6" s="1138"/>
      <c r="F6" s="1141"/>
      <c r="G6" s="1144"/>
      <c r="H6" s="1132"/>
      <c r="I6" s="1138"/>
      <c r="J6" s="1138"/>
      <c r="K6" s="1138"/>
      <c r="L6" s="1168"/>
      <c r="M6" s="560"/>
      <c r="N6" s="1180"/>
      <c r="O6" s="1181"/>
      <c r="Q6" s="558"/>
      <c r="R6" s="1165"/>
      <c r="S6" s="1165"/>
    </row>
    <row r="7" spans="1:19" s="548" customFormat="1">
      <c r="A7" s="561" t="s">
        <v>252</v>
      </c>
      <c r="B7" s="562">
        <f>N57</f>
        <v>3946.5</v>
      </c>
      <c r="C7" s="563">
        <f>B100</f>
        <v>4642.9411764705883</v>
      </c>
      <c r="D7" s="564"/>
      <c r="E7" s="564">
        <f>E100</f>
        <v>0</v>
      </c>
      <c r="F7" s="565"/>
      <c r="G7" s="566"/>
      <c r="H7" s="564">
        <f>I100</f>
        <v>0</v>
      </c>
      <c r="I7" s="564">
        <f>G100+F100</f>
        <v>0</v>
      </c>
      <c r="J7" s="564">
        <f>H100+D100+C100</f>
        <v>0</v>
      </c>
      <c r="K7" s="564"/>
      <c r="L7" s="567"/>
      <c r="M7" s="568">
        <f>C7*$C$11+D7*$D$11+E7*$E$11+F7*$F$11+G7*$G$11+H7*$H$11+I7*$I$11+J7*$J$11</f>
        <v>937.87411764705894</v>
      </c>
      <c r="N7" s="1180"/>
      <c r="O7" s="1181"/>
      <c r="Q7" s="558"/>
      <c r="R7" s="1165"/>
      <c r="S7" s="1165"/>
    </row>
    <row r="8" spans="1:19" s="548" customFormat="1" ht="17.45" customHeight="1" thickBot="1">
      <c r="A8" s="569" t="s">
        <v>248</v>
      </c>
      <c r="B8" s="570">
        <f>N88+'Eigen informatie GS &amp; warmtenet'!B12</f>
        <v>0</v>
      </c>
      <c r="C8" s="571">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2">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2">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2">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2">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8">
        <f>C8*$C$11+D8*$D$11+E8*$E$11+F8*$F$11+G8*$G$11+H8*$H$11+I8*$I$11+J8*$J$11</f>
        <v>0</v>
      </c>
      <c r="N8" s="1182"/>
      <c r="O8" s="1183"/>
      <c r="P8" s="576"/>
      <c r="Q8" s="558"/>
      <c r="R8" s="1165"/>
      <c r="S8" s="1165"/>
    </row>
    <row r="9" spans="1:19" s="548" customFormat="1" ht="16.5" thickTop="1" thickBot="1">
      <c r="A9" s="577" t="s">
        <v>116</v>
      </c>
      <c r="B9" s="578">
        <f>SUM(B4:B8)</f>
        <v>6006.1635685145056</v>
      </c>
      <c r="C9" s="579">
        <f t="shared" ref="C9:L9" si="0">SUM(C7:C8)</f>
        <v>4642.9411764705883</v>
      </c>
      <c r="D9" s="579">
        <f t="shared" si="0"/>
        <v>0</v>
      </c>
      <c r="E9" s="579">
        <f t="shared" si="0"/>
        <v>0</v>
      </c>
      <c r="F9" s="579">
        <f t="shared" si="0"/>
        <v>0</v>
      </c>
      <c r="G9" s="579">
        <f t="shared" si="0"/>
        <v>0</v>
      </c>
      <c r="H9" s="579">
        <f t="shared" si="0"/>
        <v>0</v>
      </c>
      <c r="I9" s="579">
        <f t="shared" si="0"/>
        <v>0</v>
      </c>
      <c r="J9" s="579">
        <f t="shared" si="0"/>
        <v>0</v>
      </c>
      <c r="K9" s="579">
        <f t="shared" si="0"/>
        <v>0</v>
      </c>
      <c r="L9" s="579">
        <f t="shared" si="0"/>
        <v>0</v>
      </c>
      <c r="M9" s="580">
        <f>SUM(M4:M8)</f>
        <v>937.87411764705894</v>
      </c>
      <c r="N9" s="581"/>
      <c r="P9" s="582"/>
      <c r="Q9" s="558"/>
      <c r="R9" s="582"/>
      <c r="S9" s="582"/>
    </row>
    <row r="10" spans="1:19" s="585" customFormat="1" ht="15.75" thickTop="1">
      <c r="A10" s="583"/>
      <c r="B10" s="584"/>
      <c r="C10" s="584"/>
      <c r="D10" s="584"/>
      <c r="E10" s="584"/>
      <c r="F10" s="584"/>
      <c r="G10" s="584"/>
      <c r="H10" s="584"/>
      <c r="I10" s="584"/>
      <c r="J10" s="584"/>
      <c r="K10" s="584"/>
      <c r="L10" s="584"/>
      <c r="N10" s="584"/>
      <c r="P10" s="584"/>
    </row>
    <row r="11" spans="1:19" s="585" customFormat="1">
      <c r="A11" s="586" t="s">
        <v>290</v>
      </c>
      <c r="B11" s="587"/>
      <c r="C11" s="587">
        <f>EF_CO2_aardgas</f>
        <v>0.20200000000000001</v>
      </c>
      <c r="D11" s="587">
        <f>EF_VLgas_CO2</f>
        <v>0.22700000000000001</v>
      </c>
      <c r="E11" s="587">
        <f>EF_stookolie_CO2</f>
        <v>0.26700000000000002</v>
      </c>
      <c r="F11" s="587">
        <f>EF_bruinkool_CO2</f>
        <v>0.35099999999999998</v>
      </c>
      <c r="G11" s="587">
        <f>EF_steenkool_CO2</f>
        <v>0.35399999999999998</v>
      </c>
      <c r="H11" s="587">
        <f>'EF brandstof'!M4</f>
        <v>0.33</v>
      </c>
      <c r="I11" s="587">
        <f>'EF brandstof'!J4</f>
        <v>0</v>
      </c>
      <c r="J11" s="587">
        <f>'EF brandstof'!L4</f>
        <v>0</v>
      </c>
      <c r="K11" s="587">
        <f>'EF brandstof'!L4</f>
        <v>0</v>
      </c>
      <c r="L11" s="587"/>
      <c r="N11" s="588"/>
      <c r="O11" s="588"/>
      <c r="P11" s="588"/>
    </row>
    <row r="12" spans="1:19" s="548" customFormat="1" ht="15.75" thickBot="1">
      <c r="A12" s="589"/>
      <c r="B12" s="588"/>
      <c r="C12" s="588"/>
      <c r="D12" s="588"/>
      <c r="E12" s="588"/>
      <c r="F12" s="588"/>
      <c r="G12" s="588"/>
      <c r="H12" s="588"/>
      <c r="I12" s="588"/>
      <c r="J12" s="588"/>
      <c r="K12" s="588"/>
      <c r="L12" s="588"/>
      <c r="M12" s="588"/>
      <c r="N12" s="588"/>
      <c r="O12" s="588"/>
      <c r="P12" s="588"/>
    </row>
    <row r="13" spans="1:19" s="548" customFormat="1" ht="17.25" thickTop="1" thickBot="1">
      <c r="A13" s="1148" t="s">
        <v>253</v>
      </c>
      <c r="B13" s="1148" t="s">
        <v>254</v>
      </c>
      <c r="C13" s="1155" t="s">
        <v>255</v>
      </c>
      <c r="D13" s="1156"/>
      <c r="E13" s="1156"/>
      <c r="F13" s="1156"/>
      <c r="G13" s="1156"/>
      <c r="H13" s="1156"/>
      <c r="I13" s="1156"/>
      <c r="J13" s="1156"/>
      <c r="K13" s="1156"/>
      <c r="L13" s="1157"/>
      <c r="M13" s="1152" t="s">
        <v>244</v>
      </c>
      <c r="N13" s="1169" t="s">
        <v>256</v>
      </c>
      <c r="O13" s="1152"/>
      <c r="P13" s="1147"/>
      <c r="Q13" s="1147"/>
      <c r="R13" s="1147"/>
    </row>
    <row r="14" spans="1:19" s="548" customFormat="1" ht="15.75" thickBot="1">
      <c r="A14" s="1149"/>
      <c r="B14" s="1149"/>
      <c r="C14" s="1171" t="s">
        <v>197</v>
      </c>
      <c r="D14" s="1172"/>
      <c r="E14" s="1172"/>
      <c r="F14" s="1172"/>
      <c r="G14" s="1173"/>
      <c r="H14" s="1174" t="s">
        <v>245</v>
      </c>
      <c r="I14" s="1174" t="s">
        <v>246</v>
      </c>
      <c r="J14" s="1175" t="s">
        <v>234</v>
      </c>
      <c r="K14" s="1163" t="s">
        <v>257</v>
      </c>
      <c r="L14" s="1145" t="s">
        <v>127</v>
      </c>
      <c r="M14" s="1153"/>
      <c r="N14" s="1170"/>
      <c r="O14" s="1153"/>
      <c r="P14" s="1147"/>
      <c r="Q14" s="1147"/>
      <c r="R14" s="1147"/>
    </row>
    <row r="15" spans="1:19" s="548" customFormat="1" ht="40.700000000000003" customHeight="1" thickBot="1">
      <c r="A15" s="1150"/>
      <c r="B15" s="1150"/>
      <c r="C15" s="590" t="s">
        <v>199</v>
      </c>
      <c r="D15" s="550" t="s">
        <v>200</v>
      </c>
      <c r="E15" s="591" t="s">
        <v>201</v>
      </c>
      <c r="F15" s="550" t="s">
        <v>203</v>
      </c>
      <c r="G15" s="592" t="s">
        <v>204</v>
      </c>
      <c r="H15" s="1162"/>
      <c r="I15" s="1162"/>
      <c r="J15" s="1176"/>
      <c r="K15" s="1164"/>
      <c r="L15" s="1177"/>
      <c r="M15" s="1154"/>
      <c r="N15" s="1151"/>
      <c r="O15" s="1154"/>
      <c r="P15" s="1147"/>
      <c r="Q15" s="1147"/>
      <c r="R15" s="1147"/>
    </row>
    <row r="16" spans="1:19" s="548" customFormat="1" ht="15.75" thickTop="1">
      <c r="A16" s="593" t="s">
        <v>252</v>
      </c>
      <c r="B16" s="594">
        <f>O57</f>
        <v>5637.8571428571431</v>
      </c>
      <c r="C16" s="595">
        <f>B101</f>
        <v>6632.7731092436979</v>
      </c>
      <c r="D16" s="596"/>
      <c r="E16" s="596">
        <f>E101</f>
        <v>0</v>
      </c>
      <c r="F16" s="597"/>
      <c r="G16" s="598"/>
      <c r="H16" s="595">
        <f>I101</f>
        <v>0</v>
      </c>
      <c r="I16" s="596">
        <f>G101+F101</f>
        <v>0</v>
      </c>
      <c r="J16" s="596">
        <f>H101+D101+C101</f>
        <v>0</v>
      </c>
      <c r="K16" s="596"/>
      <c r="L16" s="599"/>
      <c r="M16" s="600">
        <f>C16*$C$21+E16*$E$21+H16*$H$21+I16*$I$21+J16*$J$21+D16*$D$21+F16*$F$21+G16*$G$21+K16*$K$21+L16*$L$21</f>
        <v>1339.8201680672271</v>
      </c>
      <c r="N16" s="1187"/>
      <c r="O16" s="1188"/>
      <c r="P16" s="601"/>
      <c r="Q16" s="1189"/>
      <c r="R16" s="1189"/>
    </row>
    <row r="17" spans="1:26" s="548" customFormat="1">
      <c r="A17" s="602" t="s">
        <v>258</v>
      </c>
      <c r="B17" s="603">
        <f>'Eigen informatie GS &amp; warmtenet'!B32</f>
        <v>0</v>
      </c>
      <c r="C17" s="564">
        <f>'Eigen informatie GS &amp; warmtenet'!B35</f>
        <v>0</v>
      </c>
      <c r="D17" s="564">
        <f>'Eigen informatie GS &amp; warmtenet'!B36</f>
        <v>0</v>
      </c>
      <c r="E17" s="564">
        <f>'Eigen informatie GS &amp; warmtenet'!B37</f>
        <v>0</v>
      </c>
      <c r="F17" s="564">
        <f>'Eigen informatie GS &amp; warmtenet'!B38</f>
        <v>0</v>
      </c>
      <c r="G17" s="564">
        <f>'Eigen informatie GS &amp; warmtenet'!B39</f>
        <v>0</v>
      </c>
      <c r="H17" s="564">
        <f>'Eigen informatie GS &amp; warmtenet'!B40</f>
        <v>0</v>
      </c>
      <c r="I17" s="564">
        <f>'Eigen informatie GS &amp; warmtenet'!B41</f>
        <v>0</v>
      </c>
      <c r="J17" s="564">
        <f>'Eigen informatie GS &amp; warmtenet'!B42</f>
        <v>0</v>
      </c>
      <c r="K17" s="564">
        <f>'Eigen informatie GS &amp; warmtenet'!B43</f>
        <v>0</v>
      </c>
      <c r="L17" s="564">
        <f>'Eigen informatie GS &amp; warmtenet'!B44</f>
        <v>0</v>
      </c>
      <c r="M17" s="600">
        <f>C17*$C$21+E17*$E$21+H17*$H$21+I17*$I$21+J17*$J$21+D17*$D$21+F17*$F$21+G17*$G$21+K17*$K$21+L17*$L$21</f>
        <v>0</v>
      </c>
      <c r="N17" s="1190"/>
      <c r="O17" s="1191"/>
      <c r="P17" s="558"/>
      <c r="Q17" s="1165"/>
      <c r="R17" s="1165"/>
    </row>
    <row r="18" spans="1:26" s="548" customFormat="1" ht="15.75" thickBot="1">
      <c r="A18" s="569" t="s">
        <v>248</v>
      </c>
      <c r="B18" s="603">
        <f>'Eigen informatie GS &amp; warmtenet'!B11</f>
        <v>0</v>
      </c>
      <c r="C18" s="60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0">
        <f>C18*$C$21+E18*$E$21+H18*$H$21+I18*$I$21+J18*$J$21+D18*$D$21+F18*$F$21+G18*$G$21+K18*$K$21+L18*$L$21</f>
        <v>0</v>
      </c>
      <c r="N18" s="1192"/>
      <c r="O18" s="1193"/>
      <c r="P18" s="558"/>
      <c r="Q18" s="1165"/>
      <c r="R18" s="1165"/>
    </row>
    <row r="19" spans="1:26" s="548" customFormat="1" ht="16.5" thickTop="1" thickBot="1">
      <c r="A19" s="577" t="s">
        <v>116</v>
      </c>
      <c r="B19" s="578">
        <f>SUM(B16:B18)</f>
        <v>5637.8571428571431</v>
      </c>
      <c r="C19" s="578">
        <f>SUM(C16:C18)</f>
        <v>6632.7731092436979</v>
      </c>
      <c r="D19" s="578">
        <f t="shared" ref="D19:M19" si="1">SUM(D16:D18)</f>
        <v>0</v>
      </c>
      <c r="E19" s="578">
        <f t="shared" si="1"/>
        <v>0</v>
      </c>
      <c r="F19" s="578">
        <f t="shared" si="1"/>
        <v>0</v>
      </c>
      <c r="G19" s="578">
        <f t="shared" si="1"/>
        <v>0</v>
      </c>
      <c r="H19" s="578">
        <f t="shared" si="1"/>
        <v>0</v>
      </c>
      <c r="I19" s="578">
        <f t="shared" si="1"/>
        <v>0</v>
      </c>
      <c r="J19" s="578">
        <f t="shared" si="1"/>
        <v>0</v>
      </c>
      <c r="K19" s="578">
        <f t="shared" si="1"/>
        <v>0</v>
      </c>
      <c r="L19" s="578">
        <f t="shared" si="1"/>
        <v>0</v>
      </c>
      <c r="M19" s="605">
        <f t="shared" si="1"/>
        <v>1339.8201680672271</v>
      </c>
      <c r="N19" s="1184"/>
      <c r="O19" s="1185"/>
      <c r="P19" s="558"/>
      <c r="Q19" s="1186"/>
      <c r="R19" s="1186"/>
    </row>
    <row r="20" spans="1:26" s="548" customFormat="1" ht="15.75" thickTop="1">
      <c r="A20" s="601"/>
      <c r="B20" s="558"/>
      <c r="C20" s="558"/>
      <c r="D20" s="558"/>
      <c r="E20" s="558"/>
      <c r="F20" s="558"/>
      <c r="G20" s="558"/>
      <c r="H20" s="558"/>
      <c r="I20" s="558"/>
      <c r="J20" s="558"/>
      <c r="K20" s="558"/>
      <c r="L20" s="558"/>
      <c r="M20" s="558"/>
      <c r="N20" s="582"/>
      <c r="O20" s="582"/>
      <c r="P20" s="558"/>
      <c r="Q20" s="582"/>
      <c r="R20" s="582"/>
    </row>
    <row r="21" spans="1:26" s="585" customFormat="1">
      <c r="A21" s="586" t="s">
        <v>290</v>
      </c>
      <c r="B21" s="587"/>
      <c r="C21" s="587">
        <f>EF_CO2_aardgas</f>
        <v>0.20200000000000001</v>
      </c>
      <c r="D21" s="587">
        <f>EF_VLgas_CO2</f>
        <v>0.22700000000000001</v>
      </c>
      <c r="E21" s="587">
        <f>EF_stookolie_CO2</f>
        <v>0.26700000000000002</v>
      </c>
      <c r="F21" s="587">
        <f>EF_bruinkool_CO2</f>
        <v>0.35099999999999998</v>
      </c>
      <c r="G21" s="587">
        <f>EF_steenkool_CO2</f>
        <v>0.35399999999999998</v>
      </c>
      <c r="H21" s="587">
        <f>'EF brandstof'!M4</f>
        <v>0.33</v>
      </c>
      <c r="I21" s="587">
        <f>'EF brandstof'!J4</f>
        <v>0</v>
      </c>
      <c r="J21" s="587">
        <f>'EF brandstof'!L4</f>
        <v>0</v>
      </c>
      <c r="K21" s="587">
        <f>'EF brandstof'!L4</f>
        <v>0</v>
      </c>
      <c r="L21" s="587"/>
      <c r="M21" s="588"/>
      <c r="N21" s="588"/>
      <c r="O21" s="588"/>
      <c r="P21" s="588"/>
      <c r="Q21" s="548"/>
    </row>
    <row r="22" spans="1:26" s="585" customFormat="1">
      <c r="A22" s="589"/>
      <c r="B22" s="588"/>
      <c r="C22" s="588"/>
      <c r="D22" s="588"/>
      <c r="E22" s="588"/>
      <c r="F22" s="588"/>
      <c r="G22" s="588"/>
      <c r="H22" s="588"/>
      <c r="I22" s="588"/>
      <c r="J22" s="588"/>
      <c r="K22" s="588"/>
      <c r="L22" s="588"/>
      <c r="M22" s="588"/>
      <c r="N22" s="588"/>
      <c r="O22" s="588"/>
      <c r="P22" s="588"/>
      <c r="Q22" s="548"/>
    </row>
    <row r="23" spans="1:26" s="585" customFormat="1">
      <c r="A23" s="589"/>
      <c r="B23" s="588"/>
      <c r="C23" s="588"/>
      <c r="D23" s="606"/>
      <c r="E23" s="606"/>
      <c r="F23" s="606"/>
      <c r="G23" s="588"/>
      <c r="H23" s="588"/>
      <c r="I23" s="588"/>
      <c r="J23" s="588"/>
      <c r="K23" s="588"/>
      <c r="L23" s="588"/>
      <c r="M23" s="588"/>
      <c r="N23" s="588"/>
      <c r="O23" s="588"/>
      <c r="P23" s="588"/>
    </row>
    <row r="24" spans="1:26" s="585" customFormat="1">
      <c r="A24" s="589"/>
      <c r="B24" s="588"/>
      <c r="C24" s="588"/>
      <c r="D24" s="606"/>
      <c r="E24" s="606"/>
      <c r="F24" s="606"/>
      <c r="G24" s="588"/>
      <c r="H24" s="588"/>
      <c r="I24" s="588"/>
      <c r="J24" s="588"/>
      <c r="K24" s="588"/>
      <c r="L24" s="588"/>
      <c r="M24" s="588"/>
      <c r="N24" s="588"/>
      <c r="O24" s="588"/>
      <c r="P24" s="588"/>
    </row>
    <row r="25" spans="1:26" s="548" customFormat="1" ht="15.75" thickBot="1">
      <c r="B25" s="606"/>
      <c r="C25" s="606"/>
      <c r="D25" s="606"/>
      <c r="E25" s="606"/>
      <c r="F25" s="606"/>
      <c r="G25" s="606"/>
      <c r="H25" s="606"/>
      <c r="I25" s="606"/>
      <c r="J25" s="606"/>
      <c r="K25" s="606"/>
      <c r="L25" s="606"/>
      <c r="M25" s="606"/>
      <c r="N25" s="606"/>
      <c r="O25" s="607"/>
      <c r="P25" s="607"/>
    </row>
    <row r="26" spans="1:26" s="548" customFormat="1" ht="45">
      <c r="A26" s="608" t="s">
        <v>279</v>
      </c>
      <c r="B26" s="653" t="s">
        <v>90</v>
      </c>
      <c r="C26" s="653" t="s">
        <v>91</v>
      </c>
      <c r="D26" s="653" t="s">
        <v>92</v>
      </c>
      <c r="E26" s="653" t="s">
        <v>93</v>
      </c>
      <c r="F26" s="653" t="s">
        <v>94</v>
      </c>
      <c r="G26" s="653" t="s">
        <v>95</v>
      </c>
      <c r="H26" s="653" t="s">
        <v>96</v>
      </c>
      <c r="I26" s="653" t="s">
        <v>97</v>
      </c>
      <c r="J26" s="653" t="s">
        <v>98</v>
      </c>
      <c r="K26" s="653" t="s">
        <v>99</v>
      </c>
      <c r="L26" s="653" t="s">
        <v>100</v>
      </c>
      <c r="M26" s="654" t="s">
        <v>298</v>
      </c>
      <c r="N26" s="654" t="s">
        <v>101</v>
      </c>
      <c r="O26" s="654" t="s">
        <v>102</v>
      </c>
      <c r="P26" s="654" t="s">
        <v>552</v>
      </c>
      <c r="Q26" s="654" t="s">
        <v>103</v>
      </c>
      <c r="R26" s="654" t="s">
        <v>104</v>
      </c>
      <c r="S26" s="654" t="s">
        <v>105</v>
      </c>
      <c r="T26" s="654" t="s">
        <v>106</v>
      </c>
      <c r="U26" s="654" t="s">
        <v>107</v>
      </c>
      <c r="V26" s="654" t="s">
        <v>108</v>
      </c>
      <c r="W26" s="653" t="s">
        <v>109</v>
      </c>
      <c r="X26" s="653" t="s">
        <v>299</v>
      </c>
      <c r="Y26" s="653" t="s">
        <v>110</v>
      </c>
      <c r="Z26" s="655" t="s">
        <v>300</v>
      </c>
    </row>
    <row r="27" spans="1:26" s="610" customFormat="1" ht="25.5">
      <c r="A27" s="609"/>
      <c r="B27" s="840">
        <v>42010</v>
      </c>
      <c r="C27" s="840">
        <v>9270</v>
      </c>
      <c r="D27" s="657" t="s">
        <v>877</v>
      </c>
      <c r="E27" s="656" t="s">
        <v>878</v>
      </c>
      <c r="F27" s="656" t="s">
        <v>879</v>
      </c>
      <c r="G27" s="656" t="s">
        <v>880</v>
      </c>
      <c r="H27" s="656" t="s">
        <v>881</v>
      </c>
      <c r="I27" s="656" t="s">
        <v>878</v>
      </c>
      <c r="J27" s="839">
        <v>40081</v>
      </c>
      <c r="K27" s="839">
        <v>40084</v>
      </c>
      <c r="L27" s="656" t="s">
        <v>882</v>
      </c>
      <c r="M27" s="656">
        <v>877</v>
      </c>
      <c r="N27" s="656">
        <v>3946.5</v>
      </c>
      <c r="O27" s="656">
        <v>5637.8571428571431</v>
      </c>
      <c r="P27" s="656">
        <v>11275.714285714286</v>
      </c>
      <c r="Q27" s="656">
        <v>0</v>
      </c>
      <c r="R27" s="656">
        <v>0</v>
      </c>
      <c r="S27" s="656">
        <v>0</v>
      </c>
      <c r="T27" s="656">
        <v>0</v>
      </c>
      <c r="U27" s="656">
        <v>0</v>
      </c>
      <c r="V27" s="656">
        <v>0</v>
      </c>
      <c r="W27" s="656"/>
      <c r="X27" s="656">
        <v>10</v>
      </c>
      <c r="Y27" s="656" t="s">
        <v>112</v>
      </c>
      <c r="Z27" s="658" t="s">
        <v>112</v>
      </c>
    </row>
    <row r="28" spans="1:26" s="610" customFormat="1" ht="12.75">
      <c r="A28" s="609"/>
      <c r="B28" s="840"/>
      <c r="C28" s="840"/>
      <c r="D28" s="657"/>
      <c r="E28" s="656"/>
      <c r="F28" s="656"/>
      <c r="G28" s="656"/>
      <c r="H28" s="656"/>
      <c r="I28" s="656"/>
      <c r="J28" s="839"/>
      <c r="K28" s="839"/>
      <c r="L28" s="656"/>
      <c r="M28" s="656"/>
      <c r="N28" s="656"/>
      <c r="O28" s="656"/>
      <c r="P28" s="656"/>
      <c r="Q28" s="656"/>
      <c r="R28" s="656"/>
      <c r="S28" s="656"/>
      <c r="T28" s="656"/>
      <c r="U28" s="656"/>
      <c r="V28" s="656"/>
      <c r="W28" s="656"/>
      <c r="X28" s="656"/>
      <c r="Y28" s="656"/>
      <c r="Z28" s="658"/>
    </row>
    <row r="29" spans="1:26" s="610" customFormat="1" ht="12.75">
      <c r="A29" s="609"/>
      <c r="B29" s="840"/>
      <c r="C29" s="840"/>
      <c r="D29" s="657"/>
      <c r="E29" s="656"/>
      <c r="F29" s="656"/>
      <c r="G29" s="656"/>
      <c r="H29" s="656"/>
      <c r="I29" s="656"/>
      <c r="J29" s="839"/>
      <c r="K29" s="839"/>
      <c r="L29" s="656"/>
      <c r="M29" s="656"/>
      <c r="N29" s="656"/>
      <c r="O29" s="656"/>
      <c r="P29" s="656"/>
      <c r="Q29" s="656"/>
      <c r="R29" s="656"/>
      <c r="S29" s="656"/>
      <c r="T29" s="656"/>
      <c r="U29" s="656"/>
      <c r="V29" s="656"/>
      <c r="W29" s="656"/>
      <c r="X29" s="656"/>
      <c r="Y29" s="656"/>
      <c r="Z29" s="658"/>
    </row>
    <row r="30" spans="1:26" s="610" customFormat="1" ht="12.75">
      <c r="A30" s="609"/>
      <c r="B30" s="840"/>
      <c r="C30" s="840"/>
      <c r="D30" s="657"/>
      <c r="E30" s="656"/>
      <c r="F30" s="656"/>
      <c r="G30" s="656"/>
      <c r="H30" s="656"/>
      <c r="I30" s="656"/>
      <c r="J30" s="839"/>
      <c r="K30" s="839"/>
      <c r="L30" s="656"/>
      <c r="M30" s="656"/>
      <c r="N30" s="656"/>
      <c r="O30" s="656"/>
      <c r="P30" s="656"/>
      <c r="Q30" s="656"/>
      <c r="R30" s="656"/>
      <c r="S30" s="656"/>
      <c r="T30" s="656"/>
      <c r="U30" s="656"/>
      <c r="V30" s="656"/>
      <c r="W30" s="656"/>
      <c r="X30" s="656"/>
      <c r="Y30" s="656"/>
      <c r="Z30" s="658"/>
    </row>
    <row r="31" spans="1:26" s="610" customFormat="1" ht="12.75">
      <c r="A31" s="609"/>
      <c r="B31" s="840"/>
      <c r="C31" s="840"/>
      <c r="D31" s="657"/>
      <c r="E31" s="656"/>
      <c r="F31" s="656"/>
      <c r="G31" s="656"/>
      <c r="H31" s="656"/>
      <c r="I31" s="656"/>
      <c r="J31" s="839"/>
      <c r="K31" s="839"/>
      <c r="L31" s="656"/>
      <c r="M31" s="656"/>
      <c r="N31" s="656"/>
      <c r="O31" s="656"/>
      <c r="P31" s="656"/>
      <c r="Q31" s="656"/>
      <c r="R31" s="656"/>
      <c r="S31" s="656"/>
      <c r="T31" s="656"/>
      <c r="U31" s="656"/>
      <c r="V31" s="656"/>
      <c r="W31" s="656"/>
      <c r="X31" s="656"/>
      <c r="Y31" s="656"/>
      <c r="Z31" s="658"/>
    </row>
    <row r="32" spans="1:26" s="610" customFormat="1" ht="12.75">
      <c r="A32" s="609"/>
      <c r="B32" s="840"/>
      <c r="C32" s="840"/>
      <c r="D32" s="657"/>
      <c r="E32" s="656"/>
      <c r="F32" s="656"/>
      <c r="G32" s="656"/>
      <c r="H32" s="656"/>
      <c r="I32" s="656"/>
      <c r="J32" s="839"/>
      <c r="K32" s="839"/>
      <c r="L32" s="656"/>
      <c r="M32" s="656"/>
      <c r="N32" s="656"/>
      <c r="O32" s="656"/>
      <c r="P32" s="656"/>
      <c r="Q32" s="656"/>
      <c r="R32" s="656"/>
      <c r="S32" s="656"/>
      <c r="T32" s="656"/>
      <c r="U32" s="656"/>
      <c r="V32" s="656"/>
      <c r="W32" s="656"/>
      <c r="X32" s="656"/>
      <c r="Y32" s="656"/>
      <c r="Z32" s="658"/>
    </row>
    <row r="33" spans="1:26" s="610" customFormat="1" ht="12.75">
      <c r="A33" s="609"/>
      <c r="B33" s="840"/>
      <c r="C33" s="840"/>
      <c r="D33" s="657"/>
      <c r="E33" s="656"/>
      <c r="F33" s="656"/>
      <c r="G33" s="656"/>
      <c r="H33" s="656"/>
      <c r="I33" s="656"/>
      <c r="J33" s="839"/>
      <c r="K33" s="839"/>
      <c r="L33" s="656"/>
      <c r="M33" s="656"/>
      <c r="N33" s="656"/>
      <c r="O33" s="656"/>
      <c r="P33" s="656"/>
      <c r="Q33" s="656"/>
      <c r="R33" s="656"/>
      <c r="S33" s="656"/>
      <c r="T33" s="656"/>
      <c r="U33" s="656"/>
      <c r="V33" s="656"/>
      <c r="W33" s="656"/>
      <c r="X33" s="656"/>
      <c r="Y33" s="656"/>
      <c r="Z33" s="658"/>
    </row>
    <row r="34" spans="1:26" s="610" customFormat="1" ht="12.75">
      <c r="A34" s="609"/>
      <c r="B34" s="840"/>
      <c r="C34" s="840"/>
      <c r="D34" s="657"/>
      <c r="E34" s="656"/>
      <c r="F34" s="656"/>
      <c r="G34" s="656"/>
      <c r="H34" s="656"/>
      <c r="I34" s="656"/>
      <c r="J34" s="839"/>
      <c r="K34" s="839"/>
      <c r="L34" s="656"/>
      <c r="M34" s="656"/>
      <c r="N34" s="656"/>
      <c r="O34" s="656"/>
      <c r="P34" s="656"/>
      <c r="Q34" s="656"/>
      <c r="R34" s="656"/>
      <c r="S34" s="656"/>
      <c r="T34" s="656"/>
      <c r="U34" s="656"/>
      <c r="V34" s="656"/>
      <c r="W34" s="656"/>
      <c r="X34" s="656"/>
      <c r="Y34" s="656"/>
      <c r="Z34" s="658"/>
    </row>
    <row r="35" spans="1:26" s="610" customFormat="1" ht="12.75">
      <c r="A35" s="609"/>
      <c r="B35" s="840"/>
      <c r="C35" s="840"/>
      <c r="D35" s="657"/>
      <c r="E35" s="656"/>
      <c r="F35" s="656"/>
      <c r="G35" s="656"/>
      <c r="H35" s="656"/>
      <c r="I35" s="656"/>
      <c r="J35" s="839"/>
      <c r="K35" s="839"/>
      <c r="L35" s="656"/>
      <c r="M35" s="656"/>
      <c r="N35" s="656"/>
      <c r="O35" s="656"/>
      <c r="P35" s="656"/>
      <c r="Q35" s="656"/>
      <c r="R35" s="656"/>
      <c r="S35" s="656"/>
      <c r="T35" s="656"/>
      <c r="U35" s="656"/>
      <c r="V35" s="656"/>
      <c r="W35" s="656"/>
      <c r="X35" s="656"/>
      <c r="Y35" s="656"/>
      <c r="Z35" s="658"/>
    </row>
    <row r="36" spans="1:26" s="610" customFormat="1" ht="12.75">
      <c r="A36" s="609"/>
      <c r="B36" s="840"/>
      <c r="C36" s="840"/>
      <c r="D36" s="657"/>
      <c r="E36" s="656"/>
      <c r="F36" s="656"/>
      <c r="G36" s="656"/>
      <c r="H36" s="656"/>
      <c r="I36" s="656"/>
      <c r="J36" s="839"/>
      <c r="K36" s="839"/>
      <c r="L36" s="656"/>
      <c r="M36" s="656"/>
      <c r="N36" s="656"/>
      <c r="O36" s="656"/>
      <c r="P36" s="656"/>
      <c r="Q36" s="656"/>
      <c r="R36" s="656"/>
      <c r="S36" s="656"/>
      <c r="T36" s="656"/>
      <c r="U36" s="656"/>
      <c r="V36" s="656"/>
      <c r="W36" s="656"/>
      <c r="X36" s="656"/>
      <c r="Y36" s="656"/>
      <c r="Z36" s="658"/>
    </row>
    <row r="37" spans="1:26" s="610" customFormat="1" ht="12.75">
      <c r="A37" s="609"/>
      <c r="B37" s="840"/>
      <c r="C37" s="840"/>
      <c r="D37" s="657"/>
      <c r="E37" s="656"/>
      <c r="F37" s="656"/>
      <c r="G37" s="656"/>
      <c r="H37" s="656"/>
      <c r="I37" s="656"/>
      <c r="J37" s="839"/>
      <c r="K37" s="839"/>
      <c r="L37" s="656"/>
      <c r="M37" s="656"/>
      <c r="N37" s="656"/>
      <c r="O37" s="656"/>
      <c r="P37" s="656"/>
      <c r="Q37" s="656"/>
      <c r="R37" s="656"/>
      <c r="S37" s="656"/>
      <c r="T37" s="656"/>
      <c r="U37" s="656"/>
      <c r="V37" s="656"/>
      <c r="W37" s="656"/>
      <c r="X37" s="656"/>
      <c r="Y37" s="656"/>
      <c r="Z37" s="658"/>
    </row>
    <row r="38" spans="1:26" s="610" customFormat="1" ht="12.75">
      <c r="A38" s="609"/>
      <c r="B38" s="840"/>
      <c r="C38" s="840"/>
      <c r="D38" s="657"/>
      <c r="E38" s="656"/>
      <c r="F38" s="656"/>
      <c r="G38" s="656"/>
      <c r="H38" s="656"/>
      <c r="I38" s="656"/>
      <c r="J38" s="839"/>
      <c r="K38" s="839"/>
      <c r="L38" s="656"/>
      <c r="M38" s="656"/>
      <c r="N38" s="656"/>
      <c r="O38" s="656"/>
      <c r="P38" s="656"/>
      <c r="Q38" s="656"/>
      <c r="R38" s="656"/>
      <c r="S38" s="656"/>
      <c r="T38" s="656"/>
      <c r="U38" s="656"/>
      <c r="V38" s="656"/>
      <c r="W38" s="656"/>
      <c r="X38" s="656"/>
      <c r="Y38" s="656"/>
      <c r="Z38" s="658"/>
    </row>
    <row r="39" spans="1:26" s="610" customFormat="1" ht="12.75">
      <c r="A39" s="609"/>
      <c r="B39" s="840"/>
      <c r="C39" s="840"/>
      <c r="D39" s="657"/>
      <c r="E39" s="656"/>
      <c r="F39" s="656"/>
      <c r="G39" s="656"/>
      <c r="H39" s="656"/>
      <c r="I39" s="656"/>
      <c r="J39" s="839"/>
      <c r="K39" s="839"/>
      <c r="L39" s="656"/>
      <c r="M39" s="656"/>
      <c r="N39" s="656"/>
      <c r="O39" s="656"/>
      <c r="P39" s="656"/>
      <c r="Q39" s="656"/>
      <c r="R39" s="656"/>
      <c r="S39" s="656"/>
      <c r="T39" s="656"/>
      <c r="U39" s="656"/>
      <c r="V39" s="656"/>
      <c r="W39" s="656"/>
      <c r="X39" s="656"/>
      <c r="Y39" s="656"/>
      <c r="Z39" s="658"/>
    </row>
    <row r="40" spans="1:26" s="610" customFormat="1" ht="12.75">
      <c r="A40" s="609"/>
      <c r="B40" s="840"/>
      <c r="C40" s="840"/>
      <c r="D40" s="657"/>
      <c r="E40" s="656"/>
      <c r="F40" s="656"/>
      <c r="G40" s="656"/>
      <c r="H40" s="656"/>
      <c r="I40" s="656"/>
      <c r="J40" s="839"/>
      <c r="K40" s="839"/>
      <c r="L40" s="656"/>
      <c r="M40" s="656"/>
      <c r="N40" s="656"/>
      <c r="O40" s="656"/>
      <c r="P40" s="656"/>
      <c r="Q40" s="656"/>
      <c r="R40" s="656"/>
      <c r="S40" s="656"/>
      <c r="T40" s="656"/>
      <c r="U40" s="656"/>
      <c r="V40" s="656"/>
      <c r="W40" s="656"/>
      <c r="X40" s="656"/>
      <c r="Y40" s="656"/>
      <c r="Z40" s="658"/>
    </row>
    <row r="41" spans="1:26" s="610" customFormat="1" ht="12.75">
      <c r="A41" s="609"/>
      <c r="B41" s="840"/>
      <c r="C41" s="840"/>
      <c r="D41" s="657"/>
      <c r="E41" s="656"/>
      <c r="F41" s="656"/>
      <c r="G41" s="656"/>
      <c r="H41" s="656"/>
      <c r="I41" s="656"/>
      <c r="J41" s="839"/>
      <c r="K41" s="839"/>
      <c r="L41" s="656"/>
      <c r="M41" s="656"/>
      <c r="N41" s="656"/>
      <c r="O41" s="656"/>
      <c r="P41" s="656"/>
      <c r="Q41" s="656"/>
      <c r="R41" s="656"/>
      <c r="S41" s="656"/>
      <c r="T41" s="656"/>
      <c r="U41" s="656"/>
      <c r="V41" s="656"/>
      <c r="W41" s="656"/>
      <c r="X41" s="656"/>
      <c r="Y41" s="656"/>
      <c r="Z41" s="658"/>
    </row>
    <row r="42" spans="1:26" s="610" customFormat="1" ht="12.75">
      <c r="A42" s="609"/>
      <c r="B42" s="840"/>
      <c r="C42" s="840"/>
      <c r="D42" s="657"/>
      <c r="E42" s="656"/>
      <c r="F42" s="656"/>
      <c r="G42" s="656"/>
      <c r="H42" s="656"/>
      <c r="I42" s="656"/>
      <c r="J42" s="839"/>
      <c r="K42" s="839"/>
      <c r="L42" s="656"/>
      <c r="M42" s="656"/>
      <c r="N42" s="656"/>
      <c r="O42" s="656"/>
      <c r="P42" s="656"/>
      <c r="Q42" s="656"/>
      <c r="R42" s="656"/>
      <c r="S42" s="656"/>
      <c r="T42" s="656"/>
      <c r="U42" s="656"/>
      <c r="V42" s="656"/>
      <c r="W42" s="656"/>
      <c r="X42" s="656"/>
      <c r="Y42" s="656"/>
      <c r="Z42" s="658"/>
    </row>
    <row r="43" spans="1:26" s="610" customFormat="1" ht="12.75">
      <c r="A43" s="609"/>
      <c r="B43" s="840"/>
      <c r="C43" s="840"/>
      <c r="D43" s="657"/>
      <c r="E43" s="656"/>
      <c r="F43" s="656"/>
      <c r="G43" s="656"/>
      <c r="H43" s="656"/>
      <c r="I43" s="656"/>
      <c r="J43" s="839"/>
      <c r="K43" s="839"/>
      <c r="L43" s="656"/>
      <c r="M43" s="656"/>
      <c r="N43" s="656"/>
      <c r="O43" s="656"/>
      <c r="P43" s="656"/>
      <c r="Q43" s="656"/>
      <c r="R43" s="656"/>
      <c r="S43" s="656"/>
      <c r="T43" s="656"/>
      <c r="U43" s="656"/>
      <c r="V43" s="656"/>
      <c r="W43" s="656"/>
      <c r="X43" s="656"/>
      <c r="Y43" s="656"/>
      <c r="Z43" s="658"/>
    </row>
    <row r="44" spans="1:26" s="610" customFormat="1" ht="12.75">
      <c r="A44" s="609"/>
      <c r="B44" s="840"/>
      <c r="C44" s="840"/>
      <c r="D44" s="657"/>
      <c r="E44" s="656"/>
      <c r="F44" s="656"/>
      <c r="G44" s="656"/>
      <c r="H44" s="656"/>
      <c r="I44" s="656"/>
      <c r="J44" s="839"/>
      <c r="K44" s="839"/>
      <c r="L44" s="656"/>
      <c r="M44" s="656"/>
      <c r="N44" s="656"/>
      <c r="O44" s="656"/>
      <c r="P44" s="656"/>
      <c r="Q44" s="656"/>
      <c r="R44" s="656"/>
      <c r="S44" s="656"/>
      <c r="T44" s="656"/>
      <c r="U44" s="656"/>
      <c r="V44" s="656"/>
      <c r="W44" s="656"/>
      <c r="X44" s="656"/>
      <c r="Y44" s="656"/>
      <c r="Z44" s="658"/>
    </row>
    <row r="45" spans="1:26" s="610" customFormat="1" ht="12.75">
      <c r="A45" s="609"/>
      <c r="B45" s="840"/>
      <c r="C45" s="840"/>
      <c r="D45" s="657"/>
      <c r="E45" s="656"/>
      <c r="F45" s="656"/>
      <c r="G45" s="656"/>
      <c r="H45" s="656"/>
      <c r="I45" s="656"/>
      <c r="J45" s="839"/>
      <c r="K45" s="839"/>
      <c r="L45" s="656"/>
      <c r="M45" s="656"/>
      <c r="N45" s="656"/>
      <c r="O45" s="656"/>
      <c r="P45" s="656"/>
      <c r="Q45" s="656"/>
      <c r="R45" s="656"/>
      <c r="S45" s="656"/>
      <c r="T45" s="656"/>
      <c r="U45" s="656"/>
      <c r="V45" s="656"/>
      <c r="W45" s="656"/>
      <c r="X45" s="656"/>
      <c r="Y45" s="656"/>
      <c r="Z45" s="658"/>
    </row>
    <row r="46" spans="1:26" s="610" customFormat="1" ht="12.75">
      <c r="A46" s="609"/>
      <c r="B46" s="840"/>
      <c r="C46" s="840"/>
      <c r="D46" s="657"/>
      <c r="E46" s="656"/>
      <c r="F46" s="656"/>
      <c r="G46" s="656"/>
      <c r="H46" s="656"/>
      <c r="I46" s="656"/>
      <c r="J46" s="839"/>
      <c r="K46" s="839"/>
      <c r="L46" s="656"/>
      <c r="M46" s="656"/>
      <c r="N46" s="656"/>
      <c r="O46" s="656"/>
      <c r="P46" s="656"/>
      <c r="Q46" s="656"/>
      <c r="R46" s="656"/>
      <c r="S46" s="656"/>
      <c r="T46" s="656"/>
      <c r="U46" s="656"/>
      <c r="V46" s="656"/>
      <c r="W46" s="656"/>
      <c r="X46" s="656"/>
      <c r="Y46" s="656"/>
      <c r="Z46" s="658"/>
    </row>
    <row r="47" spans="1:26" s="610" customFormat="1" ht="12.75">
      <c r="A47" s="609"/>
      <c r="B47" s="840"/>
      <c r="C47" s="840"/>
      <c r="D47" s="657"/>
      <c r="E47" s="656"/>
      <c r="F47" s="656"/>
      <c r="G47" s="656"/>
      <c r="H47" s="656"/>
      <c r="I47" s="656"/>
      <c r="J47" s="839"/>
      <c r="K47" s="839"/>
      <c r="L47" s="656"/>
      <c r="M47" s="656"/>
      <c r="N47" s="656"/>
      <c r="O47" s="656"/>
      <c r="P47" s="656"/>
      <c r="Q47" s="656"/>
      <c r="R47" s="656"/>
      <c r="S47" s="656"/>
      <c r="T47" s="656"/>
      <c r="U47" s="656"/>
      <c r="V47" s="656"/>
      <c r="W47" s="656"/>
      <c r="X47" s="656"/>
      <c r="Y47" s="656"/>
      <c r="Z47" s="658"/>
    </row>
    <row r="48" spans="1:26" s="610" customFormat="1" ht="12.75">
      <c r="A48" s="609"/>
      <c r="B48" s="840"/>
      <c r="C48" s="840"/>
      <c r="D48" s="657"/>
      <c r="E48" s="656"/>
      <c r="F48" s="656"/>
      <c r="G48" s="656"/>
      <c r="H48" s="656"/>
      <c r="I48" s="656"/>
      <c r="J48" s="839"/>
      <c r="K48" s="839"/>
      <c r="L48" s="656"/>
      <c r="M48" s="656"/>
      <c r="N48" s="656"/>
      <c r="O48" s="656"/>
      <c r="P48" s="656"/>
      <c r="Q48" s="656"/>
      <c r="R48" s="656"/>
      <c r="S48" s="656"/>
      <c r="T48" s="656"/>
      <c r="U48" s="656"/>
      <c r="V48" s="656"/>
      <c r="W48" s="656"/>
      <c r="X48" s="656"/>
      <c r="Y48" s="656"/>
      <c r="Z48" s="658"/>
    </row>
    <row r="49" spans="1:26" s="610" customFormat="1" ht="12.75">
      <c r="A49" s="609"/>
      <c r="B49" s="840"/>
      <c r="C49" s="840"/>
      <c r="D49" s="657"/>
      <c r="E49" s="656"/>
      <c r="F49" s="656"/>
      <c r="G49" s="656"/>
      <c r="H49" s="656"/>
      <c r="I49" s="656"/>
      <c r="J49" s="839"/>
      <c r="K49" s="839"/>
      <c r="L49" s="656"/>
      <c r="M49" s="656"/>
      <c r="N49" s="656"/>
      <c r="O49" s="656"/>
      <c r="P49" s="656"/>
      <c r="Q49" s="656"/>
      <c r="R49" s="656"/>
      <c r="S49" s="656"/>
      <c r="T49" s="656"/>
      <c r="U49" s="656"/>
      <c r="V49" s="656"/>
      <c r="W49" s="656"/>
      <c r="X49" s="656"/>
      <c r="Y49" s="656"/>
      <c r="Z49" s="658"/>
    </row>
    <row r="50" spans="1:26" s="610" customFormat="1" ht="12.75">
      <c r="A50" s="611"/>
      <c r="B50" s="840"/>
      <c r="C50" s="840"/>
      <c r="D50" s="657"/>
      <c r="E50" s="656"/>
      <c r="F50" s="656"/>
      <c r="G50" s="656"/>
      <c r="H50" s="656"/>
      <c r="I50" s="656"/>
      <c r="J50" s="839"/>
      <c r="K50" s="839"/>
      <c r="L50" s="656"/>
      <c r="M50" s="656"/>
      <c r="N50" s="656"/>
      <c r="O50" s="656"/>
      <c r="P50" s="656"/>
      <c r="Q50" s="656"/>
      <c r="R50" s="656"/>
      <c r="S50" s="656"/>
      <c r="T50" s="656"/>
      <c r="U50" s="656"/>
      <c r="V50" s="656"/>
      <c r="W50" s="656"/>
      <c r="X50" s="656"/>
      <c r="Y50" s="656"/>
      <c r="Z50" s="658"/>
    </row>
    <row r="51" spans="1:26" s="610" customFormat="1" ht="12.75">
      <c r="A51" s="611"/>
      <c r="B51" s="840"/>
      <c r="C51" s="840"/>
      <c r="D51" s="656"/>
      <c r="E51" s="656"/>
      <c r="F51" s="656"/>
      <c r="G51" s="656"/>
      <c r="H51" s="656"/>
      <c r="I51" s="656"/>
      <c r="J51" s="839"/>
      <c r="K51" s="839"/>
      <c r="L51" s="656"/>
      <c r="M51" s="656"/>
      <c r="N51" s="656"/>
      <c r="O51" s="656"/>
      <c r="P51" s="656"/>
      <c r="Q51" s="656"/>
      <c r="R51" s="656"/>
      <c r="S51" s="656"/>
      <c r="T51" s="656"/>
      <c r="U51" s="656"/>
      <c r="V51" s="656"/>
      <c r="W51" s="656"/>
      <c r="X51" s="656"/>
      <c r="Y51" s="656"/>
      <c r="Z51" s="658"/>
    </row>
    <row r="52" spans="1:26" s="610" customFormat="1" ht="12.75">
      <c r="A52" s="611"/>
      <c r="B52" s="840"/>
      <c r="C52" s="840"/>
      <c r="D52" s="656"/>
      <c r="E52" s="656"/>
      <c r="F52" s="656"/>
      <c r="G52" s="656"/>
      <c r="H52" s="656"/>
      <c r="I52" s="656"/>
      <c r="J52" s="839"/>
      <c r="K52" s="839"/>
      <c r="L52" s="656"/>
      <c r="M52" s="656"/>
      <c r="N52" s="656"/>
      <c r="O52" s="656"/>
      <c r="P52" s="656"/>
      <c r="Q52" s="656"/>
      <c r="R52" s="656"/>
      <c r="S52" s="656"/>
      <c r="T52" s="656"/>
      <c r="U52" s="656"/>
      <c r="V52" s="656"/>
      <c r="W52" s="656"/>
      <c r="X52" s="656"/>
      <c r="Y52" s="656"/>
      <c r="Z52" s="658"/>
    </row>
    <row r="53" spans="1:26" s="610" customFormat="1" ht="12.75">
      <c r="A53" s="611"/>
      <c r="B53" s="840"/>
      <c r="C53" s="840"/>
      <c r="D53" s="656"/>
      <c r="E53" s="656"/>
      <c r="F53" s="656"/>
      <c r="G53" s="656"/>
      <c r="H53" s="656"/>
      <c r="I53" s="656"/>
      <c r="J53" s="839"/>
      <c r="K53" s="839"/>
      <c r="L53" s="656"/>
      <c r="M53" s="656"/>
      <c r="N53" s="656"/>
      <c r="O53" s="656"/>
      <c r="P53" s="656"/>
      <c r="Q53" s="656"/>
      <c r="R53" s="656"/>
      <c r="S53" s="656"/>
      <c r="T53" s="656"/>
      <c r="U53" s="656"/>
      <c r="V53" s="656"/>
      <c r="W53" s="656"/>
      <c r="X53" s="656"/>
      <c r="Y53" s="656"/>
      <c r="Z53" s="658"/>
    </row>
    <row r="54" spans="1:26" s="610" customFormat="1" ht="12.75">
      <c r="A54" s="611"/>
      <c r="B54" s="840"/>
      <c r="C54" s="840"/>
      <c r="D54" s="656"/>
      <c r="E54" s="656"/>
      <c r="F54" s="656"/>
      <c r="G54" s="656"/>
      <c r="H54" s="656"/>
      <c r="I54" s="656"/>
      <c r="J54" s="839"/>
      <c r="K54" s="839"/>
      <c r="L54" s="656"/>
      <c r="M54" s="656"/>
      <c r="N54" s="656"/>
      <c r="O54" s="656"/>
      <c r="P54" s="656"/>
      <c r="Q54" s="656"/>
      <c r="R54" s="656"/>
      <c r="S54" s="656"/>
      <c r="T54" s="656"/>
      <c r="U54" s="656"/>
      <c r="V54" s="656"/>
      <c r="W54" s="656"/>
      <c r="X54" s="656"/>
      <c r="Y54" s="656"/>
      <c r="Z54" s="658"/>
    </row>
    <row r="55" spans="1:26" s="610" customFormat="1" ht="12.75">
      <c r="A55" s="611"/>
      <c r="B55" s="840"/>
      <c r="C55" s="840"/>
      <c r="D55" s="656"/>
      <c r="E55" s="656"/>
      <c r="F55" s="656"/>
      <c r="G55" s="656"/>
      <c r="H55" s="656"/>
      <c r="I55" s="656"/>
      <c r="J55" s="839"/>
      <c r="K55" s="839"/>
      <c r="L55" s="656"/>
      <c r="M55" s="656"/>
      <c r="N55" s="656"/>
      <c r="O55" s="656"/>
      <c r="P55" s="656"/>
      <c r="Q55" s="656"/>
      <c r="R55" s="656"/>
      <c r="S55" s="656"/>
      <c r="T55" s="656"/>
      <c r="U55" s="656"/>
      <c r="V55" s="656"/>
      <c r="W55" s="656"/>
      <c r="X55" s="656"/>
      <c r="Y55" s="656"/>
      <c r="Z55" s="658"/>
    </row>
    <row r="56" spans="1:26" s="610" customFormat="1" ht="12.75">
      <c r="A56" s="611"/>
      <c r="B56" s="840"/>
      <c r="C56" s="840"/>
      <c r="D56" s="656"/>
      <c r="E56" s="656"/>
      <c r="F56" s="656"/>
      <c r="G56" s="656"/>
      <c r="H56" s="656"/>
      <c r="I56" s="656"/>
      <c r="J56" s="839"/>
      <c r="K56" s="839"/>
      <c r="L56" s="656"/>
      <c r="M56" s="656"/>
      <c r="N56" s="656"/>
      <c r="O56" s="656"/>
      <c r="P56" s="656"/>
      <c r="Q56" s="656"/>
      <c r="R56" s="656"/>
      <c r="S56" s="656"/>
      <c r="T56" s="656"/>
      <c r="U56" s="656"/>
      <c r="V56" s="656"/>
      <c r="W56" s="656"/>
      <c r="X56" s="656"/>
      <c r="Y56" s="656"/>
      <c r="Z56" s="658"/>
    </row>
    <row r="57" spans="1:26" s="589" customFormat="1">
      <c r="A57" s="612" t="s">
        <v>280</v>
      </c>
      <c r="B57" s="613"/>
      <c r="C57" s="613"/>
      <c r="D57" s="613"/>
      <c r="E57" s="613"/>
      <c r="F57" s="613"/>
      <c r="G57" s="613"/>
      <c r="H57" s="613"/>
      <c r="I57" s="613"/>
      <c r="J57" s="613"/>
      <c r="K57" s="613"/>
      <c r="L57" s="614"/>
      <c r="M57" s="614">
        <f>SUM(M27:M56)</f>
        <v>877</v>
      </c>
      <c r="N57" s="614">
        <f>SUM(N27:N56)</f>
        <v>3946.5</v>
      </c>
      <c r="O57" s="614">
        <f t="shared" ref="O57:W57" si="2">SUM(O27:O56)</f>
        <v>5637.8571428571431</v>
      </c>
      <c r="P57" s="614">
        <f t="shared" si="2"/>
        <v>11275.714285714286</v>
      </c>
      <c r="Q57" s="614">
        <f t="shared" si="2"/>
        <v>0</v>
      </c>
      <c r="R57" s="614">
        <f t="shared" si="2"/>
        <v>0</v>
      </c>
      <c r="S57" s="614">
        <f t="shared" si="2"/>
        <v>0</v>
      </c>
      <c r="T57" s="614">
        <f t="shared" si="2"/>
        <v>0</v>
      </c>
      <c r="U57" s="614">
        <f t="shared" si="2"/>
        <v>0</v>
      </c>
      <c r="V57" s="614">
        <f t="shared" si="2"/>
        <v>0</v>
      </c>
      <c r="W57" s="614">
        <f t="shared" si="2"/>
        <v>0</v>
      </c>
      <c r="X57" s="615"/>
      <c r="Y57" s="615"/>
      <c r="Z57" s="616"/>
    </row>
    <row r="58" spans="1:26" s="589" customFormat="1">
      <c r="A58" s="612" t="s">
        <v>287</v>
      </c>
      <c r="B58" s="613"/>
      <c r="C58" s="613"/>
      <c r="D58" s="613"/>
      <c r="E58" s="613"/>
      <c r="F58" s="613"/>
      <c r="G58" s="613"/>
      <c r="H58" s="613"/>
      <c r="I58" s="613"/>
      <c r="J58" s="613"/>
      <c r="K58" s="613"/>
      <c r="L58" s="614"/>
      <c r="M58" s="614">
        <f>SUMIF($Z$27:$Z$56,"industrie",M27:M56)</f>
        <v>0</v>
      </c>
      <c r="N58" s="614">
        <f t="shared" ref="N58:W58" si="3">SUMIF($Z$27:$Z$56,"industrie",N27:N56)</f>
        <v>0</v>
      </c>
      <c r="O58" s="614">
        <f t="shared" si="3"/>
        <v>0</v>
      </c>
      <c r="P58" s="614">
        <f t="shared" si="3"/>
        <v>0</v>
      </c>
      <c r="Q58" s="614">
        <f t="shared" si="3"/>
        <v>0</v>
      </c>
      <c r="R58" s="614">
        <f t="shared" si="3"/>
        <v>0</v>
      </c>
      <c r="S58" s="614">
        <f t="shared" si="3"/>
        <v>0</v>
      </c>
      <c r="T58" s="614">
        <f t="shared" si="3"/>
        <v>0</v>
      </c>
      <c r="U58" s="614">
        <f t="shared" si="3"/>
        <v>0</v>
      </c>
      <c r="V58" s="614">
        <f t="shared" si="3"/>
        <v>0</v>
      </c>
      <c r="W58" s="614">
        <f t="shared" si="3"/>
        <v>0</v>
      </c>
      <c r="X58" s="615"/>
      <c r="Y58" s="615"/>
      <c r="Z58" s="616"/>
    </row>
    <row r="59" spans="1:26" s="589" customFormat="1">
      <c r="A59" s="612" t="s">
        <v>288</v>
      </c>
      <c r="B59" s="613"/>
      <c r="C59" s="613"/>
      <c r="D59" s="613"/>
      <c r="E59" s="613"/>
      <c r="F59" s="613"/>
      <c r="G59" s="613"/>
      <c r="H59" s="613"/>
      <c r="I59" s="613"/>
      <c r="J59" s="613"/>
      <c r="K59" s="613"/>
      <c r="L59" s="614"/>
      <c r="M59" s="614">
        <f ca="1">SUMIF($Z$27:AA56,"tertiair",M27:M56)</f>
        <v>0</v>
      </c>
      <c r="N59" s="614">
        <f ca="1">SUMIF($Z$27:AB56,"tertiair",N27:N56)</f>
        <v>0</v>
      </c>
      <c r="O59" s="614">
        <f ca="1">SUMIF($Z$27:AC56,"tertiair",O27:O56)</f>
        <v>0</v>
      </c>
      <c r="P59" s="614">
        <f ca="1">SUMIF($Z$27:AD56,"tertiair",P27:P56)</f>
        <v>0</v>
      </c>
      <c r="Q59" s="614">
        <f ca="1">SUMIF($Z$27:AE56,"tertiair",Q27:Q56)</f>
        <v>0</v>
      </c>
      <c r="R59" s="614">
        <f ca="1">SUMIF($Z$27:AF56,"tertiair",R27:R56)</f>
        <v>0</v>
      </c>
      <c r="S59" s="614">
        <f ca="1">SUMIF($Z$27:AG56,"tertiair",S27:S56)</f>
        <v>0</v>
      </c>
      <c r="T59" s="614">
        <f ca="1">SUMIF($Z$27:AH56,"tertiair",T27:T56)</f>
        <v>0</v>
      </c>
      <c r="U59" s="614">
        <f ca="1">SUMIF($Z$27:AI56,"tertiair",U27:U56)</f>
        <v>0</v>
      </c>
      <c r="V59" s="614">
        <f ca="1">SUMIF($Z$27:AJ56,"tertiair",V27:V56)</f>
        <v>0</v>
      </c>
      <c r="W59" s="614">
        <f ca="1">SUMIF($Z$27:AK56,"tertiair",W27:W56)</f>
        <v>0</v>
      </c>
      <c r="X59" s="615"/>
      <c r="Y59" s="615"/>
      <c r="Z59" s="616"/>
    </row>
    <row r="60" spans="1:26" s="589" customFormat="1" ht="15.75" thickBot="1">
      <c r="A60" s="617" t="s">
        <v>289</v>
      </c>
      <c r="B60" s="618"/>
      <c r="C60" s="618"/>
      <c r="D60" s="618"/>
      <c r="E60" s="618"/>
      <c r="F60" s="618"/>
      <c r="G60" s="618"/>
      <c r="H60" s="618"/>
      <c r="I60" s="618"/>
      <c r="J60" s="618"/>
      <c r="K60" s="618"/>
      <c r="L60" s="619"/>
      <c r="M60" s="619">
        <f>SUMIF($Z$27:$Z$56,"landbouw",M27:M56)</f>
        <v>877</v>
      </c>
      <c r="N60" s="619">
        <f t="shared" ref="N60:W60" si="4">SUMIF($Z$27:$Z$56,"landbouw",N27:N56)</f>
        <v>3946.5</v>
      </c>
      <c r="O60" s="619">
        <f t="shared" si="4"/>
        <v>5637.8571428571431</v>
      </c>
      <c r="P60" s="619">
        <f t="shared" si="4"/>
        <v>11275.714285714286</v>
      </c>
      <c r="Q60" s="619">
        <f t="shared" si="4"/>
        <v>0</v>
      </c>
      <c r="R60" s="619">
        <f t="shared" si="4"/>
        <v>0</v>
      </c>
      <c r="S60" s="619">
        <f t="shared" si="4"/>
        <v>0</v>
      </c>
      <c r="T60" s="619">
        <f t="shared" si="4"/>
        <v>0</v>
      </c>
      <c r="U60" s="619">
        <f t="shared" si="4"/>
        <v>0</v>
      </c>
      <c r="V60" s="619">
        <f t="shared" si="4"/>
        <v>0</v>
      </c>
      <c r="W60" s="619">
        <f t="shared" si="4"/>
        <v>0</v>
      </c>
      <c r="X60" s="620"/>
      <c r="Y60" s="620"/>
      <c r="Z60" s="621"/>
    </row>
    <row r="61" spans="1:26" s="548" customFormat="1" ht="15.75" thickBot="1">
      <c r="A61" s="622"/>
      <c r="B61" s="623"/>
      <c r="C61" s="623"/>
      <c r="D61" s="623"/>
      <c r="E61" s="623"/>
      <c r="F61" s="623"/>
      <c r="G61" s="623"/>
      <c r="H61" s="623"/>
      <c r="I61" s="623"/>
      <c r="J61" s="623"/>
      <c r="K61" s="623"/>
      <c r="L61" s="606"/>
      <c r="M61" s="606"/>
      <c r="N61" s="606"/>
      <c r="O61" s="607"/>
      <c r="P61" s="607"/>
    </row>
    <row r="62" spans="1:26" s="548" customFormat="1" ht="45">
      <c r="A62" s="624" t="s">
        <v>281</v>
      </c>
      <c r="B62" s="653" t="s">
        <v>90</v>
      </c>
      <c r="C62" s="653" t="s">
        <v>91</v>
      </c>
      <c r="D62" s="653" t="s">
        <v>92</v>
      </c>
      <c r="E62" s="653" t="s">
        <v>93</v>
      </c>
      <c r="F62" s="653" t="s">
        <v>94</v>
      </c>
      <c r="G62" s="653" t="s">
        <v>95</v>
      </c>
      <c r="H62" s="653" t="s">
        <v>96</v>
      </c>
      <c r="I62" s="653" t="s">
        <v>97</v>
      </c>
      <c r="J62" s="653" t="s">
        <v>98</v>
      </c>
      <c r="K62" s="653" t="s">
        <v>99</v>
      </c>
      <c r="L62" s="653" t="s">
        <v>100</v>
      </c>
      <c r="M62" s="654" t="s">
        <v>298</v>
      </c>
      <c r="N62" s="654" t="s">
        <v>101</v>
      </c>
      <c r="O62" s="654" t="s">
        <v>102</v>
      </c>
      <c r="P62" s="654" t="s">
        <v>552</v>
      </c>
      <c r="Q62" s="654" t="s">
        <v>103</v>
      </c>
      <c r="R62" s="654" t="s">
        <v>104</v>
      </c>
      <c r="S62" s="654" t="s">
        <v>105</v>
      </c>
      <c r="T62" s="654" t="s">
        <v>106</v>
      </c>
      <c r="U62" s="654" t="s">
        <v>107</v>
      </c>
      <c r="V62" s="654" t="s">
        <v>108</v>
      </c>
      <c r="W62" s="653" t="s">
        <v>109</v>
      </c>
      <c r="X62" s="653" t="s">
        <v>299</v>
      </c>
      <c r="Y62" s="653" t="s">
        <v>110</v>
      </c>
      <c r="Z62" s="655" t="s">
        <v>300</v>
      </c>
    </row>
    <row r="63" spans="1:26" s="625" customFormat="1" ht="12.75">
      <c r="A63" s="611"/>
      <c r="B63" s="840"/>
      <c r="C63" s="840"/>
      <c r="D63" s="659"/>
      <c r="E63" s="659"/>
      <c r="F63" s="659"/>
      <c r="G63" s="659"/>
      <c r="H63" s="659"/>
      <c r="I63" s="659"/>
      <c r="J63" s="839"/>
      <c r="K63" s="839"/>
      <c r="L63" s="659"/>
      <c r="M63" s="659"/>
      <c r="N63" s="659"/>
      <c r="O63" s="659"/>
      <c r="P63" s="659"/>
      <c r="Q63" s="659"/>
      <c r="R63" s="659"/>
      <c r="S63" s="659"/>
      <c r="T63" s="659"/>
      <c r="U63" s="659"/>
      <c r="V63" s="659"/>
      <c r="W63" s="659"/>
      <c r="X63" s="659"/>
      <c r="Y63" s="659"/>
      <c r="Z63" s="660"/>
    </row>
    <row r="64" spans="1:26" s="625" customFormat="1" ht="12.75">
      <c r="A64" s="611"/>
      <c r="B64" s="840"/>
      <c r="C64" s="840"/>
      <c r="D64" s="659"/>
      <c r="E64" s="659"/>
      <c r="F64" s="659"/>
      <c r="G64" s="659"/>
      <c r="H64" s="659"/>
      <c r="I64" s="659"/>
      <c r="J64" s="839"/>
      <c r="K64" s="839"/>
      <c r="L64" s="659"/>
      <c r="M64" s="659"/>
      <c r="N64" s="659"/>
      <c r="O64" s="659"/>
      <c r="P64" s="659"/>
      <c r="Q64" s="659"/>
      <c r="R64" s="659"/>
      <c r="S64" s="659"/>
      <c r="T64" s="659"/>
      <c r="U64" s="659"/>
      <c r="V64" s="659"/>
      <c r="W64" s="659"/>
      <c r="X64" s="659"/>
      <c r="Y64" s="659"/>
      <c r="Z64" s="660"/>
    </row>
    <row r="65" spans="1:26" s="625" customFormat="1" ht="12.75">
      <c r="A65" s="611"/>
      <c r="B65" s="840"/>
      <c r="C65" s="840"/>
      <c r="D65" s="659"/>
      <c r="E65" s="659"/>
      <c r="F65" s="659"/>
      <c r="G65" s="659"/>
      <c r="H65" s="659"/>
      <c r="I65" s="659"/>
      <c r="J65" s="839"/>
      <c r="K65" s="839"/>
      <c r="L65" s="659"/>
      <c r="M65" s="659"/>
      <c r="N65" s="659"/>
      <c r="O65" s="659"/>
      <c r="P65" s="659"/>
      <c r="Q65" s="659"/>
      <c r="R65" s="659"/>
      <c r="S65" s="659"/>
      <c r="T65" s="659"/>
      <c r="U65" s="659"/>
      <c r="V65" s="659"/>
      <c r="W65" s="659"/>
      <c r="X65" s="659"/>
      <c r="Y65" s="659"/>
      <c r="Z65" s="660"/>
    </row>
    <row r="66" spans="1:26" s="625" customFormat="1" ht="12.75">
      <c r="A66" s="611"/>
      <c r="B66" s="840"/>
      <c r="C66" s="840"/>
      <c r="D66" s="659"/>
      <c r="E66" s="659"/>
      <c r="F66" s="659"/>
      <c r="G66" s="659"/>
      <c r="H66" s="659"/>
      <c r="I66" s="659"/>
      <c r="J66" s="839"/>
      <c r="K66" s="839"/>
      <c r="L66" s="659"/>
      <c r="M66" s="659"/>
      <c r="N66" s="659"/>
      <c r="O66" s="659"/>
      <c r="P66" s="659"/>
      <c r="Q66" s="659"/>
      <c r="R66" s="659"/>
      <c r="S66" s="659"/>
      <c r="T66" s="659"/>
      <c r="U66" s="659"/>
      <c r="V66" s="659"/>
      <c r="W66" s="659"/>
      <c r="X66" s="659"/>
      <c r="Y66" s="659"/>
      <c r="Z66" s="660"/>
    </row>
    <row r="67" spans="1:26" s="625" customFormat="1" ht="12.75">
      <c r="A67" s="611"/>
      <c r="B67" s="840"/>
      <c r="C67" s="840"/>
      <c r="D67" s="659"/>
      <c r="E67" s="659"/>
      <c r="F67" s="659"/>
      <c r="G67" s="659"/>
      <c r="H67" s="659"/>
      <c r="I67" s="659"/>
      <c r="J67" s="839"/>
      <c r="K67" s="839"/>
      <c r="L67" s="659"/>
      <c r="M67" s="659"/>
      <c r="N67" s="659"/>
      <c r="O67" s="659"/>
      <c r="P67" s="659"/>
      <c r="Q67" s="659"/>
      <c r="R67" s="659"/>
      <c r="S67" s="659"/>
      <c r="T67" s="659"/>
      <c r="U67" s="659"/>
      <c r="V67" s="659"/>
      <c r="W67" s="659"/>
      <c r="X67" s="659"/>
      <c r="Y67" s="659"/>
      <c r="Z67" s="660"/>
    </row>
    <row r="68" spans="1:26" s="625" customFormat="1" ht="12.75">
      <c r="A68" s="611"/>
      <c r="B68" s="840"/>
      <c r="C68" s="840"/>
      <c r="D68" s="659"/>
      <c r="E68" s="659"/>
      <c r="F68" s="659"/>
      <c r="G68" s="659"/>
      <c r="H68" s="659"/>
      <c r="I68" s="659"/>
      <c r="J68" s="839"/>
      <c r="K68" s="839"/>
      <c r="L68" s="659"/>
      <c r="M68" s="659"/>
      <c r="N68" s="659"/>
      <c r="O68" s="659"/>
      <c r="P68" s="659"/>
      <c r="Q68" s="659"/>
      <c r="R68" s="659"/>
      <c r="S68" s="659"/>
      <c r="T68" s="659"/>
      <c r="U68" s="659"/>
      <c r="V68" s="659"/>
      <c r="W68" s="659"/>
      <c r="X68" s="659"/>
      <c r="Y68" s="659"/>
      <c r="Z68" s="660"/>
    </row>
    <row r="69" spans="1:26" s="625" customFormat="1" ht="12.75">
      <c r="A69" s="611"/>
      <c r="B69" s="840"/>
      <c r="C69" s="840"/>
      <c r="D69" s="659"/>
      <c r="E69" s="659"/>
      <c r="F69" s="659"/>
      <c r="G69" s="659"/>
      <c r="H69" s="659"/>
      <c r="I69" s="659"/>
      <c r="J69" s="839"/>
      <c r="K69" s="839"/>
      <c r="L69" s="659"/>
      <c r="M69" s="659"/>
      <c r="N69" s="659"/>
      <c r="O69" s="659"/>
      <c r="P69" s="659"/>
      <c r="Q69" s="659"/>
      <c r="R69" s="659"/>
      <c r="S69" s="659"/>
      <c r="T69" s="659"/>
      <c r="U69" s="659"/>
      <c r="V69" s="659"/>
      <c r="W69" s="659"/>
      <c r="X69" s="659"/>
      <c r="Y69" s="659"/>
      <c r="Z69" s="660"/>
    </row>
    <row r="70" spans="1:26" s="625" customFormat="1" ht="12.75">
      <c r="A70" s="611"/>
      <c r="B70" s="840"/>
      <c r="C70" s="840"/>
      <c r="D70" s="659"/>
      <c r="E70" s="659"/>
      <c r="F70" s="659"/>
      <c r="G70" s="659"/>
      <c r="H70" s="659"/>
      <c r="I70" s="659"/>
      <c r="J70" s="839"/>
      <c r="K70" s="839"/>
      <c r="L70" s="659"/>
      <c r="M70" s="659"/>
      <c r="N70" s="659"/>
      <c r="O70" s="659"/>
      <c r="P70" s="659"/>
      <c r="Q70" s="659"/>
      <c r="R70" s="659"/>
      <c r="S70" s="659"/>
      <c r="T70" s="659"/>
      <c r="U70" s="659"/>
      <c r="V70" s="659"/>
      <c r="W70" s="659"/>
      <c r="X70" s="659"/>
      <c r="Y70" s="659"/>
      <c r="Z70" s="660"/>
    </row>
    <row r="71" spans="1:26" s="625" customFormat="1" ht="12.75">
      <c r="A71" s="611"/>
      <c r="B71" s="840"/>
      <c r="C71" s="840"/>
      <c r="D71" s="659"/>
      <c r="E71" s="659"/>
      <c r="F71" s="659"/>
      <c r="G71" s="659"/>
      <c r="H71" s="659"/>
      <c r="I71" s="659"/>
      <c r="J71" s="839"/>
      <c r="K71" s="839"/>
      <c r="L71" s="659"/>
      <c r="M71" s="659"/>
      <c r="N71" s="659"/>
      <c r="O71" s="659"/>
      <c r="P71" s="659"/>
      <c r="Q71" s="659"/>
      <c r="R71" s="659"/>
      <c r="S71" s="659"/>
      <c r="T71" s="659"/>
      <c r="U71" s="659"/>
      <c r="V71" s="659"/>
      <c r="W71" s="659"/>
      <c r="X71" s="659"/>
      <c r="Y71" s="659"/>
      <c r="Z71" s="660"/>
    </row>
    <row r="72" spans="1:26" s="625" customFormat="1" ht="12.75">
      <c r="A72" s="611"/>
      <c r="B72" s="840"/>
      <c r="C72" s="840"/>
      <c r="D72" s="659"/>
      <c r="E72" s="659"/>
      <c r="F72" s="659"/>
      <c r="G72" s="659"/>
      <c r="H72" s="659"/>
      <c r="I72" s="659"/>
      <c r="J72" s="839"/>
      <c r="K72" s="839"/>
      <c r="L72" s="659"/>
      <c r="M72" s="659"/>
      <c r="N72" s="659"/>
      <c r="O72" s="659"/>
      <c r="P72" s="659"/>
      <c r="Q72" s="659"/>
      <c r="R72" s="659"/>
      <c r="S72" s="659"/>
      <c r="T72" s="659"/>
      <c r="U72" s="659"/>
      <c r="V72" s="659"/>
      <c r="W72" s="659"/>
      <c r="X72" s="659"/>
      <c r="Y72" s="659"/>
      <c r="Z72" s="660"/>
    </row>
    <row r="73" spans="1:26" s="625" customFormat="1" ht="12.75">
      <c r="A73" s="611"/>
      <c r="B73" s="840"/>
      <c r="C73" s="840"/>
      <c r="D73" s="659"/>
      <c r="E73" s="659"/>
      <c r="F73" s="659"/>
      <c r="G73" s="659"/>
      <c r="H73" s="659"/>
      <c r="I73" s="659"/>
      <c r="J73" s="839"/>
      <c r="K73" s="839"/>
      <c r="L73" s="659"/>
      <c r="M73" s="659"/>
      <c r="N73" s="659"/>
      <c r="O73" s="659"/>
      <c r="P73" s="659"/>
      <c r="Q73" s="659"/>
      <c r="R73" s="659"/>
      <c r="S73" s="659"/>
      <c r="T73" s="659"/>
      <c r="U73" s="659"/>
      <c r="V73" s="659"/>
      <c r="W73" s="659"/>
      <c r="X73" s="659"/>
      <c r="Y73" s="659"/>
      <c r="Z73" s="660"/>
    </row>
    <row r="74" spans="1:26" s="625" customFormat="1" ht="12.75">
      <c r="A74" s="611"/>
      <c r="B74" s="840"/>
      <c r="C74" s="840"/>
      <c r="D74" s="659"/>
      <c r="E74" s="659"/>
      <c r="F74" s="659"/>
      <c r="G74" s="659"/>
      <c r="H74" s="659"/>
      <c r="I74" s="659"/>
      <c r="J74" s="839"/>
      <c r="K74" s="839"/>
      <c r="L74" s="659"/>
      <c r="M74" s="659"/>
      <c r="N74" s="659"/>
      <c r="O74" s="659"/>
      <c r="P74" s="659"/>
      <c r="Q74" s="659"/>
      <c r="R74" s="659"/>
      <c r="S74" s="659"/>
      <c r="T74" s="659"/>
      <c r="U74" s="659"/>
      <c r="V74" s="659"/>
      <c r="W74" s="659"/>
      <c r="X74" s="659"/>
      <c r="Y74" s="659"/>
      <c r="Z74" s="660"/>
    </row>
    <row r="75" spans="1:26" s="625" customFormat="1" ht="12.75">
      <c r="A75" s="611"/>
      <c r="B75" s="840"/>
      <c r="C75" s="840"/>
      <c r="D75" s="659"/>
      <c r="E75" s="659"/>
      <c r="F75" s="659"/>
      <c r="G75" s="659"/>
      <c r="H75" s="659"/>
      <c r="I75" s="659"/>
      <c r="J75" s="839"/>
      <c r="K75" s="839"/>
      <c r="L75" s="659"/>
      <c r="M75" s="659"/>
      <c r="N75" s="659"/>
      <c r="O75" s="659"/>
      <c r="P75" s="659"/>
      <c r="Q75" s="659"/>
      <c r="R75" s="659"/>
      <c r="S75" s="659"/>
      <c r="T75" s="659"/>
      <c r="U75" s="659"/>
      <c r="V75" s="659"/>
      <c r="W75" s="659"/>
      <c r="X75" s="659"/>
      <c r="Y75" s="659"/>
      <c r="Z75" s="660"/>
    </row>
    <row r="76" spans="1:26" s="625" customFormat="1" ht="12.75">
      <c r="A76" s="611"/>
      <c r="B76" s="840"/>
      <c r="C76" s="840"/>
      <c r="D76" s="659"/>
      <c r="E76" s="659"/>
      <c r="F76" s="659"/>
      <c r="G76" s="659"/>
      <c r="H76" s="659"/>
      <c r="I76" s="659"/>
      <c r="J76" s="839"/>
      <c r="K76" s="839"/>
      <c r="L76" s="659"/>
      <c r="M76" s="659"/>
      <c r="N76" s="659"/>
      <c r="O76" s="659"/>
      <c r="P76" s="659"/>
      <c r="Q76" s="659"/>
      <c r="R76" s="659"/>
      <c r="S76" s="659"/>
      <c r="T76" s="659"/>
      <c r="U76" s="659"/>
      <c r="V76" s="659"/>
      <c r="W76" s="659"/>
      <c r="X76" s="659"/>
      <c r="Y76" s="659"/>
      <c r="Z76" s="660"/>
    </row>
    <row r="77" spans="1:26" s="625" customFormat="1" ht="12.75">
      <c r="A77" s="611"/>
      <c r="B77" s="840"/>
      <c r="C77" s="840"/>
      <c r="D77" s="659"/>
      <c r="E77" s="659"/>
      <c r="F77" s="659"/>
      <c r="G77" s="659"/>
      <c r="H77" s="659"/>
      <c r="I77" s="659"/>
      <c r="J77" s="839"/>
      <c r="K77" s="839"/>
      <c r="L77" s="659"/>
      <c r="M77" s="659"/>
      <c r="N77" s="659"/>
      <c r="O77" s="659"/>
      <c r="P77" s="659"/>
      <c r="Q77" s="659"/>
      <c r="R77" s="659"/>
      <c r="S77" s="659"/>
      <c r="T77" s="659"/>
      <c r="U77" s="659"/>
      <c r="V77" s="659"/>
      <c r="W77" s="659"/>
      <c r="X77" s="659"/>
      <c r="Y77" s="659"/>
      <c r="Z77" s="660"/>
    </row>
    <row r="78" spans="1:26" s="625" customFormat="1" ht="12.75">
      <c r="A78" s="611"/>
      <c r="B78" s="840"/>
      <c r="C78" s="840"/>
      <c r="D78" s="659"/>
      <c r="E78" s="659"/>
      <c r="F78" s="659"/>
      <c r="G78" s="659"/>
      <c r="H78" s="659"/>
      <c r="I78" s="659"/>
      <c r="J78" s="839"/>
      <c r="K78" s="839"/>
      <c r="L78" s="659"/>
      <c r="M78" s="659"/>
      <c r="N78" s="659"/>
      <c r="O78" s="659"/>
      <c r="P78" s="659"/>
      <c r="Q78" s="659"/>
      <c r="R78" s="659"/>
      <c r="S78" s="659"/>
      <c r="T78" s="659"/>
      <c r="U78" s="659"/>
      <c r="V78" s="659"/>
      <c r="W78" s="659"/>
      <c r="X78" s="659"/>
      <c r="Y78" s="659"/>
      <c r="Z78" s="660"/>
    </row>
    <row r="79" spans="1:26" s="625" customFormat="1" ht="12.75">
      <c r="A79" s="611"/>
      <c r="B79" s="840"/>
      <c r="C79" s="840"/>
      <c r="D79" s="659"/>
      <c r="E79" s="659"/>
      <c r="F79" s="659"/>
      <c r="G79" s="659"/>
      <c r="H79" s="659"/>
      <c r="I79" s="659"/>
      <c r="J79" s="839"/>
      <c r="K79" s="839"/>
      <c r="L79" s="659"/>
      <c r="M79" s="659"/>
      <c r="N79" s="659"/>
      <c r="O79" s="659"/>
      <c r="P79" s="659"/>
      <c r="Q79" s="659"/>
      <c r="R79" s="659"/>
      <c r="S79" s="659"/>
      <c r="T79" s="659"/>
      <c r="U79" s="659"/>
      <c r="V79" s="659"/>
      <c r="W79" s="659"/>
      <c r="X79" s="659"/>
      <c r="Y79" s="659"/>
      <c r="Z79" s="660"/>
    </row>
    <row r="80" spans="1:26" s="625" customFormat="1" ht="12.75">
      <c r="A80" s="611"/>
      <c r="B80" s="840"/>
      <c r="C80" s="840"/>
      <c r="D80" s="659"/>
      <c r="E80" s="659"/>
      <c r="F80" s="659"/>
      <c r="G80" s="659"/>
      <c r="H80" s="659"/>
      <c r="I80" s="659"/>
      <c r="J80" s="839"/>
      <c r="K80" s="839"/>
      <c r="L80" s="659"/>
      <c r="M80" s="659"/>
      <c r="N80" s="659"/>
      <c r="O80" s="659"/>
      <c r="P80" s="659"/>
      <c r="Q80" s="659"/>
      <c r="R80" s="659"/>
      <c r="S80" s="659"/>
      <c r="T80" s="659"/>
      <c r="U80" s="659"/>
      <c r="V80" s="659"/>
      <c r="W80" s="659"/>
      <c r="X80" s="659"/>
      <c r="Y80" s="659"/>
      <c r="Z80" s="660"/>
    </row>
    <row r="81" spans="1:26" s="625" customFormat="1" ht="12.75">
      <c r="A81" s="611"/>
      <c r="B81" s="840"/>
      <c r="C81" s="840"/>
      <c r="D81" s="659"/>
      <c r="E81" s="659"/>
      <c r="F81" s="659"/>
      <c r="G81" s="659"/>
      <c r="H81" s="659"/>
      <c r="I81" s="659"/>
      <c r="J81" s="839"/>
      <c r="K81" s="839"/>
      <c r="L81" s="659"/>
      <c r="M81" s="659"/>
      <c r="N81" s="659"/>
      <c r="O81" s="659"/>
      <c r="P81" s="659"/>
      <c r="Q81" s="659"/>
      <c r="R81" s="659"/>
      <c r="S81" s="659"/>
      <c r="T81" s="659"/>
      <c r="U81" s="659"/>
      <c r="V81" s="659"/>
      <c r="W81" s="659"/>
      <c r="X81" s="659"/>
      <c r="Y81" s="659"/>
      <c r="Z81" s="660"/>
    </row>
    <row r="82" spans="1:26" s="625" customFormat="1" ht="12.75">
      <c r="A82" s="611"/>
      <c r="B82" s="840"/>
      <c r="C82" s="840"/>
      <c r="D82" s="659"/>
      <c r="E82" s="659"/>
      <c r="F82" s="659"/>
      <c r="G82" s="659"/>
      <c r="H82" s="659"/>
      <c r="I82" s="659"/>
      <c r="J82" s="839"/>
      <c r="K82" s="839"/>
      <c r="L82" s="659"/>
      <c r="M82" s="659"/>
      <c r="N82" s="659"/>
      <c r="O82" s="659"/>
      <c r="P82" s="659"/>
      <c r="Q82" s="659"/>
      <c r="R82" s="659"/>
      <c r="S82" s="659"/>
      <c r="T82" s="659"/>
      <c r="U82" s="659"/>
      <c r="V82" s="659"/>
      <c r="W82" s="659"/>
      <c r="X82" s="659"/>
      <c r="Y82" s="659"/>
      <c r="Z82" s="660"/>
    </row>
    <row r="83" spans="1:26" s="625" customFormat="1" ht="12.75">
      <c r="A83" s="611"/>
      <c r="B83" s="840"/>
      <c r="C83" s="840"/>
      <c r="D83" s="659"/>
      <c r="E83" s="659"/>
      <c r="F83" s="659"/>
      <c r="G83" s="659"/>
      <c r="H83" s="659"/>
      <c r="I83" s="659"/>
      <c r="J83" s="839"/>
      <c r="K83" s="839"/>
      <c r="L83" s="659"/>
      <c r="M83" s="659"/>
      <c r="N83" s="659"/>
      <c r="O83" s="659"/>
      <c r="P83" s="659"/>
      <c r="Q83" s="659"/>
      <c r="R83" s="659"/>
      <c r="S83" s="659"/>
      <c r="T83" s="659"/>
      <c r="U83" s="659"/>
      <c r="V83" s="659"/>
      <c r="W83" s="659"/>
      <c r="X83" s="659"/>
      <c r="Y83" s="659"/>
      <c r="Z83" s="660"/>
    </row>
    <row r="84" spans="1:26" s="625" customFormat="1" ht="12.75">
      <c r="A84" s="611"/>
      <c r="B84" s="840"/>
      <c r="C84" s="840"/>
      <c r="D84" s="659"/>
      <c r="E84" s="659"/>
      <c r="F84" s="659"/>
      <c r="G84" s="659"/>
      <c r="H84" s="659"/>
      <c r="I84" s="659"/>
      <c r="J84" s="839"/>
      <c r="K84" s="839"/>
      <c r="L84" s="659"/>
      <c r="M84" s="659"/>
      <c r="N84" s="659"/>
      <c r="O84" s="659"/>
      <c r="P84" s="659"/>
      <c r="Q84" s="659"/>
      <c r="R84" s="659"/>
      <c r="S84" s="659"/>
      <c r="T84" s="659"/>
      <c r="U84" s="659"/>
      <c r="V84" s="659"/>
      <c r="W84" s="659"/>
      <c r="X84" s="659"/>
      <c r="Y84" s="659"/>
      <c r="Z84" s="660"/>
    </row>
    <row r="85" spans="1:26" s="625" customFormat="1" ht="12.75">
      <c r="A85" s="611"/>
      <c r="B85" s="840"/>
      <c r="C85" s="840"/>
      <c r="D85" s="659"/>
      <c r="E85" s="659"/>
      <c r="F85" s="659"/>
      <c r="G85" s="659"/>
      <c r="H85" s="659"/>
      <c r="I85" s="659"/>
      <c r="J85" s="839"/>
      <c r="K85" s="839"/>
      <c r="L85" s="659"/>
      <c r="M85" s="659"/>
      <c r="N85" s="659"/>
      <c r="O85" s="659"/>
      <c r="P85" s="659"/>
      <c r="Q85" s="659"/>
      <c r="R85" s="659"/>
      <c r="S85" s="659"/>
      <c r="T85" s="659"/>
      <c r="U85" s="659"/>
      <c r="V85" s="659"/>
      <c r="W85" s="659"/>
      <c r="X85" s="659"/>
      <c r="Y85" s="659"/>
      <c r="Z85" s="660"/>
    </row>
    <row r="86" spans="1:26" s="625" customFormat="1" ht="12.75">
      <c r="A86" s="611"/>
      <c r="B86" s="840"/>
      <c r="C86" s="840"/>
      <c r="D86" s="659"/>
      <c r="E86" s="659"/>
      <c r="F86" s="659"/>
      <c r="G86" s="659"/>
      <c r="H86" s="659"/>
      <c r="I86" s="659"/>
      <c r="J86" s="839"/>
      <c r="K86" s="839"/>
      <c r="L86" s="659"/>
      <c r="M86" s="659"/>
      <c r="N86" s="659"/>
      <c r="O86" s="659"/>
      <c r="P86" s="659"/>
      <c r="Q86" s="659"/>
      <c r="R86" s="659"/>
      <c r="S86" s="659"/>
      <c r="T86" s="659"/>
      <c r="U86" s="659"/>
      <c r="V86" s="659"/>
      <c r="W86" s="659"/>
      <c r="X86" s="659"/>
      <c r="Y86" s="659"/>
      <c r="Z86" s="660"/>
    </row>
    <row r="87" spans="1:26" s="625" customFormat="1" ht="12.75">
      <c r="A87" s="611"/>
      <c r="B87" s="840"/>
      <c r="C87" s="840"/>
      <c r="D87" s="659"/>
      <c r="E87" s="659"/>
      <c r="F87" s="659"/>
      <c r="G87" s="659"/>
      <c r="H87" s="659"/>
      <c r="I87" s="659"/>
      <c r="J87" s="839"/>
      <c r="K87" s="839"/>
      <c r="L87" s="659"/>
      <c r="M87" s="659"/>
      <c r="N87" s="659"/>
      <c r="O87" s="659"/>
      <c r="P87" s="659"/>
      <c r="Q87" s="659"/>
      <c r="R87" s="659"/>
      <c r="S87" s="659"/>
      <c r="T87" s="659"/>
      <c r="U87" s="659"/>
      <c r="V87" s="659"/>
      <c r="W87" s="659"/>
      <c r="X87" s="659"/>
      <c r="Y87" s="659"/>
      <c r="Z87" s="660"/>
    </row>
    <row r="88" spans="1:26" s="589" customFormat="1">
      <c r="A88" s="612" t="s">
        <v>280</v>
      </c>
      <c r="B88" s="613"/>
      <c r="C88" s="613"/>
      <c r="D88" s="613"/>
      <c r="E88" s="613"/>
      <c r="F88" s="613"/>
      <c r="G88" s="613"/>
      <c r="H88" s="613"/>
      <c r="I88" s="613"/>
      <c r="J88" s="613"/>
      <c r="K88" s="613"/>
      <c r="L88" s="614"/>
      <c r="M88" s="614">
        <f>SUM(M63:M87)</f>
        <v>0</v>
      </c>
      <c r="N88" s="614">
        <f t="shared" ref="N88:W88" si="5">SUM(N63:N87)</f>
        <v>0</v>
      </c>
      <c r="O88" s="614">
        <f t="shared" si="5"/>
        <v>0</v>
      </c>
      <c r="P88" s="614">
        <f t="shared" si="5"/>
        <v>0</v>
      </c>
      <c r="Q88" s="614">
        <f t="shared" si="5"/>
        <v>0</v>
      </c>
      <c r="R88" s="614">
        <f t="shared" si="5"/>
        <v>0</v>
      </c>
      <c r="S88" s="614">
        <f t="shared" si="5"/>
        <v>0</v>
      </c>
      <c r="T88" s="614">
        <f t="shared" si="5"/>
        <v>0</v>
      </c>
      <c r="U88" s="614">
        <f t="shared" si="5"/>
        <v>0</v>
      </c>
      <c r="V88" s="614">
        <f t="shared" si="5"/>
        <v>0</v>
      </c>
      <c r="W88" s="614">
        <f t="shared" si="5"/>
        <v>0</v>
      </c>
      <c r="X88" s="615"/>
      <c r="Y88" s="615"/>
      <c r="Z88" s="616"/>
    </row>
    <row r="89" spans="1:26" s="589" customFormat="1">
      <c r="A89" s="612" t="s">
        <v>287</v>
      </c>
      <c r="B89" s="613"/>
      <c r="C89" s="613"/>
      <c r="D89" s="613"/>
      <c r="E89" s="613"/>
      <c r="F89" s="613"/>
      <c r="G89" s="613"/>
      <c r="H89" s="613"/>
      <c r="I89" s="613"/>
      <c r="J89" s="613"/>
      <c r="K89" s="613"/>
      <c r="L89" s="614"/>
      <c r="M89" s="614">
        <f>SUMIF($Z$63:$Z$87,"industrie",M63:M87)</f>
        <v>0</v>
      </c>
      <c r="N89" s="614">
        <f t="shared" ref="N89:W89" si="6">SUMIF($Z$63:$Z$87,"industrie",N63:N87)</f>
        <v>0</v>
      </c>
      <c r="O89" s="614">
        <f t="shared" si="6"/>
        <v>0</v>
      </c>
      <c r="P89" s="614">
        <f t="shared" si="6"/>
        <v>0</v>
      </c>
      <c r="Q89" s="614">
        <f t="shared" si="6"/>
        <v>0</v>
      </c>
      <c r="R89" s="614">
        <f t="shared" si="6"/>
        <v>0</v>
      </c>
      <c r="S89" s="614">
        <f t="shared" si="6"/>
        <v>0</v>
      </c>
      <c r="T89" s="614">
        <f t="shared" si="6"/>
        <v>0</v>
      </c>
      <c r="U89" s="614">
        <f t="shared" si="6"/>
        <v>0</v>
      </c>
      <c r="V89" s="614">
        <f t="shared" si="6"/>
        <v>0</v>
      </c>
      <c r="W89" s="614">
        <f t="shared" si="6"/>
        <v>0</v>
      </c>
      <c r="X89" s="615"/>
      <c r="Y89" s="615"/>
      <c r="Z89" s="616"/>
    </row>
    <row r="90" spans="1:26" s="589" customFormat="1">
      <c r="A90" s="612" t="s">
        <v>288</v>
      </c>
      <c r="B90" s="613"/>
      <c r="C90" s="613"/>
      <c r="D90" s="613"/>
      <c r="E90" s="613"/>
      <c r="F90" s="613"/>
      <c r="G90" s="613"/>
      <c r="H90" s="613"/>
      <c r="I90" s="613"/>
      <c r="J90" s="613"/>
      <c r="K90" s="613"/>
      <c r="L90" s="614"/>
      <c r="M90" s="614">
        <f>SUMIF($Z$63:$Z$88,"tertiair",M63:M88)</f>
        <v>0</v>
      </c>
      <c r="N90" s="614">
        <f t="shared" ref="N90:W90" si="7">SUMIF($Z$63:$Z$88,"tertiair",N63:N88)</f>
        <v>0</v>
      </c>
      <c r="O90" s="614">
        <f t="shared" si="7"/>
        <v>0</v>
      </c>
      <c r="P90" s="614">
        <f t="shared" si="7"/>
        <v>0</v>
      </c>
      <c r="Q90" s="614">
        <f t="shared" si="7"/>
        <v>0</v>
      </c>
      <c r="R90" s="614">
        <f t="shared" si="7"/>
        <v>0</v>
      </c>
      <c r="S90" s="614">
        <f t="shared" si="7"/>
        <v>0</v>
      </c>
      <c r="T90" s="614">
        <f t="shared" si="7"/>
        <v>0</v>
      </c>
      <c r="U90" s="614">
        <f t="shared" si="7"/>
        <v>0</v>
      </c>
      <c r="V90" s="614">
        <f t="shared" si="7"/>
        <v>0</v>
      </c>
      <c r="W90" s="614">
        <f t="shared" si="7"/>
        <v>0</v>
      </c>
      <c r="X90" s="615"/>
      <c r="Y90" s="615"/>
      <c r="Z90" s="616"/>
    </row>
    <row r="91" spans="1:26" s="589" customFormat="1" ht="15.75" thickBot="1">
      <c r="A91" s="617" t="s">
        <v>289</v>
      </c>
      <c r="B91" s="618"/>
      <c r="C91" s="618"/>
      <c r="D91" s="618"/>
      <c r="E91" s="618"/>
      <c r="F91" s="618"/>
      <c r="G91" s="618"/>
      <c r="H91" s="618"/>
      <c r="I91" s="618"/>
      <c r="J91" s="618"/>
      <c r="K91" s="618"/>
      <c r="L91" s="619"/>
      <c r="M91" s="619">
        <f t="shared" ref="M91:W91" si="8">SUMIF($Z$63:$Z$89,"landbouw",M63:M89)</f>
        <v>0</v>
      </c>
      <c r="N91" s="619">
        <f t="shared" si="8"/>
        <v>0</v>
      </c>
      <c r="O91" s="619">
        <f t="shared" si="8"/>
        <v>0</v>
      </c>
      <c r="P91" s="619">
        <f t="shared" si="8"/>
        <v>0</v>
      </c>
      <c r="Q91" s="619">
        <f t="shared" si="8"/>
        <v>0</v>
      </c>
      <c r="R91" s="619">
        <f t="shared" si="8"/>
        <v>0</v>
      </c>
      <c r="S91" s="619">
        <f t="shared" si="8"/>
        <v>0</v>
      </c>
      <c r="T91" s="619">
        <f t="shared" si="8"/>
        <v>0</v>
      </c>
      <c r="U91" s="619">
        <f t="shared" si="8"/>
        <v>0</v>
      </c>
      <c r="V91" s="619">
        <f t="shared" si="8"/>
        <v>0</v>
      </c>
      <c r="W91" s="619">
        <f t="shared" si="8"/>
        <v>0</v>
      </c>
      <c r="X91" s="620"/>
      <c r="Y91" s="620"/>
      <c r="Z91" s="621"/>
    </row>
    <row r="92" spans="1:26" s="626" customFormat="1">
      <c r="A92" s="622"/>
      <c r="B92" s="606"/>
      <c r="C92" s="606"/>
      <c r="D92" s="606"/>
      <c r="E92" s="606"/>
      <c r="F92" s="606"/>
      <c r="G92" s="606"/>
      <c r="H92" s="606"/>
      <c r="I92" s="606"/>
      <c r="J92" s="606"/>
      <c r="K92" s="606"/>
      <c r="L92" s="606"/>
      <c r="M92" s="606"/>
      <c r="N92" s="606"/>
      <c r="O92" s="606"/>
      <c r="P92" s="606"/>
      <c r="Q92" s="606"/>
      <c r="R92" s="606"/>
      <c r="S92" s="606"/>
      <c r="T92" s="606"/>
      <c r="U92" s="606"/>
      <c r="V92" s="606"/>
      <c r="W92" s="606"/>
      <c r="X92" s="606"/>
      <c r="Y92" s="606"/>
    </row>
    <row r="93" spans="1:26" s="626" customFormat="1" ht="15.75" thickBot="1">
      <c r="A93" s="622"/>
      <c r="B93" s="606"/>
      <c r="C93" s="606"/>
      <c r="D93" s="606"/>
      <c r="E93" s="606"/>
      <c r="F93" s="606"/>
      <c r="G93" s="606"/>
      <c r="H93" s="606"/>
      <c r="I93" s="606"/>
      <c r="J93" s="606"/>
      <c r="K93" s="606"/>
      <c r="L93" s="606"/>
      <c r="M93" s="606"/>
      <c r="N93" s="606"/>
      <c r="O93" s="606"/>
      <c r="P93" s="606"/>
      <c r="Q93" s="606"/>
      <c r="R93" s="606"/>
      <c r="S93" s="606"/>
      <c r="T93" s="606"/>
      <c r="U93" s="606"/>
      <c r="V93" s="606"/>
      <c r="W93" s="606"/>
      <c r="X93" s="606"/>
      <c r="Y93" s="606"/>
    </row>
    <row r="94" spans="1:26">
      <c r="A94" s="627" t="s">
        <v>282</v>
      </c>
      <c r="B94" s="628"/>
      <c r="C94" s="628"/>
      <c r="D94" s="628"/>
      <c r="E94" s="628"/>
      <c r="F94" s="628"/>
      <c r="G94" s="628"/>
      <c r="H94" s="628"/>
      <c r="I94" s="629"/>
      <c r="J94" s="630"/>
      <c r="K94" s="630"/>
      <c r="L94" s="631"/>
      <c r="M94" s="631"/>
      <c r="N94" s="631"/>
    </row>
    <row r="95" spans="1:26">
      <c r="A95" s="633"/>
      <c r="B95" s="623"/>
      <c r="C95" s="623"/>
      <c r="D95" s="623"/>
      <c r="E95" s="623"/>
      <c r="F95" s="623"/>
      <c r="G95" s="623"/>
      <c r="H95" s="623"/>
      <c r="I95" s="634"/>
      <c r="J95" s="623"/>
      <c r="K95" s="623"/>
      <c r="L95" s="631"/>
      <c r="M95" s="631"/>
      <c r="N95" s="631"/>
    </row>
    <row r="96" spans="1:26">
      <c r="A96" s="635"/>
      <c r="B96" s="636" t="s">
        <v>283</v>
      </c>
      <c r="C96" s="636" t="s">
        <v>284</v>
      </c>
      <c r="D96" s="636"/>
      <c r="E96" s="636"/>
      <c r="F96" s="636"/>
      <c r="G96" s="636"/>
      <c r="H96" s="636"/>
      <c r="I96" s="637"/>
      <c r="J96" s="636"/>
      <c r="K96" s="636"/>
      <c r="L96" s="636"/>
      <c r="M96" s="636"/>
      <c r="N96" s="631"/>
    </row>
    <row r="97" spans="1:14">
      <c r="A97" s="633" t="s">
        <v>280</v>
      </c>
      <c r="B97" s="638">
        <f>IF(ISERROR(O57/(O57+N57)),0,O57/(O57+N57))</f>
        <v>0.58823529411764708</v>
      </c>
      <c r="C97" s="639">
        <f>IF(ISERROR(N57/(O57+N57)),0,N57/(N57+O57))</f>
        <v>0.41176470588235292</v>
      </c>
      <c r="D97" s="606"/>
      <c r="E97" s="606"/>
      <c r="F97" s="606"/>
      <c r="G97" s="606"/>
      <c r="H97" s="606"/>
      <c r="I97" s="640"/>
      <c r="J97" s="606"/>
      <c r="K97" s="606"/>
      <c r="L97" s="641"/>
      <c r="M97" s="641"/>
      <c r="N97" s="631"/>
    </row>
    <row r="98" spans="1:14">
      <c r="A98" s="633"/>
      <c r="B98" s="642"/>
      <c r="C98" s="642"/>
      <c r="D98" s="642"/>
      <c r="E98" s="642"/>
      <c r="F98" s="642"/>
      <c r="G98" s="642"/>
      <c r="H98" s="642"/>
      <c r="I98" s="643"/>
      <c r="J98" s="642"/>
      <c r="K98" s="642"/>
      <c r="L98" s="644"/>
      <c r="M98" s="644"/>
      <c r="N98" s="631"/>
    </row>
    <row r="99" spans="1:14" ht="30">
      <c r="A99" s="645"/>
      <c r="B99" s="646" t="s">
        <v>552</v>
      </c>
      <c r="C99" s="646" t="s">
        <v>103</v>
      </c>
      <c r="D99" s="646" t="s">
        <v>104</v>
      </c>
      <c r="E99" s="646" t="s">
        <v>105</v>
      </c>
      <c r="F99" s="646" t="s">
        <v>106</v>
      </c>
      <c r="G99" s="646" t="s">
        <v>107</v>
      </c>
      <c r="H99" s="646" t="s">
        <v>108</v>
      </c>
      <c r="I99" s="647" t="s">
        <v>109</v>
      </c>
      <c r="J99" s="636"/>
      <c r="K99" s="636"/>
      <c r="L99" s="644"/>
      <c r="M99" s="631"/>
      <c r="N99" s="631"/>
    </row>
    <row r="100" spans="1:14">
      <c r="A100" s="635" t="s">
        <v>285</v>
      </c>
      <c r="B100" s="648">
        <f t="shared" ref="B100:I100" si="9">$C$97*P57</f>
        <v>4642.9411764705883</v>
      </c>
      <c r="C100" s="648">
        <f t="shared" si="9"/>
        <v>0</v>
      </c>
      <c r="D100" s="648">
        <f t="shared" si="9"/>
        <v>0</v>
      </c>
      <c r="E100" s="648">
        <f t="shared" si="9"/>
        <v>0</v>
      </c>
      <c r="F100" s="648">
        <f t="shared" si="9"/>
        <v>0</v>
      </c>
      <c r="G100" s="648">
        <f t="shared" si="9"/>
        <v>0</v>
      </c>
      <c r="H100" s="648">
        <f t="shared" si="9"/>
        <v>0</v>
      </c>
      <c r="I100" s="649">
        <f t="shared" si="9"/>
        <v>0</v>
      </c>
      <c r="J100" s="606"/>
      <c r="K100" s="606"/>
      <c r="L100" s="644"/>
      <c r="M100" s="631"/>
      <c r="N100" s="631"/>
    </row>
    <row r="101" spans="1:14" ht="15.75" thickBot="1">
      <c r="A101" s="650" t="s">
        <v>286</v>
      </c>
      <c r="B101" s="651">
        <f>$B$97*P57</f>
        <v>6632.7731092436979</v>
      </c>
      <c r="C101" s="651">
        <f t="shared" ref="C101:H101" si="10">$B$97*Q57</f>
        <v>0</v>
      </c>
      <c r="D101" s="651">
        <f t="shared" si="10"/>
        <v>0</v>
      </c>
      <c r="E101" s="651">
        <f t="shared" si="10"/>
        <v>0</v>
      </c>
      <c r="F101" s="651">
        <f t="shared" si="10"/>
        <v>0</v>
      </c>
      <c r="G101" s="651">
        <f t="shared" si="10"/>
        <v>0</v>
      </c>
      <c r="H101" s="651">
        <f t="shared" si="10"/>
        <v>0</v>
      </c>
      <c r="I101" s="652">
        <f>$B$97*W57</f>
        <v>0</v>
      </c>
      <c r="J101" s="606"/>
      <c r="K101" s="606"/>
      <c r="L101" s="644"/>
      <c r="M101" s="631"/>
      <c r="N101" s="631"/>
    </row>
    <row r="102" spans="1:14">
      <c r="J102" s="585"/>
      <c r="K102" s="585"/>
      <c r="L102" s="585"/>
    </row>
    <row r="103" spans="1:14">
      <c r="J103" s="585"/>
      <c r="K103" s="585"/>
      <c r="L103" s="585"/>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82" t="s">
        <v>794</v>
      </c>
      <c r="B2" s="983" t="s">
        <v>795</v>
      </c>
      <c r="C2" s="982" t="s">
        <v>193</v>
      </c>
      <c r="D2" s="982" t="s">
        <v>796</v>
      </c>
      <c r="E2" s="984"/>
      <c r="F2" s="985" t="s">
        <v>797</v>
      </c>
      <c r="G2" s="985" t="s">
        <v>798</v>
      </c>
      <c r="H2" s="985" t="s">
        <v>799</v>
      </c>
    </row>
    <row r="3" spans="1:8" s="12" customFormat="1">
      <c r="A3" s="982" t="s">
        <v>803</v>
      </c>
      <c r="B3" s="986" t="s">
        <v>823</v>
      </c>
      <c r="C3" s="982" t="s">
        <v>193</v>
      </c>
      <c r="D3" s="982" t="s">
        <v>824</v>
      </c>
      <c r="E3" s="984"/>
      <c r="F3" s="988" t="s">
        <v>804</v>
      </c>
      <c r="G3" s="988" t="s">
        <v>805</v>
      </c>
      <c r="H3" s="354" t="s">
        <v>806</v>
      </c>
    </row>
    <row r="4" spans="1:8" s="12" customFormat="1">
      <c r="A4" s="982" t="s">
        <v>788</v>
      </c>
      <c r="B4" s="986" t="s">
        <v>795</v>
      </c>
      <c r="C4" s="982" t="s">
        <v>193</v>
      </c>
      <c r="D4" s="987" t="s">
        <v>807</v>
      </c>
      <c r="E4" s="984"/>
      <c r="F4" s="985" t="s">
        <v>797</v>
      </c>
      <c r="G4" s="985" t="s">
        <v>798</v>
      </c>
      <c r="H4" s="985" t="s">
        <v>799</v>
      </c>
    </row>
    <row r="5" spans="1:8" s="955" customFormat="1">
      <c r="A5" s="982" t="s">
        <v>417</v>
      </c>
      <c r="B5" s="993">
        <v>2013</v>
      </c>
      <c r="C5" s="982" t="s">
        <v>417</v>
      </c>
      <c r="D5" s="982" t="s">
        <v>822</v>
      </c>
      <c r="E5" s="984"/>
      <c r="F5" s="985" t="s">
        <v>800</v>
      </c>
      <c r="G5" s="985" t="s">
        <v>801</v>
      </c>
      <c r="H5" s="985"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955" customFormat="1">
      <c r="A9" s="355" t="s">
        <v>808</v>
      </c>
      <c r="B9" s="848">
        <v>2012</v>
      </c>
      <c r="C9" s="355" t="s">
        <v>417</v>
      </c>
      <c r="D9" s="355" t="s">
        <v>809</v>
      </c>
      <c r="E9" s="989" t="s">
        <v>810</v>
      </c>
      <c r="F9" s="353"/>
      <c r="G9" s="353"/>
      <c r="H9" s="354"/>
    </row>
    <row r="10" spans="1:8" s="12" customFormat="1">
      <c r="A10" s="982" t="s">
        <v>842</v>
      </c>
      <c r="B10" s="986" t="s">
        <v>845</v>
      </c>
      <c r="C10" s="982" t="s">
        <v>844</v>
      </c>
      <c r="D10" s="982" t="s">
        <v>843</v>
      </c>
      <c r="E10" s="984" t="s">
        <v>841</v>
      </c>
      <c r="F10" s="988"/>
      <c r="G10" s="988"/>
      <c r="H10" s="354"/>
    </row>
    <row r="11" spans="1:8">
      <c r="A11" s="355" t="s">
        <v>646</v>
      </c>
      <c r="B11" s="351" t="s">
        <v>647</v>
      </c>
      <c r="C11" s="355" t="s">
        <v>651</v>
      </c>
      <c r="D11" s="355" t="s">
        <v>652</v>
      </c>
      <c r="E11" s="352"/>
      <c r="F11" s="353" t="s">
        <v>648</v>
      </c>
      <c r="G11" s="353" t="s">
        <v>649</v>
      </c>
      <c r="H11" s="354" t="s">
        <v>650</v>
      </c>
    </row>
    <row r="12" spans="1:8" s="955" customFormat="1">
      <c r="A12" s="982" t="s">
        <v>825</v>
      </c>
      <c r="B12" s="993">
        <v>2017</v>
      </c>
      <c r="C12" s="982" t="s">
        <v>436</v>
      </c>
      <c r="D12" s="982" t="s">
        <v>826</v>
      </c>
      <c r="E12" s="989"/>
      <c r="F12" s="988" t="s">
        <v>804</v>
      </c>
      <c r="G12" s="988"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858</v>
      </c>
      <c r="G15" s="353" t="s">
        <v>859</v>
      </c>
      <c r="H15" s="354" t="s">
        <v>860</v>
      </c>
    </row>
    <row r="16" spans="1:8" s="955" customFormat="1">
      <c r="A16" s="991" t="s">
        <v>815</v>
      </c>
      <c r="B16" s="992" t="s">
        <v>816</v>
      </c>
      <c r="C16" s="991" t="s">
        <v>817</v>
      </c>
      <c r="D16" s="991" t="s">
        <v>818</v>
      </c>
      <c r="E16" s="702"/>
      <c r="F16" s="988" t="s">
        <v>819</v>
      </c>
      <c r="G16" s="988" t="s">
        <v>820</v>
      </c>
      <c r="H16" s="354" t="s">
        <v>821</v>
      </c>
    </row>
    <row r="17" spans="1:9">
      <c r="A17" s="350" t="s">
        <v>524</v>
      </c>
      <c r="B17" s="351" t="s">
        <v>382</v>
      </c>
      <c r="C17" s="350" t="s">
        <v>380</v>
      </c>
      <c r="D17" s="359" t="s">
        <v>381</v>
      </c>
      <c r="E17" s="352" t="s">
        <v>383</v>
      </c>
      <c r="F17" s="990" t="s">
        <v>811</v>
      </c>
      <c r="G17" s="990" t="s">
        <v>812</v>
      </c>
      <c r="H17" s="354" t="s">
        <v>813</v>
      </c>
      <c r="I17" s="955"/>
    </row>
    <row r="18" spans="1:9" s="955" customFormat="1">
      <c r="A18" s="350" t="s">
        <v>524</v>
      </c>
      <c r="B18" s="351" t="s">
        <v>850</v>
      </c>
      <c r="C18" s="350" t="s">
        <v>854</v>
      </c>
      <c r="D18" s="359" t="s">
        <v>855</v>
      </c>
      <c r="E18" s="352"/>
      <c r="F18" s="990" t="s">
        <v>811</v>
      </c>
      <c r="G18" s="990" t="s">
        <v>812</v>
      </c>
      <c r="H18" s="354" t="s">
        <v>813</v>
      </c>
    </row>
    <row r="19" spans="1:9">
      <c r="A19" s="355" t="s">
        <v>523</v>
      </c>
      <c r="B19" s="358" t="s">
        <v>406</v>
      </c>
      <c r="C19" s="355" t="s">
        <v>436</v>
      </c>
      <c r="D19" s="355" t="s">
        <v>378</v>
      </c>
      <c r="E19" s="352"/>
      <c r="F19" s="985" t="s">
        <v>811</v>
      </c>
      <c r="G19" s="990" t="s">
        <v>812</v>
      </c>
      <c r="H19" s="354" t="s">
        <v>813</v>
      </c>
      <c r="I19" s="955"/>
    </row>
    <row r="20" spans="1:9">
      <c r="A20" s="355" t="s">
        <v>523</v>
      </c>
      <c r="B20" s="920" t="s">
        <v>672</v>
      </c>
      <c r="C20" s="355" t="s">
        <v>436</v>
      </c>
      <c r="D20" s="355" t="s">
        <v>706</v>
      </c>
      <c r="E20" s="352"/>
      <c r="F20" s="985" t="s">
        <v>811</v>
      </c>
      <c r="G20" s="990" t="s">
        <v>814</v>
      </c>
      <c r="H20" s="354" t="s">
        <v>813</v>
      </c>
    </row>
    <row r="21" spans="1:9" s="11" customFormat="1">
      <c r="A21" s="355" t="s">
        <v>522</v>
      </c>
      <c r="B21" s="358" t="s">
        <v>521</v>
      </c>
      <c r="C21" s="355" t="s">
        <v>520</v>
      </c>
      <c r="D21" s="355" t="s">
        <v>519</v>
      </c>
      <c r="E21" s="348"/>
      <c r="F21" s="349"/>
      <c r="G21" s="349"/>
      <c r="H21" s="356"/>
    </row>
    <row r="22" spans="1:9">
      <c r="A22" s="355" t="s">
        <v>193</v>
      </c>
      <c r="B22" s="848" t="s">
        <v>749</v>
      </c>
      <c r="C22" s="355" t="s">
        <v>437</v>
      </c>
      <c r="D22" s="355" t="s">
        <v>438</v>
      </c>
      <c r="E22" s="352"/>
      <c r="F22" s="353" t="s">
        <v>439</v>
      </c>
      <c r="G22" s="353" t="s">
        <v>440</v>
      </c>
      <c r="H22" s="354" t="s">
        <v>441</v>
      </c>
    </row>
    <row r="23" spans="1:9">
      <c r="A23" s="355" t="s">
        <v>418</v>
      </c>
      <c r="B23" s="351" t="s">
        <v>850</v>
      </c>
      <c r="C23" s="355" t="s">
        <v>418</v>
      </c>
      <c r="D23" s="355" t="s">
        <v>851</v>
      </c>
      <c r="E23" s="352" t="s">
        <v>433</v>
      </c>
      <c r="F23" s="353" t="s">
        <v>861</v>
      </c>
      <c r="G23" s="353" t="s">
        <v>862</v>
      </c>
      <c r="H23" s="354" t="s">
        <v>863</v>
      </c>
    </row>
    <row r="24" spans="1:9" s="955" customFormat="1">
      <c r="A24" s="355" t="s">
        <v>418</v>
      </c>
      <c r="B24" s="351" t="s">
        <v>852</v>
      </c>
      <c r="C24" s="355" t="s">
        <v>418</v>
      </c>
      <c r="D24" s="355" t="s">
        <v>853</v>
      </c>
      <c r="E24" s="352"/>
      <c r="F24" s="353" t="s">
        <v>864</v>
      </c>
      <c r="G24" s="353" t="s">
        <v>865</v>
      </c>
      <c r="H24" s="354" t="s">
        <v>866</v>
      </c>
    </row>
    <row r="25" spans="1:9">
      <c r="A25" s="350" t="s">
        <v>416</v>
      </c>
      <c r="B25" s="351" t="s">
        <v>676</v>
      </c>
      <c r="C25" s="350" t="s">
        <v>416</v>
      </c>
      <c r="D25" s="359" t="s">
        <v>677</v>
      </c>
      <c r="E25" s="352" t="s">
        <v>433</v>
      </c>
      <c r="F25" s="353" t="s">
        <v>867</v>
      </c>
      <c r="G25" s="353" t="s">
        <v>868</v>
      </c>
      <c r="H25" s="354" t="s">
        <v>869</v>
      </c>
    </row>
    <row r="26" spans="1:9" s="955" customFormat="1">
      <c r="A26" s="355" t="s">
        <v>416</v>
      </c>
      <c r="B26" s="351" t="s">
        <v>676</v>
      </c>
      <c r="C26" s="355" t="s">
        <v>416</v>
      </c>
      <c r="D26" s="355" t="s">
        <v>856</v>
      </c>
      <c r="E26" s="352" t="s">
        <v>857</v>
      </c>
      <c r="F26" s="353" t="s">
        <v>867</v>
      </c>
      <c r="G26" s="353" t="s">
        <v>868</v>
      </c>
      <c r="H26" s="354" t="s">
        <v>869</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1"/>
  <sheetViews>
    <sheetView topLeftCell="A25" workbookViewId="0">
      <selection activeCell="A42" sqref="A42"/>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821" t="s">
        <v>635</v>
      </c>
      <c r="B1" s="821" t="s">
        <v>636</v>
      </c>
      <c r="C1" s="821" t="s">
        <v>638</v>
      </c>
      <c r="D1" s="821" t="s">
        <v>637</v>
      </c>
    </row>
    <row r="2" spans="1:4">
      <c r="A2" t="s">
        <v>655</v>
      </c>
      <c r="B2" s="819">
        <v>41877</v>
      </c>
      <c r="C2" t="s">
        <v>660</v>
      </c>
      <c r="D2" s="834" t="s">
        <v>656</v>
      </c>
    </row>
    <row r="3" spans="1:4">
      <c r="A3" t="s">
        <v>655</v>
      </c>
      <c r="B3" s="819">
        <v>41877</v>
      </c>
      <c r="C3" t="s">
        <v>658</v>
      </c>
      <c r="D3" s="820" t="s">
        <v>657</v>
      </c>
    </row>
    <row r="4" spans="1:4">
      <c r="A4" t="s">
        <v>655</v>
      </c>
      <c r="B4" s="819">
        <v>41877</v>
      </c>
      <c r="C4" t="s">
        <v>659</v>
      </c>
      <c r="D4" s="834" t="s">
        <v>661</v>
      </c>
    </row>
    <row r="5" spans="1:4">
      <c r="A5" t="s">
        <v>655</v>
      </c>
      <c r="B5" s="819">
        <v>41877</v>
      </c>
      <c r="C5" t="s">
        <v>662</v>
      </c>
      <c r="D5" s="820" t="s">
        <v>663</v>
      </c>
    </row>
    <row r="6" spans="1:4">
      <c r="A6" t="s">
        <v>655</v>
      </c>
      <c r="B6" s="819">
        <v>41883</v>
      </c>
      <c r="C6" t="s">
        <v>680</v>
      </c>
      <c r="D6" s="820" t="s">
        <v>681</v>
      </c>
    </row>
    <row r="7" spans="1:4">
      <c r="A7" t="s">
        <v>655</v>
      </c>
      <c r="B7" s="819">
        <v>41885</v>
      </c>
      <c r="C7" t="s">
        <v>697</v>
      </c>
      <c r="D7" s="820" t="s">
        <v>696</v>
      </c>
    </row>
    <row r="8" spans="1:4">
      <c r="A8" t="s">
        <v>655</v>
      </c>
      <c r="B8" s="819">
        <v>41885</v>
      </c>
      <c r="C8" t="s">
        <v>697</v>
      </c>
      <c r="D8" s="820" t="s">
        <v>698</v>
      </c>
    </row>
    <row r="9" spans="1:4">
      <c r="A9" t="s">
        <v>655</v>
      </c>
      <c r="B9" s="819">
        <v>41892</v>
      </c>
      <c r="C9" t="s">
        <v>699</v>
      </c>
      <c r="D9" s="820" t="s">
        <v>700</v>
      </c>
    </row>
    <row r="10" spans="1:4">
      <c r="A10" t="s">
        <v>655</v>
      </c>
      <c r="B10" s="819">
        <v>41892</v>
      </c>
      <c r="C10" t="s">
        <v>701</v>
      </c>
      <c r="D10" s="820" t="s">
        <v>702</v>
      </c>
    </row>
    <row r="11" spans="1:4">
      <c r="A11" t="s">
        <v>655</v>
      </c>
      <c r="B11" s="819">
        <v>41892</v>
      </c>
      <c r="C11" t="s">
        <v>712</v>
      </c>
      <c r="D11" s="820" t="s">
        <v>711</v>
      </c>
    </row>
    <row r="12" spans="1:4">
      <c r="A12" t="s">
        <v>655</v>
      </c>
      <c r="B12" s="948">
        <v>41914</v>
      </c>
      <c r="C12" s="950" t="s">
        <v>719</v>
      </c>
      <c r="D12" s="949" t="s">
        <v>713</v>
      </c>
    </row>
    <row r="13" spans="1:4">
      <c r="A13" t="s">
        <v>655</v>
      </c>
      <c r="B13" s="948">
        <v>41914</v>
      </c>
      <c r="C13" s="950" t="s">
        <v>720</v>
      </c>
      <c r="D13" s="949" t="s">
        <v>714</v>
      </c>
    </row>
    <row r="14" spans="1:4">
      <c r="A14" t="s">
        <v>655</v>
      </c>
      <c r="B14" s="948">
        <v>41914</v>
      </c>
      <c r="C14" s="947" t="s">
        <v>715</v>
      </c>
      <c r="D14" s="949" t="s">
        <v>716</v>
      </c>
    </row>
    <row r="15" spans="1:4">
      <c r="A15" t="s">
        <v>655</v>
      </c>
      <c r="B15" s="948">
        <v>41914</v>
      </c>
      <c r="C15" s="947" t="s">
        <v>717</v>
      </c>
      <c r="D15" s="949" t="s">
        <v>718</v>
      </c>
    </row>
    <row r="16" spans="1:4">
      <c r="A16" t="s">
        <v>655</v>
      </c>
      <c r="B16" s="952">
        <v>41914</v>
      </c>
      <c r="C16" s="951" t="s">
        <v>721</v>
      </c>
      <c r="D16" s="834" t="s">
        <v>722</v>
      </c>
    </row>
    <row r="17" spans="1:4">
      <c r="A17" s="955" t="s">
        <v>655</v>
      </c>
      <c r="B17" s="952">
        <v>41914</v>
      </c>
      <c r="C17" t="s">
        <v>736</v>
      </c>
      <c r="D17" s="954" t="s">
        <v>723</v>
      </c>
    </row>
    <row r="18" spans="1:4">
      <c r="A18" s="955" t="s">
        <v>655</v>
      </c>
      <c r="B18" s="952">
        <v>41914</v>
      </c>
      <c r="C18" t="s">
        <v>724</v>
      </c>
      <c r="D18" s="961" t="s">
        <v>725</v>
      </c>
    </row>
    <row r="19" spans="1:4">
      <c r="A19" s="955" t="s">
        <v>655</v>
      </c>
      <c r="B19" s="952">
        <v>41914</v>
      </c>
      <c r="C19" t="s">
        <v>726</v>
      </c>
      <c r="D19" s="961" t="s">
        <v>727</v>
      </c>
    </row>
    <row r="20" spans="1:4">
      <c r="A20" s="955" t="s">
        <v>655</v>
      </c>
      <c r="B20" s="952">
        <v>41914</v>
      </c>
      <c r="C20" t="s">
        <v>737</v>
      </c>
      <c r="D20" s="961" t="s">
        <v>728</v>
      </c>
    </row>
    <row r="21" spans="1:4">
      <c r="A21" s="955" t="s">
        <v>655</v>
      </c>
      <c r="B21" s="952">
        <v>41914</v>
      </c>
      <c r="C21" t="s">
        <v>729</v>
      </c>
      <c r="D21" s="960" t="s">
        <v>734</v>
      </c>
    </row>
    <row r="22" spans="1:4">
      <c r="A22" s="955" t="s">
        <v>655</v>
      </c>
      <c r="B22" s="952">
        <v>41914</v>
      </c>
      <c r="C22" t="s">
        <v>730</v>
      </c>
      <c r="D22" s="961" t="s">
        <v>731</v>
      </c>
    </row>
    <row r="23" spans="1:4">
      <c r="A23" s="955" t="s">
        <v>655</v>
      </c>
      <c r="B23" s="952">
        <v>41914</v>
      </c>
      <c r="C23" t="s">
        <v>735</v>
      </c>
      <c r="D23" s="961" t="s">
        <v>732</v>
      </c>
    </row>
    <row r="24" spans="1:4">
      <c r="A24" s="955" t="s">
        <v>655</v>
      </c>
      <c r="B24" s="952">
        <v>41925</v>
      </c>
      <c r="C24" t="s">
        <v>738</v>
      </c>
      <c r="D24" s="961" t="s">
        <v>739</v>
      </c>
    </row>
    <row r="25" spans="1:4">
      <c r="A25" t="s">
        <v>655</v>
      </c>
      <c r="B25" s="952">
        <v>41967</v>
      </c>
      <c r="C25" t="s">
        <v>744</v>
      </c>
      <c r="D25" s="960" t="s">
        <v>743</v>
      </c>
    </row>
    <row r="26" spans="1:4">
      <c r="A26" t="s">
        <v>745</v>
      </c>
      <c r="B26" s="952">
        <v>42275</v>
      </c>
      <c r="C26" t="s">
        <v>746</v>
      </c>
      <c r="D26" s="960" t="s">
        <v>753</v>
      </c>
    </row>
    <row r="27" spans="1:4">
      <c r="A27" t="s">
        <v>745</v>
      </c>
      <c r="B27" s="952">
        <v>42275</v>
      </c>
      <c r="C27" t="s">
        <v>747</v>
      </c>
      <c r="D27" s="960" t="s">
        <v>754</v>
      </c>
    </row>
    <row r="28" spans="1:4">
      <c r="A28" t="s">
        <v>745</v>
      </c>
      <c r="B28" s="952">
        <v>42275</v>
      </c>
      <c r="C28" t="s">
        <v>748</v>
      </c>
      <c r="D28" s="960" t="s">
        <v>755</v>
      </c>
    </row>
    <row r="29" spans="1:4">
      <c r="A29" t="s">
        <v>745</v>
      </c>
      <c r="B29" s="952">
        <v>42283</v>
      </c>
      <c r="C29" t="s">
        <v>756</v>
      </c>
      <c r="D29" s="961" t="s">
        <v>757</v>
      </c>
    </row>
    <row r="30" spans="1:4">
      <c r="A30" s="955" t="s">
        <v>773</v>
      </c>
      <c r="B30" s="964">
        <v>42538</v>
      </c>
      <c r="C30" s="964" t="s">
        <v>758</v>
      </c>
      <c r="D30" s="964"/>
    </row>
    <row r="31" spans="1:4">
      <c r="A31" s="955" t="s">
        <v>773</v>
      </c>
      <c r="B31" s="964">
        <v>42538</v>
      </c>
      <c r="C31" s="964" t="s">
        <v>759</v>
      </c>
      <c r="D31" s="965" t="s">
        <v>760</v>
      </c>
    </row>
    <row r="32" spans="1:4">
      <c r="A32" s="955" t="s">
        <v>773</v>
      </c>
      <c r="B32" s="964">
        <v>42538</v>
      </c>
      <c r="C32" s="964" t="s">
        <v>761</v>
      </c>
      <c r="D32" s="966" t="s">
        <v>762</v>
      </c>
    </row>
    <row r="33" spans="1:4">
      <c r="A33" s="955" t="s">
        <v>773</v>
      </c>
      <c r="B33" s="964">
        <v>42538</v>
      </c>
      <c r="C33" s="964" t="s">
        <v>763</v>
      </c>
      <c r="D33" s="965" t="s">
        <v>722</v>
      </c>
    </row>
    <row r="34" spans="1:4">
      <c r="A34" t="s">
        <v>790</v>
      </c>
      <c r="B34" s="819">
        <v>42877</v>
      </c>
      <c r="C34" s="955" t="s">
        <v>847</v>
      </c>
      <c r="D34" s="960" t="s">
        <v>791</v>
      </c>
    </row>
    <row r="35" spans="1:4">
      <c r="A35" s="955" t="s">
        <v>790</v>
      </c>
      <c r="B35" s="819">
        <v>42877</v>
      </c>
      <c r="C35" s="955" t="s">
        <v>848</v>
      </c>
      <c r="D35" s="961" t="s">
        <v>792</v>
      </c>
    </row>
    <row r="36" spans="1:4">
      <c r="A36" s="955" t="s">
        <v>790</v>
      </c>
      <c r="B36" s="819">
        <v>42877</v>
      </c>
      <c r="C36" s="955" t="s">
        <v>849</v>
      </c>
      <c r="D36" s="961" t="s">
        <v>793</v>
      </c>
    </row>
    <row r="37" spans="1:4">
      <c r="A37" t="s">
        <v>831</v>
      </c>
      <c r="B37" s="819">
        <v>43166</v>
      </c>
      <c r="C37" s="964" t="s">
        <v>832</v>
      </c>
      <c r="D37" s="961" t="s">
        <v>833</v>
      </c>
    </row>
    <row r="38" spans="1:4">
      <c r="A38" t="s">
        <v>831</v>
      </c>
      <c r="B38" s="819">
        <v>43166</v>
      </c>
      <c r="C38" s="964" t="s">
        <v>834</v>
      </c>
      <c r="D38" s="960" t="s">
        <v>835</v>
      </c>
    </row>
    <row r="39" spans="1:4">
      <c r="A39" t="s">
        <v>831</v>
      </c>
      <c r="B39" s="819">
        <v>43166</v>
      </c>
      <c r="C39" s="964" t="s">
        <v>836</v>
      </c>
      <c r="D39" s="960" t="s">
        <v>837</v>
      </c>
    </row>
    <row r="40" spans="1:4">
      <c r="A40" t="s">
        <v>831</v>
      </c>
      <c r="B40" s="819">
        <v>43166</v>
      </c>
      <c r="C40" s="964" t="s">
        <v>838</v>
      </c>
      <c r="D40" s="960" t="s">
        <v>839</v>
      </c>
    </row>
    <row r="41" spans="1:4">
      <c r="A41" t="s">
        <v>831</v>
      </c>
      <c r="B41" s="819">
        <v>43278</v>
      </c>
      <c r="C41" s="964" t="s">
        <v>870</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215</vt:i4>
      </vt:variant>
    </vt:vector>
  </HeadingPairs>
  <TitlesOfParts>
    <vt:vector size="244" baseType="lpstr">
      <vt:lpstr>LEGENDE</vt:lpstr>
      <vt:lpstr>OUTPUT--&gt;</vt:lpstr>
      <vt:lpstr>SEAP template</vt:lpstr>
      <vt:lpstr>Inventaris 2012</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2018-06-27T09:19:45Z</dcterms:modified>
</cp:coreProperties>
</file>